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1.xml" ContentType="application/vnd.openxmlformats-officedocument.drawing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aoxo\Desktop\Rate Case &amp; MFR\POD\C\"/>
    </mc:Choice>
  </mc:AlternateContent>
  <xr:revisionPtr revIDLastSave="0" documentId="13_ncr:1_{D10BFDFB-14B2-492A-A04E-84ED18F6984D}" xr6:coauthVersionLast="47" xr6:coauthVersionMax="47" xr10:uidLastSave="{00000000-0000-0000-0000-000000000000}"/>
  <bookViews>
    <workbookView xWindow="-108" yWindow="-108" windowWidth="23256" windowHeight="12576" tabRatio="788" firstSheet="1" activeTab="1" xr2:uid="{9C7D5AC2-6633-4FDD-A613-1D556D9550C2}"/>
  </bookViews>
  <sheets>
    <sheet name="C-8 (Old)" sheetId="1" state="hidden" r:id="rId1"/>
    <sheet name="C-8 " sheetId="10" r:id="rId2"/>
    <sheet name="Support--&gt;" sheetId="2" r:id="rId3"/>
    <sheet name="FERC TB 2024" sheetId="12" r:id="rId4"/>
    <sheet name="FERC TB 2025" sheetId="11" r:id="rId5"/>
    <sheet name="Comparison" sheetId="16" r:id="rId6"/>
    <sheet name="Planning TB 2024" sheetId="14" r:id="rId7"/>
    <sheet name="Planning TB 2025" sheetId="13" r:id="rId8"/>
    <sheet name="Comparison " sheetId="17" r:id="rId9"/>
    <sheet name="C-4 (2021)" sheetId="8" state="hidden" r:id="rId10"/>
    <sheet name="C-4 (2025)" sheetId="15" r:id="rId11"/>
    <sheet name="C-8 (2013 Rate Case)" sheetId="9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\A">'[1]Page 13A'!#REF!</definedName>
    <definedName name="\B">#REF!</definedName>
    <definedName name="\C">'[1]Page 13A'!#REF!</definedName>
    <definedName name="\D">'[1]Page 13A'!#REF!</definedName>
    <definedName name="\E" localSheetId="9">#REF!</definedName>
    <definedName name="\E">#REF!</definedName>
    <definedName name="\F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 localSheetId="10">[2]BALSHT!$F$2:$F$2</definedName>
    <definedName name="\S">#REF!</definedName>
    <definedName name="\T">#REF!</definedName>
    <definedName name="\U">#REF!</definedName>
    <definedName name="\V">#REF!</definedName>
    <definedName name="\X">#REF!</definedName>
    <definedName name="\Y">#REF!</definedName>
    <definedName name="\Z">#REF!</definedName>
    <definedName name="____CAP2">#REF!</definedName>
    <definedName name="____PG13">#REF!</definedName>
    <definedName name="____PG14">#REF!</definedName>
    <definedName name="____PG15">#REF!</definedName>
    <definedName name="____PG16">#REF!</definedName>
    <definedName name="__181">#REF!</definedName>
    <definedName name="__CAP2">#REF!</definedName>
    <definedName name="__PG13" localSheetId="9">#REF!</definedName>
    <definedName name="__PG13">#REF!</definedName>
    <definedName name="__PG14" localSheetId="9">#REF!</definedName>
    <definedName name="__PG14">#REF!</definedName>
    <definedName name="__PG15" localSheetId="9">#REF!</definedName>
    <definedName name="__PG15">#REF!</definedName>
    <definedName name="__PG16">#REF!</definedName>
    <definedName name="__PG34">#REF!</definedName>
    <definedName name="__PG38">#REF!</definedName>
    <definedName name="_1_237_S">#REF!</definedName>
    <definedName name="_12MEACT" localSheetId="9">'[3]Page 1'!#REF!</definedName>
    <definedName name="_12MEACT" localSheetId="10">'[4]Page 1'!#REF!</definedName>
    <definedName name="_12MEACT">'[5]Page 1'!#REF!</definedName>
    <definedName name="_12MEBUD" localSheetId="9">'[3]Page 1'!#REF!</definedName>
    <definedName name="_12MEBUD" localSheetId="10">'[4]Page 1'!#REF!</definedName>
    <definedName name="_12MEBUD">'[5]Page 1'!#REF!</definedName>
    <definedName name="_12MONRECON" localSheetId="9">#REF!</definedName>
    <definedName name="_12MONRECON">#REF!</definedName>
    <definedName name="_12MONWHL" localSheetId="9">#REF!</definedName>
    <definedName name="_12MONWHL">#REF!</definedName>
    <definedName name="_14352">'[6]SUM 143'!$C$21:$N$21</definedName>
    <definedName name="_14A">#REF!</definedName>
    <definedName name="_14B">'[1]Page 14A'!#REF!</definedName>
    <definedName name="_14C">'[1]Page 14A'!#REF!</definedName>
    <definedName name="_14D">'[1]Page 14A'!#REF!</definedName>
    <definedName name="_15A">#REF!</definedName>
    <definedName name="_15B">'[1]Page 15A'!#REF!</definedName>
    <definedName name="_15C">'[1]Page 15A'!#REF!</definedName>
    <definedName name="_15D">'[7]Page 15A'!#REF!</definedName>
    <definedName name="_16A_1">#REF!</definedName>
    <definedName name="_16A_2">'[1]Page 16A'!#REF!</definedName>
    <definedName name="_16B_1">'[1]Page 16A'!#REF!</definedName>
    <definedName name="_16B_2">'[1]Page 16A'!#REF!</definedName>
    <definedName name="_16C_1">'[1]Page 16A'!#REF!</definedName>
    <definedName name="_16C_2">'[1]Page 16A'!#REF!</definedName>
    <definedName name="_16D_1">'[7]Page 16A'!#REF!</definedName>
    <definedName name="_16D_2">'[7]Page 16A'!#REF!</definedName>
    <definedName name="_17">#REF!</definedName>
    <definedName name="_181" localSheetId="9">#REF!</definedName>
    <definedName name="_181">#REF!</definedName>
    <definedName name="_1997" localSheetId="9">#REF!</definedName>
    <definedName name="_1997">#REF!</definedName>
    <definedName name="_1A_1B">#REF!</definedName>
    <definedName name="_1A_CONSOLIDATE">#REF!</definedName>
    <definedName name="_1B_CONSOLIDATE">#REF!</definedName>
    <definedName name="_1C_CONSOLIDATE">#REF!</definedName>
    <definedName name="_1D_CONSOLIDATE">#REF!</definedName>
    <definedName name="_2_427_S">#REF!</definedName>
    <definedName name="_2B_15">#REF!</definedName>
    <definedName name="_2QESP_EXT" localSheetId="9">#REF!</definedName>
    <definedName name="_2QESP_EXT">#REF!</definedName>
    <definedName name="_3_43199">#REF!</definedName>
    <definedName name="_3A_CONSOLIDATE">#REF!</definedName>
    <definedName name="_3B_CONSOLIDATE">#REF!</definedName>
    <definedName name="_3C_10">#REF!</definedName>
    <definedName name="_3C_CONSOLIDATE">#REF!</definedName>
    <definedName name="_3D_CONSOLIDATE">#REF!</definedName>
    <definedName name="_3RD_QUARTER">#REF!</definedName>
    <definedName name="_447">#REF!</definedName>
    <definedName name="_447_2">#REF!</definedName>
    <definedName name="_4B_21">#REF!</definedName>
    <definedName name="_4C_64">#REF!</definedName>
    <definedName name="_4Q_EXT">#REF!</definedName>
    <definedName name="_4TH_QUARTER">"$AC$4:$AN$45"</definedName>
    <definedName name="_501547EXP">#REF!</definedName>
    <definedName name="_555">#REF!</definedName>
    <definedName name="_555_21_Nonrecvrbl_Purc_Pwr_Retail">#REF!</definedName>
    <definedName name="_555447">#REF!</definedName>
    <definedName name="_5C_9">#REF!</definedName>
    <definedName name="_904HIST">#REF!</definedName>
    <definedName name="_96DEC_1">#REF!</definedName>
    <definedName name="_96DEC_2">#REF!</definedName>
    <definedName name="_96NOV">#REF!</definedName>
    <definedName name="_96NOV_2">#REF!</definedName>
    <definedName name="_96OCT_1">#REF!</definedName>
    <definedName name="_96OCT_2">#REF!</definedName>
    <definedName name="_97APR_1">#REF!</definedName>
    <definedName name="_97APR_2">#REF!</definedName>
    <definedName name="_97FEB_1">#REF!</definedName>
    <definedName name="_97FEB_2">#REF!</definedName>
    <definedName name="_97JAN_1">#REF!</definedName>
    <definedName name="_97JAN_2">#REF!</definedName>
    <definedName name="_97MAR_1">#REF!</definedName>
    <definedName name="_97MAR_2">#REF!</definedName>
    <definedName name="_97MAY_1">#REF!</definedName>
    <definedName name="_97MAY_2">#REF!</definedName>
    <definedName name="_BSA2">#REF!</definedName>
    <definedName name="_BSL2">#REF!</definedName>
    <definedName name="_BUD1">#REF!</definedName>
    <definedName name="_BUD2">#REF!</definedName>
    <definedName name="_BUD3">#REF!</definedName>
    <definedName name="_BUD4">#REF!</definedName>
    <definedName name="_BUD5">#REF!</definedName>
    <definedName name="_C44">#REF!</definedName>
    <definedName name="_CAP2">#REF!</definedName>
    <definedName name="_CFL2">#REF!</definedName>
    <definedName name="_Fill" hidden="1">#REF!</definedName>
    <definedName name="_xlnm._FilterDatabase" localSheetId="5" hidden="1">Comparison!$A$2:$H$423</definedName>
    <definedName name="_xlnm._FilterDatabase" localSheetId="8" hidden="1">'Comparison '!$A$2:$G$877</definedName>
    <definedName name="_xlnm._FilterDatabase" localSheetId="7" hidden="1">'Planning TB 2025'!$A$13:$Q$574</definedName>
    <definedName name="_IST2">#REF!</definedName>
    <definedName name="_je3">[8]A!#REF!</definedName>
    <definedName name="_je4">[8]A!#REF!</definedName>
    <definedName name="_je5">[8]A!#REF!</definedName>
    <definedName name="_je6">[8]A!#REF!</definedName>
    <definedName name="_Key1" localSheetId="9" hidden="1">#REF!</definedName>
    <definedName name="_Key1" localSheetId="10" hidden="1">#REF!</definedName>
    <definedName name="_Key1" hidden="1">#REF!</definedName>
    <definedName name="_NonRecov447_2" localSheetId="9">#REF!</definedName>
    <definedName name="_NonRecov447_2">#REF!</definedName>
    <definedName name="_Order1" hidden="1">255</definedName>
    <definedName name="_Order2" hidden="1">0</definedName>
    <definedName name="_PG03">#REF!</definedName>
    <definedName name="_PG04">#REF!</definedName>
    <definedName name="_PG05">#REF!</definedName>
    <definedName name="_PG1">#REF!</definedName>
    <definedName name="_PG10">#REF!</definedName>
    <definedName name="_PG13">#REF!</definedName>
    <definedName name="_PG14">#REF!</definedName>
    <definedName name="_PG15">#REF!</definedName>
    <definedName name="_PG16">#REF!</definedName>
    <definedName name="_PG2">#REF!</definedName>
    <definedName name="_PG31">#REF!</definedName>
    <definedName name="_PG38">#REF!</definedName>
    <definedName name="_Sort" localSheetId="10" hidden="1">#REF!</definedName>
    <definedName name="_Sort" hidden="1">#REF!</definedName>
    <definedName name="_SS2">#REF!</definedName>
    <definedName name="_TTT1">#REF!</definedName>
    <definedName name="_TTT2">#REF!</definedName>
    <definedName name="_TTT3">#REF!</definedName>
    <definedName name="a" localSheetId="9">[9]Sheet1!$B$10</definedName>
    <definedName name="a" localSheetId="10">[10]Sheet1!$B$10</definedName>
    <definedName name="a">[11]Sheet1!$B$10</definedName>
    <definedName name="aaa" localSheetId="9">#REF!</definedName>
    <definedName name="aaa">#REF!</definedName>
    <definedName name="ACCT">#REF!</definedName>
    <definedName name="Acct_22821_92520">'[12]2282020 and 30'!#REF!</definedName>
    <definedName name="Acct_22822_23_92521">'[12]2282010'!#REF!</definedName>
    <definedName name="ACCT_VARIANCE">#REF!</definedName>
    <definedName name="ACTUALS_MONTHLY">#REF!</definedName>
    <definedName name="ACTUALS_ROE">#REF!</definedName>
    <definedName name="adds">#REF!</definedName>
    <definedName name="ADJTS" localSheetId="9">#REF!</definedName>
    <definedName name="ADJTS" localSheetId="10">#REF!</definedName>
    <definedName name="ADJTS">#REF!</definedName>
    <definedName name="AL">#REF!</definedName>
    <definedName name="ALTJE">#REF!</definedName>
    <definedName name="AP_OTHER" localSheetId="10">#REF!</definedName>
    <definedName name="AP_OTHER">#REF!</definedName>
    <definedName name="APR_PG_18_A">'[13]Page 18B'!#REF!</definedName>
    <definedName name="AssetRange">#REF!</definedName>
    <definedName name="ASSUMPTIONS" localSheetId="10">#REF!</definedName>
    <definedName name="ASSUMPTIONS">#REF!</definedName>
    <definedName name="B_PLAN_1" localSheetId="9">'[14]Business Plan'!#REF!</definedName>
    <definedName name="B_PLAN_1">'[15]Business Plan'!#REF!</definedName>
    <definedName name="B_PLAN_2" localSheetId="9">#REF!</definedName>
    <definedName name="B_PLAN_2">#REF!</definedName>
    <definedName name="B_PLAN_3">#REF!</definedName>
    <definedName name="B_PLAN_4" localSheetId="9">'[14]Business Plan'!#REF!</definedName>
    <definedName name="B_PLAN_4">'[15]Business Plan'!#REF!</definedName>
    <definedName name="BAD_DEBT_HISTORY_FOR_JE_20">#REF!</definedName>
    <definedName name="BAD_DEBT_RATE">#REF!</definedName>
    <definedName name="BAD_DEBT_VAR">#REF!</definedName>
    <definedName name="BADDEBT">#REF!</definedName>
    <definedName name="BAL" localSheetId="9">#REF!</definedName>
    <definedName name="BAL" localSheetId="10">#REF!</definedName>
    <definedName name="BAL">#REF!</definedName>
    <definedName name="BalDat" localSheetId="9">[16]BALSHT!#REF!</definedName>
    <definedName name="BalDat" localSheetId="10">#REF!</definedName>
    <definedName name="BalDat">[17]BALSHT!#REF!</definedName>
    <definedName name="BalDatData" localSheetId="9">#REF!</definedName>
    <definedName name="BalDatData" localSheetId="10">#REF!</definedName>
    <definedName name="BalDatData">#REF!</definedName>
    <definedName name="BDLEVEL">#REF!</definedName>
    <definedName name="BegMonth" localSheetId="9">#REF!</definedName>
    <definedName name="BegMonth" localSheetId="10">#REF!</definedName>
    <definedName name="BegMonth">#REF!</definedName>
    <definedName name="BENEFITS_EXP" localSheetId="10">#REF!</definedName>
    <definedName name="BENEFITS_EXP">#REF!</definedName>
    <definedName name="BKUP_3A">'[18]Page 3A'!#REF!</definedName>
    <definedName name="BKUP_3B">'[18]Page 3B'!#REF!</definedName>
    <definedName name="BKUP_3C">'[18]Page 3C'!#REF!</definedName>
    <definedName name="BKUP_3D">'[18]Page 3D'!#REF!</definedName>
    <definedName name="BORDER">#REF!</definedName>
    <definedName name="BS_ACC_NUM">#REF!</definedName>
    <definedName name="BS_Forecast" localSheetId="10">#REF!</definedName>
    <definedName name="BS_Forecast">#REF!</definedName>
    <definedName name="BS_Plan" localSheetId="10">#REF!</definedName>
    <definedName name="BS_Plan">#REF!</definedName>
    <definedName name="BS_Plan2" localSheetId="10">#REF!</definedName>
    <definedName name="BS_Plan2">#REF!</definedName>
    <definedName name="BSACCTS">#REF!</definedName>
    <definedName name="BSDOWNLOAD">#REF!</definedName>
    <definedName name="BSFERC">#REF!</definedName>
    <definedName name="BSHEADER">#REF!</definedName>
    <definedName name="BTLTAX" localSheetId="10">#REF!</definedName>
    <definedName name="BTLTAX">#REF!</definedName>
    <definedName name="BTLTAXES" localSheetId="10">#REF!</definedName>
    <definedName name="BTLTAXES">#REF!</definedName>
    <definedName name="BTLTXBUD" localSheetId="10">#REF!</definedName>
    <definedName name="BTLTXBUD">#REF!</definedName>
    <definedName name="BTUBudget">#REF!</definedName>
    <definedName name="BtuCY">#REF!</definedName>
    <definedName name="BTUPY">#REF!</definedName>
    <definedName name="BUD_COMP">#REF!</definedName>
    <definedName name="BUD_Int_Exp_5A">#REF!</definedName>
    <definedName name="BUD_Int_Exp_5B">#REF!</definedName>
    <definedName name="BUD_Int_Exp_5D">#REF!</definedName>
    <definedName name="BUD_IS_1A">'[19]Page 1A'!#REF!</definedName>
    <definedName name="BUD_IS_1B">'[19]Page 1A'!#REF!</definedName>
    <definedName name="BUD_IS_1D">'[19]Page 1A'!#REF!</definedName>
    <definedName name="BUD_OI_4A">#REF!</definedName>
    <definedName name="BUD_OI_4B">#REF!</definedName>
    <definedName name="BUD_OI_4D">#REF!</definedName>
    <definedName name="BUDGET" localSheetId="9">'[20]2005_BUDGET'!$A$2:$O$233</definedName>
    <definedName name="budget">[21]BUDGET!$A$8:$O$1000</definedName>
    <definedName name="BUDGET2000">'[22]Page 4'!$A$2:$O$233</definedName>
    <definedName name="BUDGET4A" localSheetId="9">#REF!</definedName>
    <definedName name="BUDGET4A">#REF!</definedName>
    <definedName name="BUDGET4B" localSheetId="9">#REF!</definedName>
    <definedName name="BUDGET4B">#REF!</definedName>
    <definedName name="BUDGET4C" localSheetId="9">#REF!</definedName>
    <definedName name="BUDGET4C">#REF!</definedName>
    <definedName name="C_13RETL">#REF!</definedName>
    <definedName name="C_13WHSL">#REF!</definedName>
    <definedName name="C_14RETL">#REF!</definedName>
    <definedName name="C_15RETL">#REF!</definedName>
    <definedName name="C_15WHSL">#REF!</definedName>
    <definedName name="CAPITAL_ADJUSTMENTS">#REF!</definedName>
    <definedName name="CAPITAL_RECON_A">#REF!</definedName>
    <definedName name="CAPITAL_RECON_B">#REF!</definedName>
    <definedName name="CAPSTRUC">#REF!</definedName>
    <definedName name="CASHFLS" localSheetId="9">'[23]CASH FLOWS BKUP'!#REF!</definedName>
    <definedName name="CASHFLS" localSheetId="10">'[24]CASH FLOWS BKUP'!#REF!</definedName>
    <definedName name="CASHFLS">'[25]CASH FLOWS BKUP'!#REF!</definedName>
    <definedName name="CBM" localSheetId="9">#REF!</definedName>
    <definedName name="CBM">#REF!</definedName>
    <definedName name="CBM_EXTEND" localSheetId="9">#REF!</definedName>
    <definedName name="CBM_EXTEND">#REF!</definedName>
    <definedName name="CF_Forecast" localSheetId="10">#REF!</definedName>
    <definedName name="CF_Forecast">#REF!</definedName>
    <definedName name="CF_Plan">#REF!</definedName>
    <definedName name="CF_Plan2" localSheetId="10">#REF!</definedName>
    <definedName name="CF_Plan2">#REF!</definedName>
    <definedName name="CF_Summary">'[26]TABLE OF CONTENTS'!$A$1:$M$20</definedName>
    <definedName name="CFIN1">'[1]Page 13A'!#REF!</definedName>
    <definedName name="CFIN2">'[1]Page 13A'!#REF!</definedName>
    <definedName name="CFIN3">'[1]Page 13A'!#REF!</definedName>
    <definedName name="CFPRES" localSheetId="9">#REF!</definedName>
    <definedName name="CFPRES">#REF!</definedName>
    <definedName name="CHECK_ADJ_RETAIL">#REF!</definedName>
    <definedName name="CHECK_BOOK_TAX">#REF!</definedName>
    <definedName name="CHECK_ECRC_ECCR_FUEL">#REF!</definedName>
    <definedName name="CHECK_NOI">#REF!</definedName>
    <definedName name="CHECK_REGULATORY_TAX">#REF!</definedName>
    <definedName name="Check_Total_RB">#REF!</definedName>
    <definedName name="CM_ACT_ACT">#REF!</definedName>
    <definedName name="CM_ACT_BUD">#REF!</definedName>
    <definedName name="CM_BASE_REV">[27]BASE!#REF!</definedName>
    <definedName name="CM_GWH_SALES">#REF!</definedName>
    <definedName name="CMACT" localSheetId="9">'[3]Page 1'!#REF!</definedName>
    <definedName name="CMACT" localSheetId="10">'[4]Page 1'!#REF!</definedName>
    <definedName name="CMACT">'[5]Page 1'!#REF!</definedName>
    <definedName name="CMACTTBRR">#REF!</definedName>
    <definedName name="CMBUD" localSheetId="9">'[3]Page 1'!#REF!</definedName>
    <definedName name="CMBUD" localSheetId="10">'[4]Page 1'!#REF!</definedName>
    <definedName name="CMBUD">'[5]Page 1'!#REF!</definedName>
    <definedName name="CMBUDTBRR">#REF!</definedName>
    <definedName name="CMDETAIL">#REF!</definedName>
    <definedName name="CMOOR">#REF!</definedName>
    <definedName name="CMREVANAL">#REF!</definedName>
    <definedName name="CMTAX" localSheetId="9">#REF!</definedName>
    <definedName name="CMTAX">#REF!</definedName>
    <definedName name="CO._NAME__Lake_Worth_Utility_____MWHs">"MKT_BASED_SALES12"</definedName>
    <definedName name="COAL" localSheetId="9">#REF!</definedName>
    <definedName name="COAL">#REF!</definedName>
    <definedName name="COAL1" localSheetId="9">#REF!</definedName>
    <definedName name="COAL1">#REF!</definedName>
    <definedName name="COAL2">#REF!</definedName>
    <definedName name="COAL3">#REF!</definedName>
    <definedName name="COM_EQ">#REF!</definedName>
    <definedName name="CON12ME">#REF!</definedName>
    <definedName name="CON12MEWS">#REF!</definedName>
    <definedName name="CONASSET">#REF!</definedName>
    <definedName name="CONLIAB">#REF!</definedName>
    <definedName name="Cons_Assets">#REF!</definedName>
    <definedName name="Cons_Elims">#REF!</definedName>
    <definedName name="Cons_IS">#REF!</definedName>
    <definedName name="Cons_Liab">#REF!</definedName>
    <definedName name="CONSCF4A" localSheetId="10">#REF!</definedName>
    <definedName name="CONSCF4A">#REF!</definedName>
    <definedName name="CONSCF4B" localSheetId="10">#REF!</definedName>
    <definedName name="CONSCF4B">#REF!</definedName>
    <definedName name="Consol_Act">#REF!</definedName>
    <definedName name="Consol_Bud">#REF!</definedName>
    <definedName name="CONSOLP1" localSheetId="10">#REF!</definedName>
    <definedName name="CONSOLP1">#REF!</definedName>
    <definedName name="CONSOLP2" localSheetId="10">#REF!</definedName>
    <definedName name="CONSOLP2">#REF!</definedName>
    <definedName name="CONSOLP3" localSheetId="10">#REF!</definedName>
    <definedName name="CONSOLP3">#REF!</definedName>
    <definedName name="CONSOLP4" localSheetId="10">#REF!</definedName>
    <definedName name="CONSOLP4">#REF!</definedName>
    <definedName name="ConsumpPY">#REF!</definedName>
    <definedName name="CONTENTS">#REF!</definedName>
    <definedName name="CONYTD">#REF!</definedName>
    <definedName name="COST_RATE_AFUDC_A">#REF!</definedName>
    <definedName name="COST_RATE_AFUDC_B">#REF!</definedName>
    <definedName name="COST_RATE_AFUDC_C">#REF!</definedName>
    <definedName name="COST_RATE_INC_TAX">#REF!</definedName>
    <definedName name="COST_RATE_ITC">#REF!</definedName>
    <definedName name="COST_RATE_LTD">#REF!</definedName>
    <definedName name="COST_RATE_STD_CUSTOMER">#REF!</definedName>
    <definedName name="cur">#REF!</definedName>
    <definedName name="CURACT">'[1]Page 13A'!#REF!</definedName>
    <definedName name="CURBUD">'[1]Page 13A'!#REF!</definedName>
    <definedName name="CURRENT">#REF!</definedName>
    <definedName name="CurrYear">[28]Controls!$D$8</definedName>
    <definedName name="DAT" localSheetId="9">'[29]DAT ACCOUNTS'!$A$1:$D$65536</definedName>
    <definedName name="DAT" localSheetId="10">'[30]DAT ACCOUNTS'!$A$1:$D$65536</definedName>
    <definedName name="DAT">'[31]DAT ACCOUNTS'!$A:$C</definedName>
    <definedName name="DATE">#REF!</definedName>
    <definedName name="DEC" localSheetId="9">#REF!</definedName>
    <definedName name="DEC" localSheetId="10">#REF!</definedName>
    <definedName name="DEC">#REF!</definedName>
    <definedName name="DEC_Proj" localSheetId="9">#REF!</definedName>
    <definedName name="DEC_Proj" localSheetId="10">#REF!</definedName>
    <definedName name="DEC_Proj">#REF!</definedName>
    <definedName name="DEFERRED" localSheetId="9">#REF!</definedName>
    <definedName name="DEFERRED">#REF!</definedName>
    <definedName name="DEFERRED_A">#REF!</definedName>
    <definedName name="DEFERREDCAP">#REF!</definedName>
    <definedName name="DEFERREDFUEL">#REF!</definedName>
    <definedName name="DEFREVCALC">#REF!</definedName>
    <definedName name="DELAINE">#REF!</definedName>
    <definedName name="DELAINE1">#REF!</definedName>
    <definedName name="deprec">#REF!</definedName>
    <definedName name="DETAIL146234" localSheetId="9">[20]DL1204!#REF!</definedName>
    <definedName name="DETAIL146234" localSheetId="10">#REF!</definedName>
    <definedName name="DETAIL146234">'[32]DL 1204'!#REF!</definedName>
    <definedName name="DetailCheck3B">'[1]Page 3B'!#REF!</definedName>
    <definedName name="dfdfdf" localSheetId="9">#REF!</definedName>
    <definedName name="dfdfdf">#REF!</definedName>
    <definedName name="DISC_2Q" localSheetId="9">#REF!</definedName>
    <definedName name="DISC_2Q">#REF!</definedName>
    <definedName name="DISC_3Q" localSheetId="9">#REF!</definedName>
    <definedName name="DISC_3Q">#REF!</definedName>
    <definedName name="DISC_4Q">#REF!</definedName>
    <definedName name="DIST">#REF!</definedName>
    <definedName name="DISTLIST">#REF!</definedName>
    <definedName name="DIT_PERM_Differences" localSheetId="9">'[33]SURV REPORT'!#REF!</definedName>
    <definedName name="DIT_PERM_Differences">#REF!</definedName>
    <definedName name="DIVIDENDS">#REF!</definedName>
    <definedName name="DocketNum" localSheetId="9">[34]Sheet1!$B$5</definedName>
    <definedName name="DocketNum" localSheetId="10">[35]Sheet1!$B$5</definedName>
    <definedName name="DocketNum">[36]Sheet1!$B$5</definedName>
    <definedName name="DocKetNumber" localSheetId="9">[37]SetupData!$B$6</definedName>
    <definedName name="DocKetNumber">[38]SetupData!$B$6</definedName>
    <definedName name="Download" localSheetId="9">[39]Download!$A$1:$D$2526</definedName>
    <definedName name="DOWNLOAD" localSheetId="10">[40]Download!$A$1:$D$2443</definedName>
    <definedName name="DOWNLOAD">[21]DOWNLOAD!$A$2:$D$2998</definedName>
    <definedName name="DOWNLOAD_1099" localSheetId="9">#REF!</definedName>
    <definedName name="DOWNLOAD_1099" localSheetId="10">#REF!</definedName>
    <definedName name="DOWNLOAD_1099">#REF!</definedName>
    <definedName name="ECONOMY">#REF!</definedName>
    <definedName name="ECONPURCHASE">#REF!</definedName>
    <definedName name="EEGSA_Act" localSheetId="9">#REF!</definedName>
    <definedName name="EEGSA_Act">#REF!</definedName>
    <definedName name="EEGSA_Bud">#REF!</definedName>
    <definedName name="EGY12MIS" localSheetId="10">#REF!</definedName>
    <definedName name="EGY12MIS">#REF!</definedName>
    <definedName name="EGYASSTS" localSheetId="10">#REF!</definedName>
    <definedName name="EGYASSTS">#REF!</definedName>
    <definedName name="EGYCFSCH" localSheetId="10">#REF!</definedName>
    <definedName name="EGYCFSCH">#REF!</definedName>
    <definedName name="EGYCMIS" localSheetId="10">#REF!</definedName>
    <definedName name="EGYCMIS">#REF!</definedName>
    <definedName name="EGYLIABS" localSheetId="10">#REF!</definedName>
    <definedName name="EGYLIABS">#REF!</definedName>
    <definedName name="EGYPCFSH" localSheetId="10">#REF!</definedName>
    <definedName name="EGYPCFSH">#REF!</definedName>
    <definedName name="EGYPCFSHPORT" localSheetId="10">#REF!</definedName>
    <definedName name="EGYPCFSHPORT">#REF!</definedName>
    <definedName name="EGYPRIS" localSheetId="10">#REF!</definedName>
    <definedName name="EGYPRIS">#REF!</definedName>
    <definedName name="EGYRESCH" localSheetId="10">#REF!</definedName>
    <definedName name="EGYRESCH">#REF!</definedName>
    <definedName name="ELIM_12ME">#REF!</definedName>
    <definedName name="ELIM_BS">#REF!</definedName>
    <definedName name="ELIM_YTD">#REF!</definedName>
    <definedName name="ENERGY">#REF!</definedName>
    <definedName name="ep">#REF!</definedName>
    <definedName name="EPMWorkbookOptions_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PMWorkbookOptions_3">"o1s4EqlE8B610JuPnYjkFU/L3HmrbcP/yRmOXPKJeuASuYH95ABG2Bo5qzh7MQfk03JwGK0NKLt9I9By1LsJPxS1jut7zu8JxEyKgi79ULV/eCqrdV+Q+RSSClKmGbbGrAXImtzYV8U24AbNU/OHzOhh4KKPLvYDwNFHgylXygMwB4VyxeYKXGlQL9TKAAUaQYmzzSpXNdlZz2mvjMBtFC5nrgNjk9TEDFha5ZkAApn7r9H0krD4WnzpCpqk"</definedName>
    <definedName name="EPMWorkbookOptions_4" hidden="1">"6E8MeRREvS+0SUnYctgROJHUxwqaIzX4wXPcx/xMOvmNNbl/cg/z5an9Q+apQ7hbm/7/T6tqTxcJuZJ2ulppmqvR9OFiZW5QrEsa03IVRaNUYmmmfO2KPTcxUkfSBGP2lr12Zi5oLRuCKKp9RT95KbNsucxx3OFLuXSDSzlhMS3Ynt40NKmrajrZEBLh0sxduJlpniDcpqALPbWvidLJyq1UGbpWqx6uXPb2lLuiMS1dXdWFthFX3GvX7Dmp"</definedName>
    <definedName name="EPMWorkbookOptions_5" hidden="1">"KZHH2S/QtnH9L6FzS0ZWun392km5nAJHaJX1P/g9SNOVCssescXmbq+6zTnc2EWS3fX1v4jPyUh8bnUTpf5yVm+rrT5/4llO+fbW7ozBtE4V1YiNd5FmpXmCSGXjT18yRwu1cntCTVjcOHRstw1ZmjfJUu8u2sw0TxCt1tXFvkZ4Fj9Tt9Xb0+0akUSv5K8t3lWameYJKtXlzukHE8fLs3aEPLlqnS0NuErBrJoMkSddLZiVOluw64MqYmoI"</definedName>
    <definedName name="EPMWorkbookOptions_6" hidden="1">"IbAvQJ4zBtMllWzba8W/+sq1q/TMjMRHNXdOVpzQ9TsnGTppSd+vnZHLqe8dSej1Nan3iTW+fntbkITF+f6jK2my2pTvu5CjQKlsdoJSGH8ckMR23DDiqaxbTilrEpt0vX0xbN24fZmM12CAIRypnhqAl1zqSRtjnOgCwrOgqtdDb5AgN80xNrk1R0YWxZwv7vds29Pwqd0wA2sNN10g5PAnwg4yXegAHhK/Re9b9q9fVt6LO3uNfwGmFkse"</definedName>
    <definedName name="EPMWorkbookOptions_7" hidden="1">"7icAAA=="</definedName>
    <definedName name="EPS" localSheetId="9">#REF!</definedName>
    <definedName name="EPS">#REF!</definedName>
    <definedName name="Equity" localSheetId="9">#REF!</definedName>
    <definedName name="Equity">#REF!</definedName>
    <definedName name="ESOP_GOAL" localSheetId="10">#REF!</definedName>
    <definedName name="ESOP_GOAL">#REF!</definedName>
    <definedName name="ESOPWP" localSheetId="10">#REF!</definedName>
    <definedName name="ESOPWP">#REF!</definedName>
    <definedName name="EV__EVCOM_OPTIONS__" hidden="1">8</definedName>
    <definedName name="EV__EXPOPTIONS__" hidden="1">1</definedName>
    <definedName name="EV__LASTREFTIME__" hidden="1">"(GMT-05:00)4/18/2017 4:58:12 PM"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EXAMPLE">'[6]SUM 143'!$A$1:$P$35</definedName>
    <definedName name="EXHIBIT_C_IS">#REF!</definedName>
    <definedName name="EXPENSE">#REF!</definedName>
    <definedName name="F" localSheetId="9">[16]BALSHT!#REF!</definedName>
    <definedName name="F" localSheetId="10">#REF!</definedName>
    <definedName name="F">[17]BALSHT!#REF!</definedName>
    <definedName name="FCST" localSheetId="9">#REF!</definedName>
    <definedName name="FCST">#REF!</definedName>
    <definedName name="FIN_PG_18">#REF!</definedName>
    <definedName name="FIN_PG_18_B">'[41]Page 18A'!#REF!</definedName>
    <definedName name="FIN_PG_18A">#REF!</definedName>
    <definedName name="FIN_PG_18B">#REF!</definedName>
    <definedName name="FIN_PG_20">#REF!</definedName>
    <definedName name="FIN_PG_20_BUDGET_20A">#REF!</definedName>
    <definedName name="FIN_PG_20_BUDGET_20B">#REF!</definedName>
    <definedName name="FIN_PG_20A_CM_05">#REF!</definedName>
    <definedName name="FIN_PG_20B_ACTUAL">#REF!</definedName>
    <definedName name="FIN_PG_20B_BUDGET">#REF!</definedName>
    <definedName name="FIN_PG_20B_CM_05">#REF!</definedName>
    <definedName name="FIN_PG_20B_YTD_05">#REF!</definedName>
    <definedName name="FinActDetails">'[1]Page 3A'!#REF!</definedName>
    <definedName name="Financial_Summary">#REF!</definedName>
    <definedName name="FININD">#REF!</definedName>
    <definedName name="FINP1">'[42]Page 13B'!#REF!</definedName>
    <definedName name="FINP2">'[1]Page 13A'!#REF!</definedName>
    <definedName name="FINP3">'[1]Page 13A'!#REF!</definedName>
    <definedName name="FMPA_JURIS_D">#REF!</definedName>
    <definedName name="FMPA_JURIS_D1">#REF!</definedName>
    <definedName name="FMPA_RESALE">#REF!</definedName>
    <definedName name="FOR_DENISE_O." localSheetId="9">[20]DL1204!#REF!</definedName>
    <definedName name="FOR_DENISE_O." localSheetId="10">#REF!</definedName>
    <definedName name="FOR_DENISE_O.">'[32]DL 1204'!#REF!</definedName>
    <definedName name="FORE_VS_FORE" localSheetId="9">#REF!</definedName>
    <definedName name="FORE_VS_FORE">#REF!</definedName>
    <definedName name="FRANCHISE_TAX" localSheetId="9">#REF!</definedName>
    <definedName name="FRANCHISE_TAX">#REF!</definedName>
    <definedName name="FRCST_NI" localSheetId="9">#REF!</definedName>
    <definedName name="FRCST_NI">#REF!</definedName>
    <definedName name="FRCST_NI_DISC">#REF!</definedName>
    <definedName name="FRCST_OP_INC">#REF!</definedName>
    <definedName name="Fuel_Separation_Factor">#REF!</definedName>
    <definedName name="Fuel2004">'[43]FD 2004'!$C$319:$Q$378</definedName>
    <definedName name="FuelBudget">#REF!</definedName>
    <definedName name="FuelCY">#REF!</definedName>
    <definedName name="FuelPY">#REF!</definedName>
    <definedName name="FullDocketNumber" localSheetId="9">[37]SetupData!$B$7</definedName>
    <definedName name="FullDocketNumber">[44]SetupData!$B$7</definedName>
    <definedName name="GA_ACCOUNTS">#REF!</definedName>
    <definedName name="GA_DEBT">#REF!</definedName>
    <definedName name="GA_DEF_ITC_FAS109">#REF!</definedName>
    <definedName name="GA_DEF_REV_CUSTOMER">#REF!</definedName>
    <definedName name="GA_EQUITY">#REF!</definedName>
    <definedName name="GA_Master_Download_data_comes_from_P_\DOWNLOAD\dl_MMYY">#REF!</definedName>
    <definedName name="GLDOWNLOAD" localSheetId="9">#REF!</definedName>
    <definedName name="GLDOWNLOAD" localSheetId="10">#REF!</definedName>
    <definedName name="GLDOWNLOAD">#REF!</definedName>
    <definedName name="GROSS_TAX">#REF!</definedName>
    <definedName name="GrossBudget">#REF!</definedName>
    <definedName name="GrossCY">#REF!</definedName>
    <definedName name="GrossPY">#REF!</definedName>
    <definedName name="HIDECOLUM">'[45]IS Energy Consol_Emera Jun-18'!#REF!</definedName>
    <definedName name="HIDECOLUMN">'[45]IS Energy Consol_Emera Jun-18'!$N$1</definedName>
    <definedName name="HIDECOLUMN2" localSheetId="9">'[45]IS Energy Consol_Emera Jun-18'!#REF!</definedName>
    <definedName name="HIDECOLUMN2">'[45]IS Energy Consol_Emera Jun-18'!#REF!</definedName>
    <definedName name="HistYear" localSheetId="9">[37]SetupData!$B$14</definedName>
    <definedName name="HistYear" localSheetId="10">[46]Sheet1!$B$17</definedName>
    <definedName name="HistYear">[34]Sheet1!$B$17</definedName>
    <definedName name="HOME">#REF!</definedName>
    <definedName name="HP_I_Assets" localSheetId="9">#REF!</definedName>
    <definedName name="HP_I_Assets">#REF!</definedName>
    <definedName name="HP_I_BS" localSheetId="9">#REF!</definedName>
    <definedName name="HP_I_BS">#REF!</definedName>
    <definedName name="HP_I_Elims" localSheetId="9">#REF!</definedName>
    <definedName name="HP_I_Elims">#REF!</definedName>
    <definedName name="HP_I_Liab">#REF!</definedName>
    <definedName name="HP_I_PL">#REF!</definedName>
    <definedName name="IBORDER">#REF!</definedName>
    <definedName name="IE_SUMMARY">#REF!</definedName>
    <definedName name="IGN_2004">#REF!</definedName>
    <definedName name="IGN_2005">#REF!</definedName>
    <definedName name="IGN_2006">#REF!</definedName>
    <definedName name="IGN_2007">#REF!</definedName>
    <definedName name="INOUT_TPS_NI">#REF!</definedName>
    <definedName name="INPUT_COAL">#REF!</definedName>
    <definedName name="INPUT_DISC">#REF!</definedName>
    <definedName name="input_ni_1999">#REF!</definedName>
    <definedName name="INPUT_NI_ACT">#REF!</definedName>
    <definedName name="INPUT_NI_BUD">#REF!</definedName>
    <definedName name="INPUT_TPS">#REF!</definedName>
    <definedName name="INPUT_TT">#REF!</definedName>
    <definedName name="INPUT1">#REF!</definedName>
    <definedName name="INPUT1A">#REF!</definedName>
    <definedName name="INPUT2">#REF!</definedName>
    <definedName name="INPUT2A">#REF!</definedName>
    <definedName name="INPUT2B">#REF!</definedName>
    <definedName name="INPUT2C">#REF!</definedName>
    <definedName name="INPUT3">#REF!</definedName>
    <definedName name="Int_Exp_5A">#REF!</definedName>
    <definedName name="Int_Exp_5B">#REF!</definedName>
    <definedName name="Int_Exp_5D">#REF!</definedName>
    <definedName name="intangibles" localSheetId="10">[47]MFR_SUMMARY!$D$22</definedName>
    <definedName name="intangibles">[48]MFR_SUMMARY!$D$22</definedName>
    <definedName name="INTEREST_EXPENSE" localSheetId="9">#REF!</definedName>
    <definedName name="INTEREST_EXPENSE">#REF!</definedName>
    <definedName name="Interest_Note">#REF!</definedName>
    <definedName name="INTEXP" localSheetId="10">#REF!</definedName>
    <definedName name="INTEXP">#REF!</definedName>
    <definedName name="INUT_TPS_NI">#REF!</definedName>
    <definedName name="Inventory_Note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REV" hidden="1">"c2113"</definedName>
    <definedName name="IQ_EST_ACT_REV_CIQ" hidden="1">"c3666"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OOTNOTE" hidden="1">"c4540"</definedName>
    <definedName name="IQ_EST_FOOTNOTE_CIQ" hidden="1">"c12022"</definedName>
    <definedName name="IQ_EST_NEXT_EARNINGS_DATE" hidden="1">"c13591"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DJ_ACT_OR_EST_CIQ" hidden="1">"c4960"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42786.5434953704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OPERATING_INC_AVG_ASSETS_FFIEC" hidden="1">"c13365"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40002.6080787037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">#REF!</definedName>
    <definedName name="IS_1B">'[19]Page 1A'!#REF!</definedName>
    <definedName name="IS_1C">'[19]Page 1A'!#REF!</definedName>
    <definedName name="IS_1D">'[19]Page 1A'!#REF!</definedName>
    <definedName name="IS_ACC_NUM">#REF!</definedName>
    <definedName name="IS_Forecast" localSheetId="9">#REF!</definedName>
    <definedName name="IS_Forecast" localSheetId="10">#REF!</definedName>
    <definedName name="IS_Forecast">#REF!</definedName>
    <definedName name="IS_Monthly" localSheetId="10">#REF!</definedName>
    <definedName name="IS_Monthly">#REF!</definedName>
    <definedName name="IS_Plan" localSheetId="10">#REF!</definedName>
    <definedName name="IS_Plan">#REF!</definedName>
    <definedName name="IS_Plan2" localSheetId="10">#REF!</definedName>
    <definedName name="IS_Plan2">#REF!</definedName>
    <definedName name="IS2_">#REF!</definedName>
    <definedName name="ISACCTS">#REF!</definedName>
    <definedName name="ISDOWNLOAD">#REF!</definedName>
    <definedName name="ISFERC">#REF!</definedName>
    <definedName name="ISHEADER">#REF!</definedName>
    <definedName name="ISPRES">#REF!</definedName>
    <definedName name="jan">#REF!</definedName>
    <definedName name="JE">#REF!</definedName>
    <definedName name="JE_90004">#REF!</definedName>
    <definedName name="JE_four_Entry">#REF!</definedName>
    <definedName name="JE_four_Spreadsheet">#REF!</definedName>
    <definedName name="JE2BUP">#REF!</definedName>
    <definedName name="JE2PG1">#REF!</definedName>
    <definedName name="JE2PG2">#REF!</definedName>
    <definedName name="JE2PG3">#REF!</definedName>
    <definedName name="JE2PG4">#REF!</definedName>
    <definedName name="JE4PG1">#REF!</definedName>
    <definedName name="JE4PG2">#REF!</definedName>
    <definedName name="JE4PG3">#REF!</definedName>
    <definedName name="JE4PG4">#REF!</definedName>
    <definedName name="JE4PG5">#REF!</definedName>
    <definedName name="JE4PG6">#REF!</definedName>
    <definedName name="JE4PG7">#REF!</definedName>
    <definedName name="JE4PG8">#REF!</definedName>
    <definedName name="JE7FSRECON">#REF!</definedName>
    <definedName name="je90006a">'[49]JE 6 Form'!#REF!</definedName>
    <definedName name="JEBRKDN">'[1]Page 13A'!#REF!</definedName>
    <definedName name="jjj" localSheetId="9" hidden="1">{"Page 1",#N/A,FALSE,"INDSDUE2";"Page 2",#N/A,FALSE,"INDSDUE2"}</definedName>
    <definedName name="jjj" localSheetId="11" hidden="1">{"Page 1",#N/A,FALSE,"INDSDUE2";"Page 2",#N/A,FALSE,"INDSDUE2"}</definedName>
    <definedName name="jjj" hidden="1">{"Page 1",#N/A,FALSE,"INDSDUE2";"Page 2",#N/A,FALSE,"INDSDUE2"}</definedName>
    <definedName name="Journal" localSheetId="9">#REF!</definedName>
    <definedName name="Journal">#REF!</definedName>
    <definedName name="JURIS_G">#REF!</definedName>
    <definedName name="JURIS_G1">#REF!</definedName>
    <definedName name="JURIS_G2">#REF!</definedName>
    <definedName name="JURIS_G3">#REF!</definedName>
    <definedName name="kjlsdjfl">'[50]PG 19  A_B'!$C$2:$R$70</definedName>
    <definedName name="KUABILLING" localSheetId="9">#REF!</definedName>
    <definedName name="KUABILLING">#REF!</definedName>
    <definedName name="KUASUPPD" localSheetId="9">#REF!</definedName>
    <definedName name="KUASUPPD">#REF!</definedName>
    <definedName name="LAST_YEAR">'[21]LAST YEAR'!$A$2:$D$2700</definedName>
    <definedName name="LiabEquityRange" localSheetId="9">#REF!</definedName>
    <definedName name="LiabEquityRange">#REF!</definedName>
    <definedName name="LIZ" localSheetId="9">#REF!</definedName>
    <definedName name="LIZ">#REF!</definedName>
    <definedName name="LORICLARKDATA" localSheetId="9">[20]DL1204!#REF!</definedName>
    <definedName name="LORICLARKDATA" localSheetId="10">#REF!</definedName>
    <definedName name="LORICLARKDATA">'[32]DL 1204'!#REF!</definedName>
    <definedName name="MACROS">[51]UPDATES!$A$6</definedName>
    <definedName name="MEMO" localSheetId="9">#REF!</definedName>
    <definedName name="MEMO">#REF!</definedName>
    <definedName name="MISC_CM">#REF!</definedName>
    <definedName name="MISC_QTR">#REF!</definedName>
    <definedName name="MISC_SRV_1995">#REF!</definedName>
    <definedName name="MISC_SRV_1996">#REF!</definedName>
    <definedName name="MISC_SRV_1998">#REF!</definedName>
    <definedName name="MISC_SRV_1999">#REF!</definedName>
    <definedName name="MISC_SRV_BUD">#REF!</definedName>
    <definedName name="MISC_SRV_FRCST">#REF!</definedName>
    <definedName name="MISC_YTD">#REF!</definedName>
    <definedName name="MKT_BASED_PUR">#REF!</definedName>
    <definedName name="MKT_BASED_PUR1">#REF!</definedName>
    <definedName name="MKT_BASED_PUR2">#REF!</definedName>
    <definedName name="MODATA2">'[1]Page 29A'!#REF!</definedName>
    <definedName name="MODATA3">#REF!</definedName>
    <definedName name="MONRECON" localSheetId="9">#REF!</definedName>
    <definedName name="MONRECON">#REF!</definedName>
    <definedName name="MONTH">[21]DOWNLOAD!$G$3</definedName>
    <definedName name="MONTH_NUMBER">'[1]Page 29A'!#REF!</definedName>
    <definedName name="monthly_factor">#REF!</definedName>
    <definedName name="MONWHL" localSheetId="9">#REF!</definedName>
    <definedName name="MONWHL">#REF!</definedName>
    <definedName name="MS_CM_ACT_ACT">#REF!</definedName>
    <definedName name="MS_CM_ACT_BUD">#REF!</definedName>
    <definedName name="MS_QTR_ACT_ACT">#REF!</definedName>
    <definedName name="MS_QTR_ACT_BUD">#REF!</definedName>
    <definedName name="MS_YTD_ACT_ACT">#REF!</definedName>
    <definedName name="MS_YTD_ACT_BUD">#REF!</definedName>
    <definedName name="Net_Income" localSheetId="9">#REF!</definedName>
    <definedName name="Net_Income">#REF!</definedName>
    <definedName name="NetBudget">#REF!</definedName>
    <definedName name="NetCY">#REF!</definedName>
    <definedName name="NetPY">#REF!</definedName>
    <definedName name="ni_1999_ext" localSheetId="9">#REF!</definedName>
    <definedName name="ni_1999_ext">#REF!</definedName>
    <definedName name="NI_2Q">#REF!</definedName>
    <definedName name="NI_3Q">#REF!</definedName>
    <definedName name="NI_4Q">#REF!</definedName>
    <definedName name="NOI" localSheetId="9">#REF!</definedName>
    <definedName name="NOI" localSheetId="10">#REF!</definedName>
    <definedName name="NOI">#REF!</definedName>
    <definedName name="NONREC">#REF!</definedName>
    <definedName name="o">#REF!</definedName>
    <definedName name="O_MADDER">#REF!</definedName>
    <definedName name="OI_4A">#REF!</definedName>
    <definedName name="OI_4B">#REF!</definedName>
    <definedName name="OI_4D">#REF!</definedName>
    <definedName name="OISBUDG">#REF!</definedName>
    <definedName name="ONE">#REF!</definedName>
    <definedName name="OOR">[52]DOWNLOAD!#REF!</definedName>
    <definedName name="OOR_1997ACT">#REF!</definedName>
    <definedName name="OOR_1998ACT">#REF!</definedName>
    <definedName name="OOR_ACT">#REF!</definedName>
    <definedName name="OOR_BUD">#REF!</definedName>
    <definedName name="OOR_CURYRBUD">#REF!</definedName>
    <definedName name="OOR94ACT">#REF!</definedName>
    <definedName name="OOR97ACTYTD">#REF!</definedName>
    <definedName name="OOR98ACTYTD">#REF!</definedName>
    <definedName name="OORACT">#REF!</definedName>
    <definedName name="OORBUD">#REF!</definedName>
    <definedName name="OORBUDYTD">#REF!</definedName>
    <definedName name="OORCM_ACT_PRIOR">#REF!</definedName>
    <definedName name="OORSSGOAL">#REF!</definedName>
    <definedName name="OORVPACTYTD">#REF!</definedName>
    <definedName name="OORVPBUDYTD">#REF!</definedName>
    <definedName name="OP_INC_1998">#REF!</definedName>
    <definedName name="OP_INC_2Q">#REF!</definedName>
    <definedName name="OP_INC_3Q">#REF!</definedName>
    <definedName name="OP_INC_4Q">#REF!</definedName>
    <definedName name="OP_INC_ACTUAL">#REF!</definedName>
    <definedName name="OP_INC_BUDGET">#REF!</definedName>
    <definedName name="OPT_PROVISION">#REF!</definedName>
    <definedName name="OTHER_CF" localSheetId="10">#REF!</definedName>
    <definedName name="OTHER_CF">#REF!</definedName>
    <definedName name="OTHER_CR" localSheetId="10">#REF!</definedName>
    <definedName name="OTHER_CR">#REF!</definedName>
    <definedName name="OTHER_ELEC_REV">#REF!</definedName>
    <definedName name="OtherBud">#REF!</definedName>
    <definedName name="OtherCurLiab_Note">#REF!</definedName>
    <definedName name="OtherCY">#REF!</definedName>
    <definedName name="OtherIncExp_Note">#REF!</definedName>
    <definedName name="OtherPY">#REF!</definedName>
    <definedName name="OUC">#REF!</definedName>
    <definedName name="OUC_AMORTIZATIO">#REF!</definedName>
    <definedName name="P">'[1]Page 29A'!#REF!</definedName>
    <definedName name="PAGE_1">'[6]SUM 182'!$A$1:$Q$27</definedName>
    <definedName name="Page_19A">#REF!</definedName>
    <definedName name="Page_19B">#REF!</definedName>
    <definedName name="Page_20A">#REF!</definedName>
    <definedName name="Page_20B">#REF!</definedName>
    <definedName name="Page_21A">#REF!</definedName>
    <definedName name="Page_21B">#REF!</definedName>
    <definedName name="Page_22B">'[1]Page 22A'!#REF!</definedName>
    <definedName name="Page_23B">'[1]Page 23A'!#REF!</definedName>
    <definedName name="Page_24A">#REF!</definedName>
    <definedName name="Page_24B">'[1]Page 24A'!#REF!</definedName>
    <definedName name="Page_25B">'[1]Page 25A'!#REF!</definedName>
    <definedName name="Page_26B">'[1]Page 26A'!#REF!</definedName>
    <definedName name="Page_27B">'[1]Page 27A'!#REF!</definedName>
    <definedName name="Page_2B">'[19]Page 2A'!#REF!</definedName>
    <definedName name="Page_8" localSheetId="9">#REF!</definedName>
    <definedName name="Page_8">#REF!</definedName>
    <definedName name="Page1">#REF!</definedName>
    <definedName name="PAGE10" localSheetId="10">#REF!</definedName>
    <definedName name="PAGE10">#REF!</definedName>
    <definedName name="Page18A">#REF!</definedName>
    <definedName name="Page18B">#REF!</definedName>
    <definedName name="Page18BDetail">#REF!</definedName>
    <definedName name="Page18Detail">#REF!</definedName>
    <definedName name="PAGE1A" localSheetId="9">#REF!</definedName>
    <definedName name="PAGE1A" localSheetId="10">'[53]Page 1 last month YTD'!#REF!</definedName>
    <definedName name="PAGE1A">'[54]Page 1 last month YTD'!#REF!</definedName>
    <definedName name="PAGE1B">'[1]Page 1A'!#REF!</definedName>
    <definedName name="PAGE1C" localSheetId="9">#REF!</definedName>
    <definedName name="PAGE1C" localSheetId="10">'[53]Page 1 last month YTD'!#REF!</definedName>
    <definedName name="PAGE1C">'[54]Page 1 last month YTD'!#REF!</definedName>
    <definedName name="PAGE1D" localSheetId="9">#REF!</definedName>
    <definedName name="PAGE1D" localSheetId="10">'[53]Page 1 last month YTD'!#REF!</definedName>
    <definedName name="PAGE1D">'[54]Page 1 last month YTD'!#REF!</definedName>
    <definedName name="PAGE1D2" localSheetId="9">#REF!</definedName>
    <definedName name="PAGE1D2" localSheetId="10">'[53]Page 1 last month YTD'!#REF!</definedName>
    <definedName name="PAGE1D2">'[54]Page 1 last month YTD'!#REF!</definedName>
    <definedName name="Page2" localSheetId="9">#REF!</definedName>
    <definedName name="Page2">#REF!</definedName>
    <definedName name="PAGE2A" localSheetId="9">#REF!</definedName>
    <definedName name="PAGE2A" localSheetId="10">#REF!</definedName>
    <definedName name="PAGE2A">#REF!</definedName>
    <definedName name="PAGE2B" localSheetId="10">#REF!</definedName>
    <definedName name="PAGE2B">#REF!</definedName>
    <definedName name="PAGE3">#REF!</definedName>
    <definedName name="PAGE3_FINAL">#REF!</definedName>
    <definedName name="PAGE3A">'[42]Page 2B'!#REF!</definedName>
    <definedName name="Page3B.">#REF!</definedName>
    <definedName name="PAGE3C">'[42]Page 2B'!#REF!</definedName>
    <definedName name="PAGE3D">'[42]Page 2B'!#REF!</definedName>
    <definedName name="PAGE4">[2]BALSHT!$D$226:$S$289</definedName>
    <definedName name="PAGE4A">#REF!</definedName>
    <definedName name="PAGE4AWS">#REF!</definedName>
    <definedName name="PAGE4B" localSheetId="10">[2]BALSHT!$T$226:$AJ$289</definedName>
    <definedName name="PAGE4B">#REF!</definedName>
    <definedName name="PAGE4C" localSheetId="10">[2]BALSHT!$AJ$226:$AW$289</definedName>
    <definedName name="PAGE4C">#REF!</definedName>
    <definedName name="PAGE4D" localSheetId="10">[2]BALSHT!$AX$226:$BQ$288</definedName>
    <definedName name="PAGE4D">#REF!</definedName>
    <definedName name="PAGE4E">[2]BALSHT!$AH$226:$AJ$289</definedName>
    <definedName name="PAGE5B">'[1]Page 4A'!#REF!</definedName>
    <definedName name="PAGE5C">'[1]Page 4A'!#REF!</definedName>
    <definedName name="PAGE6" localSheetId="10">#REF!</definedName>
    <definedName name="PAGE6">#REF!</definedName>
    <definedName name="PAGE6A">'[1]Page 5B'!#REF!</definedName>
    <definedName name="PAGE6B" localSheetId="9">[16]BALSHT!#REF!</definedName>
    <definedName name="PAGE6B" localSheetId="10">#REF!</definedName>
    <definedName name="PAGE6B">'[42]Page 5A'!#REF!</definedName>
    <definedName name="PAGE6C">'[1]Page 5B'!#REF!</definedName>
    <definedName name="PAGE7" localSheetId="9">#REF!</definedName>
    <definedName name="PAGE7" localSheetId="10">#REF!</definedName>
    <definedName name="PAGE7">#REF!</definedName>
    <definedName name="PAGE8" localSheetId="10">#REF!</definedName>
    <definedName name="PAGE8">#REF!</definedName>
    <definedName name="PAGE9" localSheetId="10">#REF!</definedName>
    <definedName name="PAGE9">#REF!</definedName>
    <definedName name="PagePrint">#REF!</definedName>
    <definedName name="Par_Act">#REF!</definedName>
    <definedName name="Par_Bud">#REF!</definedName>
    <definedName name="PE_C_MO">#REF!</definedName>
    <definedName name="PE_C_QTR">#REF!</definedName>
    <definedName name="PE_C_YTD">#REF!</definedName>
    <definedName name="PE_CPYIS" localSheetId="9">'[3]PEC Income Stmt'!#REF!</definedName>
    <definedName name="PE_CPYIS" localSheetId="10">'[4]PEC Income Stmt'!#REF!</definedName>
    <definedName name="PE_CPYIS">'[5]PEC Income Stmt'!#REF!</definedName>
    <definedName name="PEOPLES" localSheetId="9">#REF!</definedName>
    <definedName name="PEOPLES">#REF!</definedName>
    <definedName name="PG_1">#REF!</definedName>
    <definedName name="PG_13_OF16" localSheetId="9">#REF!</definedName>
    <definedName name="PG_13_OF16">#REF!</definedName>
    <definedName name="PG_15_OF_16" localSheetId="9">#REF!</definedName>
    <definedName name="PG_15_OF_16">#REF!</definedName>
    <definedName name="PG_16_OF_16">#REF!</definedName>
    <definedName name="PG_2">'[21]Actual check'!#REF!</definedName>
    <definedName name="PG_8_OF_16" localSheetId="9">#REF!</definedName>
    <definedName name="PG_8_OF_16">#REF!</definedName>
    <definedName name="PG_CK_2000">#REF!</definedName>
    <definedName name="PG_Ck_2001">#REF!</definedName>
    <definedName name="PG_CK_97">#REF!</definedName>
    <definedName name="PG_CK_98">#REF!</definedName>
    <definedName name="PG_CK_99">#REF!</definedName>
    <definedName name="PG4ABUD" localSheetId="9">#REF!</definedName>
    <definedName name="PG4ABUD">#REF!</definedName>
    <definedName name="PGIII_10">#REF!</definedName>
    <definedName name="PGIII_11">#REF!</definedName>
    <definedName name="PGIII_12">#REF!</definedName>
    <definedName name="PGIII_13">#REF!</definedName>
    <definedName name="PGIII_14">#REF!</definedName>
    <definedName name="PGIII_15">#REF!</definedName>
    <definedName name="PGIII_1A">#REF!</definedName>
    <definedName name="PGIII_2">#REF!</definedName>
    <definedName name="PGIII_3">#REF!</definedName>
    <definedName name="PGIII_4">#REF!</definedName>
    <definedName name="PGIII_5">#REF!</definedName>
    <definedName name="PGIII_6">#REF!</definedName>
    <definedName name="PGIII_7">#REF!</definedName>
    <definedName name="PGIII_8">#REF!</definedName>
    <definedName name="PGIII_9">#REF!</definedName>
    <definedName name="PLANBOOK_CF1">#REF!</definedName>
    <definedName name="PLANBOOK_CF2">#REF!</definedName>
    <definedName name="PLANBOOK_CF3">#REF!</definedName>
    <definedName name="PLANBSP1">#REF!</definedName>
    <definedName name="PLANBSP2">#REF!</definedName>
    <definedName name="PLANCAPS">#REF!</definedName>
    <definedName name="PLANCFP3">#REF!</definedName>
    <definedName name="PLANCFP4">#REF!</definedName>
    <definedName name="PLANCFP5">#REF!</definedName>
    <definedName name="PLANCFP6">#REF!</definedName>
    <definedName name="PLANCFP7">#REF!</definedName>
    <definedName name="PLANIS">#REF!</definedName>
    <definedName name="PLANISP1">#REF!</definedName>
    <definedName name="PLANISP2">#REF!</definedName>
    <definedName name="PLANISP3">#REF!</definedName>
    <definedName name="PLANT_SCHEDULE">[55]PLANT!#REF!</definedName>
    <definedName name="PLine1" localSheetId="9">[56]Sheet1!$B$8</definedName>
    <definedName name="PLine1" localSheetId="10">[35]Sheet1!$B$8</definedName>
    <definedName name="PLine1">[36]Sheet1!$B$8</definedName>
    <definedName name="PLine2" localSheetId="9">[56]Sheet1!$B$9</definedName>
    <definedName name="PLine2" localSheetId="10">[35]Sheet1!$B$9</definedName>
    <definedName name="PLine2">[36]Sheet1!$B$9</definedName>
    <definedName name="PLine3" localSheetId="9">[56]Sheet1!$B$10</definedName>
    <definedName name="PLine3" localSheetId="10">[35]Sheet1!$B$10</definedName>
    <definedName name="PLine3">[36]Sheet1!$B$10</definedName>
    <definedName name="PLine4" localSheetId="9">[57]Sheet1!$B$11</definedName>
    <definedName name="PLine4" localSheetId="10">[35]Sheet1!$B$11</definedName>
    <definedName name="PLine4">[36]Sheet1!$B$11</definedName>
    <definedName name="PLNQTBS1" localSheetId="9">#REF!</definedName>
    <definedName name="PLNQTBS1">#REF!</definedName>
    <definedName name="PLNQTBS2">#REF!</definedName>
    <definedName name="PMTAX">#REF!</definedName>
    <definedName name="PPE">#REF!</definedName>
    <definedName name="PRACT">'[1]Page 13A'!#REF!</definedName>
    <definedName name="PRESBSA1">#REF!</definedName>
    <definedName name="PRESBSA2">#REF!</definedName>
    <definedName name="PRESCAP">#REF!</definedName>
    <definedName name="PRESCFLW">#REF!</definedName>
    <definedName name="PreviousPmntDate">#REF!</definedName>
    <definedName name="PRINT">#REF!</definedName>
    <definedName name="PRINT_2Q">#REF!</definedName>
    <definedName name="PRINT_3Q">#REF!</definedName>
    <definedName name="PRINT_4Q">#REF!</definedName>
    <definedName name="_xlnm.Print_Area" localSheetId="9">'C-4 (2021)'!$A$1:$S$243</definedName>
    <definedName name="_xlnm.Print_Area" localSheetId="10">'C-4 (2025)'!$A$1:$S$262</definedName>
    <definedName name="_xlnm.Print_Area" localSheetId="1">'C-8 '!$A$1:$S$137</definedName>
    <definedName name="_xlnm.Print_Area" localSheetId="0">'C-8 (Old)'!$A$1:$S$106</definedName>
    <definedName name="_xlnm.Print_Area">#REF!</definedName>
    <definedName name="Print_Area_MI">'[6]SUM 143'!$A$1:$O$40</definedName>
    <definedName name="Print_Area1" localSheetId="9">#REF!</definedName>
    <definedName name="Print_Area1">#REF!</definedName>
    <definedName name="PRINT_COMPANIES" localSheetId="9">#REF!</definedName>
    <definedName name="PRINT_COMPANIES">#REF!</definedName>
    <definedName name="PRINT_DRAFT">#REF!</definedName>
    <definedName name="PRINT_FINAL">#REF!</definedName>
    <definedName name="PRINT_INPUT" localSheetId="9">#REF!</definedName>
    <definedName name="PRINT_INPUT">#REF!</definedName>
    <definedName name="PRINT_MACRO">#REF!</definedName>
    <definedName name="PRINT_NOTE">#REF!</definedName>
    <definedName name="PRINT_TECO">#REF!</definedName>
    <definedName name="_xlnm.Print_Titles">#REF!</definedName>
    <definedName name="printa1a_d12">#N/A</definedName>
    <definedName name="PrintRangeC1" localSheetId="9">#REF!</definedName>
    <definedName name="PrintRangeC1">#REF!</definedName>
    <definedName name="PriorYear" localSheetId="9">[37]SetupData!$B$13</definedName>
    <definedName name="PriorYear" localSheetId="10">[46]Sheet1!$B$16</definedName>
    <definedName name="PriorYear">[34]Sheet1!$B$16</definedName>
    <definedName name="PROCEDURES">#REF!</definedName>
    <definedName name="PROFORMA_ROE_Avg">#REF!</definedName>
    <definedName name="PROFORMA_ROE_Year">#REF!</definedName>
    <definedName name="PRPRACT">'[1]Page 13A'!#REF!</definedName>
    <definedName name="PURCHPWR">#REF!</definedName>
    <definedName name="PYBS">#REF!</definedName>
    <definedName name="PYEGYASSTS" localSheetId="10">#REF!</definedName>
    <definedName name="PYEGYASSTS">#REF!</definedName>
    <definedName name="PYEGYLIABS" localSheetId="10">#REF!</definedName>
    <definedName name="PYEGYLIABS">#REF!</definedName>
    <definedName name="PYISWP" localSheetId="10">#REF!</definedName>
    <definedName name="PYISWP">#REF!</definedName>
    <definedName name="PYVAR">#REF!</definedName>
    <definedName name="QTD">#REF!</definedName>
    <definedName name="QTR_ACT_ACT">#REF!</definedName>
    <definedName name="QTR_ACT_BUD">#REF!</definedName>
    <definedName name="QTR_BASE_REV">[27]BASE!#REF!</definedName>
    <definedName name="QTR_GWH_SALES">#REF!</definedName>
    <definedName name="QTRACTTBRR">#REF!</definedName>
    <definedName name="QTRBUDTBRR">#REF!</definedName>
    <definedName name="QTRDETAIL">#REF!</definedName>
    <definedName name="QTROOR">#REF!</definedName>
    <definedName name="QTRREVAN">#REF!</definedName>
    <definedName name="RATE">#REF!</definedName>
    <definedName name="RateTable">#REF!</definedName>
    <definedName name="RECON">#REF!</definedName>
    <definedName name="RECON_A">#REF!</definedName>
    <definedName name="RECON_ASSETS" localSheetId="10">#REF!</definedName>
    <definedName name="RECON_ASSETS">#REF!</definedName>
    <definedName name="RECON_LIABILITIES" localSheetId="10">#REF!</definedName>
    <definedName name="RECON_LIABILITIES">#REF!</definedName>
    <definedName name="RECON_SUMMARY" localSheetId="10">#REF!</definedName>
    <definedName name="RECON_SUMMARY">#REF!</definedName>
    <definedName name="REFORECAST_1">'[58]OOR PRESENT.'!#REF!</definedName>
    <definedName name="REFORECAST_2">'[58]OOR PRESENT.'!#REF!</definedName>
    <definedName name="REFORECAST_3">'[58]OOR PRESENT.'!#REF!</definedName>
    <definedName name="REFORECAST_4">'[58]OOR PRESENT.'!#REF!</definedName>
    <definedName name="REFORECAST_5">'[58]OOR PRESENT.'!#REF!</definedName>
    <definedName name="REG_SUPPORT">'[59]REG. A. L.'!#REF!</definedName>
    <definedName name="REGTAX" localSheetId="9">#REF!</definedName>
    <definedName name="REGTAX">#REF!</definedName>
    <definedName name="RENT_CM">#REF!</definedName>
    <definedName name="RENT_QTR">#REF!</definedName>
    <definedName name="RENT_YTD">#REF!</definedName>
    <definedName name="RESERVES">'[60]BS ACCTS'!$A$1:$P$300</definedName>
    <definedName name="RESIDUAL_CM">#REF!</definedName>
    <definedName name="RESIDUALS_QTR">#REF!</definedName>
    <definedName name="RETAIL_PG9_OF_16" localSheetId="9">#REF!</definedName>
    <definedName name="RETAIL_PG9_OF_16">#REF!</definedName>
    <definedName name="REV_RECAP">#REF!</definedName>
    <definedName name="REV_RECAP_HDR">#REF!</definedName>
    <definedName name="rev153data" localSheetId="9">#REF!</definedName>
    <definedName name="rev153data">#REF!</definedName>
    <definedName name="rev451data">#REF!</definedName>
    <definedName name="REVENUE">#REF!</definedName>
    <definedName name="REVENUECALC">#REF!</definedName>
    <definedName name="REVEXPRECON">#REF!</definedName>
    <definedName name="REVHIST">#REF!</definedName>
    <definedName name="REVIEW">#REF!</definedName>
    <definedName name="ROE_COMPARISON" localSheetId="10">#REF!</definedName>
    <definedName name="ROE_COMPARISON">#REF!</definedName>
    <definedName name="s" localSheetId="10">[61]Sheet1!$B$10</definedName>
    <definedName name="s">[62]Sheet1!$B$10</definedName>
    <definedName name="sally">[63]UPDATES!$A$6</definedName>
    <definedName name="SCH_1">#REF!</definedName>
    <definedName name="SCH_2_1_3">#REF!</definedName>
    <definedName name="SCH_2_2_3">#REF!</definedName>
    <definedName name="SCH_2_SUPPLEMENT">#REF!</definedName>
    <definedName name="SCH_3_1_3">#REF!</definedName>
    <definedName name="SCH_3_2_3">#REF!</definedName>
    <definedName name="SCH_3_SUPPLEMENT">#REF!</definedName>
    <definedName name="SCH_4">#REF!</definedName>
    <definedName name="SCH_4_Proforma">#REF!</definedName>
    <definedName name="SCH_4_Supplement">#REF!</definedName>
    <definedName name="SCH_5_1_2">#REF!</definedName>
    <definedName name="SCH_5_2_2">#REF!</definedName>
    <definedName name="SCH_5_SUPPLEMENT">#REF!</definedName>
    <definedName name="ScheduleData" localSheetId="9">[37]Schedules!$C$3:$G$102</definedName>
    <definedName name="ScheduleData">[38]Schedules!$C$3:$G$102</definedName>
    <definedName name="SettlementDate">#REF!</definedName>
    <definedName name="SHARES">#REF!</definedName>
    <definedName name="SPECIFIC_ADJUSTMENTS">#REF!</definedName>
    <definedName name="SUMMARY" localSheetId="9">#REF!</definedName>
    <definedName name="SUMMARY">#REF!</definedName>
    <definedName name="SUPRESS" localSheetId="9">#REF!</definedName>
    <definedName name="SUPRESS">#REF!</definedName>
    <definedName name="SUPRESS2">#REF!</definedName>
    <definedName name="SURV" localSheetId="9">'[64]SURV ACCOUNTS'!$A$1:$C$65536</definedName>
    <definedName name="SURV" localSheetId="10">'[65]SURV ACCOUNTS'!$A$1:$C$453</definedName>
    <definedName name="SURV">#REF!</definedName>
    <definedName name="SURVEY" localSheetId="9">#REF!</definedName>
    <definedName name="SURVEY">#REF!</definedName>
    <definedName name="TABLE" localSheetId="9">#REF!</definedName>
    <definedName name="TABLE">#REF!</definedName>
    <definedName name="TABLE2">#REF!</definedName>
    <definedName name="Table2008">#REF!</definedName>
    <definedName name="Table2009">#REF!</definedName>
    <definedName name="TABLE2A">#REF!</definedName>
    <definedName name="TABLE3">#REF!</definedName>
    <definedName name="TABLE3A">#REF!</definedName>
    <definedName name="TAX_TRUE_UP">#REF!</definedName>
    <definedName name="TAXRATE" localSheetId="9">#REF!</definedName>
    <definedName name="TAXRATE">'[66]SURV INPUTS'!$E$5</definedName>
    <definedName name="TAXUP" localSheetId="9">#REF!</definedName>
    <definedName name="TAXUP">'[67]SURV INPUTS'!$D$7</definedName>
    <definedName name="TAXWSHT" localSheetId="9">#REF!</definedName>
    <definedName name="TAXWSHT">#REF!</definedName>
    <definedName name="TBRR">#REF!</definedName>
    <definedName name="TBRRBUD">#REF!</definedName>
    <definedName name="TECO_TRANSPORT" localSheetId="9">#REF!</definedName>
    <definedName name="TECO_TRANSPORT">#REF!</definedName>
    <definedName name="TEFIS">[2]BALSHT!$J$291:$S$299</definedName>
    <definedName name="TEFIS2">[2]BALSHT!$U$291:$AG$299</definedName>
    <definedName name="TEFIS99" localSheetId="9">#REF!</definedName>
    <definedName name="TEFIS99">#REF!</definedName>
    <definedName name="TestYear" localSheetId="9">[37]SetupData!$B$12</definedName>
    <definedName name="TestYear" localSheetId="10">[46]Sheet1!$B$15</definedName>
    <definedName name="TestYear">[68]Sheet1!$B$15</definedName>
    <definedName name="TITLE_CELL" localSheetId="9">#REF!</definedName>
    <definedName name="TITLE_CELL">#REF!</definedName>
    <definedName name="TMPV_Act" localSheetId="9">#REF!</definedName>
    <definedName name="TMPV_Act">#REF!</definedName>
    <definedName name="TMPV_Bud" localSheetId="9">#REF!</definedName>
    <definedName name="TMPV_Bud">#REF!</definedName>
    <definedName name="TOTAVG" localSheetId="9">'[33]SURV REPORT'!$A$3</definedName>
    <definedName name="TOTAVG">'[69]SURV REPORT'!$A$3</definedName>
    <definedName name="TPS_EXT" localSheetId="9">#REF!</definedName>
    <definedName name="TPS_EXT">#REF!</definedName>
    <definedName name="TPSGO_Act" localSheetId="9">#REF!</definedName>
    <definedName name="TPSGO_Act">#REF!</definedName>
    <definedName name="TPSGO_Bud" localSheetId="9">#REF!</definedName>
    <definedName name="TPSGO_Bud">#REF!</definedName>
    <definedName name="TPSNETINC">#REF!</definedName>
    <definedName name="TPSOPINC">#REF!</definedName>
    <definedName name="TRANS_SEP_Cost_Study" localSheetId="9">#REF!</definedName>
    <definedName name="TRANS_SEP_Cost_Study">'[67]TRANS SEP'!#REF!</definedName>
    <definedName name="TRANS_SEP_Production" localSheetId="9">#REF!</definedName>
    <definedName name="TRANS_SEP_Production">'[67]TRANS SEP'!#REF!</definedName>
    <definedName name="TRANS_SEP_Production_Factors" localSheetId="9">#REF!</definedName>
    <definedName name="TRANS_SEP_Production_Factors">#REF!</definedName>
    <definedName name="TRANS_SEP_Transmission" localSheetId="9">#REF!</definedName>
    <definedName name="TRANS_SEP_Transmission">'[67]TRANS SEP'!#REF!</definedName>
    <definedName name="TRANS_SEP_Transmission_Factors" localSheetId="9">#REF!</definedName>
    <definedName name="TRANS_SEP_Transmission_Factors">#REF!</definedName>
    <definedName name="TTT" localSheetId="9">#REF!</definedName>
    <definedName name="TTT">#REF!</definedName>
    <definedName name="TWMODATA">'[1]Page 29A'!#REF!</definedName>
    <definedName name="TWMONTH">#REF!</definedName>
    <definedName name="TWO" localSheetId="9">#REF!</definedName>
    <definedName name="TWO">#REF!</definedName>
    <definedName name="TYL1_" localSheetId="9">[37]SetupData!$B$24</definedName>
    <definedName name="TYL1_">[44]SetupData!$B$24</definedName>
    <definedName name="TYL2_" localSheetId="9">[37]SetupData!$B$25</definedName>
    <definedName name="TYL2_">[44]SetupData!$B$25</definedName>
    <definedName name="TYL3_" localSheetId="9">[37]SetupData!$B$26</definedName>
    <definedName name="TYL3_">[44]SetupData!$B$26</definedName>
    <definedName name="UPDATED">[70]Input!$B$3</definedName>
    <definedName name="VEHDEPWT" localSheetId="9">#REF!</definedName>
    <definedName name="VEHDEPWT">#REF!</definedName>
    <definedName name="WC_AVG" localSheetId="9">#REF!</definedName>
    <definedName name="WC_AVG" localSheetId="10">#REF!</definedName>
    <definedName name="WC_AVG">[67]WC!$A$3</definedName>
    <definedName name="WC_CHECK" localSheetId="9">#REF!</definedName>
    <definedName name="WC_CHECK" localSheetId="10">#REF!</definedName>
    <definedName name="WC_CHECK">#REF!</definedName>
    <definedName name="WC_FUEL_CONSRV_ECRC" localSheetId="9">#REF!</definedName>
    <definedName name="WC_FUEL_CONSRV_ECRC" localSheetId="10">#REF!</definedName>
    <definedName name="WC_FUEL_CONSRV_ECRC">#REF!</definedName>
    <definedName name="WC_INVESTOR_Funds" localSheetId="9">#REF!</definedName>
    <definedName name="WC_INVESTOR_Funds" localSheetId="10">#REF!</definedName>
    <definedName name="WC_INVESTOR_Funds">#REF!</definedName>
    <definedName name="WC_NONUTILITY_Assets" localSheetId="9">#REF!</definedName>
    <definedName name="WC_NONUTILITY_Assets" localSheetId="10">#REF!</definedName>
    <definedName name="WC_NONUTILITY_Assets">#REF!</definedName>
    <definedName name="WC_NONUTILITY_Liabilities" localSheetId="9">#REF!</definedName>
    <definedName name="WC_NONUTILITY_Liabilities" localSheetId="10">#REF!</definedName>
    <definedName name="WC_NONUTILITY_Liabilities">#REF!</definedName>
    <definedName name="WC_OTHER_Adjustments" localSheetId="9">#REF!</definedName>
    <definedName name="WC_OTHER_Adjustments" localSheetId="10">#REF!</definedName>
    <definedName name="WC_OTHER_Adjustments">#REF!</definedName>
    <definedName name="WC_OTHERRETURN_Assets" localSheetId="9">#REF!</definedName>
    <definedName name="WC_OTHERRETURN_Assets" localSheetId="10">#REF!</definedName>
    <definedName name="WC_OTHERRETURN_Assets">#REF!</definedName>
    <definedName name="WC_OTHERRETURN_Liabilities" localSheetId="9">#REF!</definedName>
    <definedName name="WC_OTHERRETURN_Liabilities" localSheetId="10">#REF!</definedName>
    <definedName name="WC_OTHERRETURN_Liabilities">#REF!</definedName>
    <definedName name="WC_SCH_Assets" localSheetId="9">#REF!</definedName>
    <definedName name="WC_SCH_Assets" localSheetId="10">#REF!</definedName>
    <definedName name="WC_SCH_Assets">#REF!</definedName>
    <definedName name="WC_SCH_Liabilities" localSheetId="9">#REF!</definedName>
    <definedName name="WC_SCH_Liabilities" localSheetId="10">#REF!</definedName>
    <definedName name="WC_SCH_Liabilities">#REF!</definedName>
    <definedName name="WC_SUMMARY" localSheetId="9">#REF!</definedName>
    <definedName name="WC_SUMMARY" localSheetId="10">#REF!</definedName>
    <definedName name="WC_SUMMARY">#REF!</definedName>
    <definedName name="WHSL" localSheetId="9">#REF!</definedName>
    <definedName name="WHSL">#REF!</definedName>
    <definedName name="WHSL100_" localSheetId="9">#REF!</definedName>
    <definedName name="WHSL100_">#REF!</definedName>
    <definedName name="WHSLDEFERRED" localSheetId="9">#REF!</definedName>
    <definedName name="WHSLDEFERRED">#REF!</definedName>
    <definedName name="WKS_BUDCASHFLOW">#REF!</definedName>
    <definedName name="WKS_CMCASHFLOW">#REF!</definedName>
    <definedName name="WKS_CMYTDVEHDEP">#REF!</definedName>
    <definedName name="WKS_PMBUDCASHFL">#REF!</definedName>
    <definedName name="WKS_PMCASHFLO">#REF!</definedName>
    <definedName name="WKS_PMCMCASHFLO">#REF!</definedName>
    <definedName name="WKS_PMYTDCASHFL">#REF!</definedName>
    <definedName name="WKS_PMYTDVEHDP">#REF!</definedName>
    <definedName name="WKS_YTDCASHFLOW">#REF!</definedName>
    <definedName name="WORK_PROJECT_DESCRIPTION">[70]Working!$AE:$AE</definedName>
    <definedName name="WORK_TOTAL">[70]Working!$X:$X</definedName>
    <definedName name="WORK_YEAR">[70]Working!$K:$K</definedName>
    <definedName name="wrn.Print." localSheetId="9" hidden="1">{"Page 1",#N/A,FALSE,"INDSDUE2";"Page 2",#N/A,FALSE,"INDSDUE2"}</definedName>
    <definedName name="wrn.Print." localSheetId="11" hidden="1">{"Page 1",#N/A,FALSE,"INDSDUE2";"Page 2",#N/A,FALSE,"INDSDUE2"}</definedName>
    <definedName name="wrn.Print." hidden="1">{"Page 1",#N/A,FALSE,"INDSDUE2";"Page 2",#N/A,FALSE,"INDSDUE2"}</definedName>
    <definedName name="YTD" localSheetId="9">#REF!</definedName>
    <definedName name="YTD">#REF!</definedName>
    <definedName name="YTD_ACT_ACT">#REF!</definedName>
    <definedName name="YTD_ACT_BUD">#REF!</definedName>
    <definedName name="YTD_BASE_REV">[27]BASE!$B$2:$N$27</definedName>
    <definedName name="YTD_GWH_SALES">#REF!</definedName>
    <definedName name="YTD_MISC_REV">#REF!</definedName>
    <definedName name="YTD_OTHR_ELECT_">#REF!</definedName>
    <definedName name="YTD_RENT">#REF!</definedName>
    <definedName name="YTD_RESIDUAL_RE">#REF!</definedName>
    <definedName name="YTDACT" localSheetId="9">'[3]Page 1'!#REF!</definedName>
    <definedName name="YTDACT" localSheetId="10">'[4]Page 1'!#REF!</definedName>
    <definedName name="YTDACT">'[5]Page 1'!#REF!</definedName>
    <definedName name="YTDACTTBRR">#REF!</definedName>
    <definedName name="YTDBUD" localSheetId="9">'[3]Page 1'!#REF!</definedName>
    <definedName name="YTDBUD" localSheetId="10">'[4]Page 1'!#REF!</definedName>
    <definedName name="YTDBUD">'[5]Page 1'!#REF!</definedName>
    <definedName name="YTDBUDTBRR">#REF!</definedName>
    <definedName name="YTDDATA">'[1]Page 29A'!#REF!</definedName>
    <definedName name="YTDDATA2">#REF!</definedName>
    <definedName name="YTDIS">#REF!</definedName>
    <definedName name="YTDMO" localSheetId="9">'[33]SURV REPORT'!$A$4</definedName>
    <definedName name="YTDMO">'[69]SURV REPORT'!$A$4</definedName>
    <definedName name="YTDOO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6" i="10" l="1"/>
  <c r="P81" i="10"/>
  <c r="G270" i="16"/>
  <c r="J52" i="10"/>
  <c r="H52" i="10"/>
  <c r="J50" i="10"/>
  <c r="H50" i="10"/>
  <c r="J48" i="10"/>
  <c r="H48" i="10"/>
  <c r="J46" i="10"/>
  <c r="H46" i="10"/>
  <c r="J44" i="10"/>
  <c r="H44" i="10"/>
  <c r="J42" i="10"/>
  <c r="H42" i="10"/>
  <c r="J40" i="10"/>
  <c r="H40" i="10"/>
  <c r="J38" i="10"/>
  <c r="H38" i="10"/>
  <c r="J36" i="10"/>
  <c r="H36" i="10"/>
  <c r="J34" i="10"/>
  <c r="H34" i="10"/>
  <c r="J32" i="10"/>
  <c r="H32" i="10"/>
  <c r="J30" i="10"/>
  <c r="H30" i="10"/>
  <c r="J28" i="10"/>
  <c r="H28" i="10"/>
  <c r="J26" i="10"/>
  <c r="H26" i="10"/>
  <c r="H24" i="10"/>
  <c r="J24" i="10"/>
  <c r="L48" i="10" l="1"/>
  <c r="N48" i="10" s="1"/>
  <c r="L28" i="10"/>
  <c r="N28" i="10" s="1"/>
  <c r="L24" i="10"/>
  <c r="N24" i="10" s="1"/>
  <c r="L40" i="10"/>
  <c r="N40" i="10" s="1"/>
  <c r="L52" i="10"/>
  <c r="N52" i="10" s="1"/>
  <c r="L50" i="10"/>
  <c r="N50" i="10" s="1"/>
  <c r="L46" i="10"/>
  <c r="N46" i="10" s="1"/>
  <c r="L44" i="10"/>
  <c r="N44" i="10" s="1"/>
  <c r="L42" i="10"/>
  <c r="N42" i="10" s="1"/>
  <c r="L38" i="10"/>
  <c r="N38" i="10" s="1"/>
  <c r="L36" i="10"/>
  <c r="N36" i="10" s="1"/>
  <c r="L34" i="10"/>
  <c r="N34" i="10" s="1"/>
  <c r="L32" i="10"/>
  <c r="N32" i="10" s="1"/>
  <c r="L30" i="10"/>
  <c r="N30" i="10" s="1"/>
  <c r="L26" i="10"/>
  <c r="N26" i="10" s="1"/>
  <c r="S15" i="12" l="1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S180" i="12"/>
  <c r="S181" i="12"/>
  <c r="S182" i="12"/>
  <c r="S183" i="12"/>
  <c r="S184" i="12"/>
  <c r="S185" i="12"/>
  <c r="S186" i="12"/>
  <c r="S187" i="12"/>
  <c r="S188" i="12"/>
  <c r="S189" i="12"/>
  <c r="S190" i="12"/>
  <c r="S191" i="12"/>
  <c r="S192" i="12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209" i="12"/>
  <c r="S210" i="12"/>
  <c r="S211" i="12"/>
  <c r="S212" i="12"/>
  <c r="S213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26" i="12"/>
  <c r="S227" i="12"/>
  <c r="S228" i="12"/>
  <c r="S229" i="12"/>
  <c r="S230" i="12"/>
  <c r="S231" i="12"/>
  <c r="S232" i="12"/>
  <c r="S233" i="12"/>
  <c r="S234" i="12"/>
  <c r="S235" i="12"/>
  <c r="S236" i="12"/>
  <c r="S237" i="12"/>
  <c r="S238" i="12"/>
  <c r="S239" i="12"/>
  <c r="S240" i="12"/>
  <c r="S241" i="12"/>
  <c r="S242" i="12"/>
  <c r="S243" i="12"/>
  <c r="S244" i="12"/>
  <c r="S245" i="12"/>
  <c r="S246" i="12"/>
  <c r="S247" i="12"/>
  <c r="S248" i="12"/>
  <c r="S249" i="12"/>
  <c r="S250" i="12"/>
  <c r="S251" i="12"/>
  <c r="S252" i="12"/>
  <c r="S253" i="12"/>
  <c r="S254" i="12"/>
  <c r="S255" i="12"/>
  <c r="S256" i="12"/>
  <c r="S257" i="12"/>
  <c r="S258" i="12"/>
  <c r="S259" i="12"/>
  <c r="S260" i="12"/>
  <c r="S261" i="12"/>
  <c r="S262" i="12"/>
  <c r="S263" i="12"/>
  <c r="S264" i="12"/>
  <c r="S265" i="12"/>
  <c r="S266" i="12"/>
  <c r="S267" i="12"/>
  <c r="S268" i="12"/>
  <c r="S269" i="12"/>
  <c r="S270" i="12"/>
  <c r="S271" i="12"/>
  <c r="S272" i="12"/>
  <c r="S273" i="12"/>
  <c r="S274" i="12"/>
  <c r="S275" i="12"/>
  <c r="S276" i="12"/>
  <c r="S277" i="12"/>
  <c r="S278" i="12"/>
  <c r="S279" i="12"/>
  <c r="S280" i="12"/>
  <c r="S281" i="12"/>
  <c r="S282" i="12"/>
  <c r="S283" i="12"/>
  <c r="S284" i="12"/>
  <c r="S285" i="12"/>
  <c r="S286" i="12"/>
  <c r="S287" i="12"/>
  <c r="S288" i="12"/>
  <c r="S289" i="12"/>
  <c r="S290" i="12"/>
  <c r="S291" i="12"/>
  <c r="S292" i="12"/>
  <c r="S293" i="12"/>
  <c r="S294" i="12"/>
  <c r="S295" i="12"/>
  <c r="S296" i="12"/>
  <c r="S297" i="12"/>
  <c r="S298" i="12"/>
  <c r="S299" i="12"/>
  <c r="S300" i="12"/>
  <c r="S301" i="12"/>
  <c r="S302" i="12"/>
  <c r="S303" i="12"/>
  <c r="S304" i="12"/>
  <c r="S305" i="12"/>
  <c r="S306" i="12"/>
  <c r="S307" i="12"/>
  <c r="S308" i="12"/>
  <c r="S309" i="12"/>
  <c r="S310" i="12"/>
  <c r="S311" i="12"/>
  <c r="S312" i="12"/>
  <c r="S313" i="12"/>
  <c r="S314" i="12"/>
  <c r="S315" i="12"/>
  <c r="S316" i="12"/>
  <c r="S317" i="12"/>
  <c r="S318" i="12"/>
  <c r="S319" i="12"/>
  <c r="S320" i="12"/>
  <c r="S321" i="12"/>
  <c r="S322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37" i="12"/>
  <c r="S338" i="12"/>
  <c r="S339" i="12"/>
  <c r="S340" i="12"/>
  <c r="S341" i="12"/>
  <c r="S342" i="12"/>
  <c r="S343" i="12"/>
  <c r="S344" i="12"/>
  <c r="S345" i="12"/>
  <c r="S346" i="12"/>
  <c r="S347" i="12"/>
  <c r="S348" i="12"/>
  <c r="S349" i="12"/>
  <c r="S350" i="12"/>
  <c r="S351" i="12"/>
  <c r="S352" i="12"/>
  <c r="S353" i="12"/>
  <c r="S354" i="12"/>
  <c r="S355" i="12"/>
  <c r="S356" i="12"/>
  <c r="S357" i="12"/>
  <c r="S358" i="12"/>
  <c r="S359" i="12"/>
  <c r="S360" i="12"/>
  <c r="S361" i="12"/>
  <c r="S362" i="12"/>
  <c r="S363" i="12"/>
  <c r="S364" i="12"/>
  <c r="S365" i="12"/>
  <c r="S366" i="12"/>
  <c r="S367" i="12"/>
  <c r="S368" i="12"/>
  <c r="S369" i="12"/>
  <c r="S370" i="12"/>
  <c r="S371" i="12"/>
  <c r="S372" i="12"/>
  <c r="S373" i="12"/>
  <c r="S374" i="12"/>
  <c r="S375" i="12"/>
  <c r="S376" i="12"/>
  <c r="S377" i="12"/>
  <c r="S378" i="12"/>
  <c r="S379" i="12"/>
  <c r="S380" i="12"/>
  <c r="S381" i="12"/>
  <c r="S382" i="12"/>
  <c r="S383" i="12"/>
  <c r="S384" i="12"/>
  <c r="S385" i="12"/>
  <c r="S386" i="12"/>
  <c r="S387" i="12"/>
  <c r="S388" i="12"/>
  <c r="S389" i="12"/>
  <c r="S390" i="12"/>
  <c r="S391" i="12"/>
  <c r="S392" i="12"/>
  <c r="S393" i="12"/>
  <c r="S394" i="12"/>
  <c r="S395" i="12"/>
  <c r="S396" i="12"/>
  <c r="S397" i="12"/>
  <c r="S398" i="12"/>
  <c r="S399" i="12"/>
  <c r="S400" i="12"/>
  <c r="S401" i="12"/>
  <c r="S402" i="12"/>
  <c r="S403" i="12"/>
  <c r="S404" i="12"/>
  <c r="S405" i="12"/>
  <c r="S406" i="12"/>
  <c r="S407" i="12"/>
  <c r="S408" i="12"/>
  <c r="S409" i="12"/>
  <c r="S410" i="12"/>
  <c r="S411" i="12"/>
  <c r="S412" i="12"/>
  <c r="S413" i="12"/>
  <c r="S414" i="12"/>
  <c r="S415" i="12"/>
  <c r="S416" i="12"/>
  <c r="S417" i="12"/>
  <c r="S418" i="12"/>
  <c r="S419" i="12"/>
  <c r="S420" i="12"/>
  <c r="S421" i="12"/>
  <c r="S422" i="12"/>
  <c r="S423" i="12"/>
  <c r="S424" i="12"/>
  <c r="S425" i="12"/>
  <c r="S426" i="12"/>
  <c r="S427" i="12"/>
  <c r="S428" i="12"/>
  <c r="S429" i="12"/>
  <c r="S430" i="12"/>
  <c r="S431" i="12"/>
  <c r="S432" i="12"/>
  <c r="S433" i="12"/>
  <c r="S434" i="12"/>
  <c r="S435" i="12"/>
  <c r="S436" i="12"/>
  <c r="S437" i="12"/>
  <c r="S438" i="12"/>
  <c r="S439" i="12"/>
  <c r="S440" i="12"/>
  <c r="S441" i="12"/>
  <c r="S442" i="12"/>
  <c r="S443" i="12"/>
  <c r="S444" i="12"/>
  <c r="S445" i="12"/>
  <c r="S446" i="12"/>
  <c r="S447" i="12"/>
  <c r="S448" i="12"/>
  <c r="S449" i="12"/>
  <c r="S450" i="12"/>
  <c r="S451" i="12"/>
  <c r="S452" i="12"/>
  <c r="S453" i="12"/>
  <c r="S454" i="12"/>
  <c r="S455" i="12"/>
  <c r="S456" i="12"/>
  <c r="S457" i="12"/>
  <c r="S458" i="12"/>
  <c r="S459" i="12"/>
  <c r="S460" i="12"/>
  <c r="S461" i="12"/>
  <c r="S462" i="12"/>
  <c r="S463" i="12"/>
  <c r="S464" i="12"/>
  <c r="S465" i="12"/>
  <c r="S466" i="12"/>
  <c r="S14" i="12"/>
  <c r="D266" i="17"/>
  <c r="E266" i="17"/>
  <c r="F266" i="17" s="1"/>
  <c r="G266" i="17" s="1"/>
  <c r="E121" i="16"/>
  <c r="J54" i="10" s="1"/>
  <c r="D256" i="17" l="1"/>
  <c r="E257" i="17" l="1"/>
  <c r="E259" i="17"/>
  <c r="E260" i="17"/>
  <c r="E261" i="17"/>
  <c r="E262" i="17"/>
  <c r="E263" i="17"/>
  <c r="E265" i="17"/>
  <c r="E267" i="17"/>
  <c r="E268" i="17"/>
  <c r="E269" i="17"/>
  <c r="E271" i="17"/>
  <c r="E272" i="17"/>
  <c r="E273" i="17"/>
  <c r="E274" i="17"/>
  <c r="E275" i="17"/>
  <c r="E276" i="17"/>
  <c r="E277" i="17"/>
  <c r="E256" i="17"/>
  <c r="D257" i="17"/>
  <c r="D258" i="17"/>
  <c r="D259" i="17"/>
  <c r="D260" i="17"/>
  <c r="D261" i="17"/>
  <c r="D262" i="17"/>
  <c r="D263" i="17"/>
  <c r="D264" i="17"/>
  <c r="D265" i="17"/>
  <c r="D267" i="17"/>
  <c r="D268" i="17"/>
  <c r="D269" i="17"/>
  <c r="D270" i="17"/>
  <c r="D271" i="17"/>
  <c r="D272" i="17"/>
  <c r="D273" i="17"/>
  <c r="D274" i="17"/>
  <c r="D275" i="17"/>
  <c r="D276" i="17"/>
  <c r="D277" i="17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H54" i="10" s="1"/>
  <c r="F122" i="16"/>
  <c r="F123" i="16"/>
  <c r="H56" i="10" s="1"/>
  <c r="F124" i="16"/>
  <c r="F125" i="16"/>
  <c r="F126" i="16"/>
  <c r="F127" i="16"/>
  <c r="F128" i="16"/>
  <c r="F129" i="16"/>
  <c r="H58" i="10" s="1"/>
  <c r="F130" i="16"/>
  <c r="F131" i="16"/>
  <c r="F132" i="16"/>
  <c r="F133" i="16"/>
  <c r="F134" i="16"/>
  <c r="F135" i="16"/>
  <c r="F136" i="16"/>
  <c r="H60" i="10" s="1"/>
  <c r="F137" i="16"/>
  <c r="F138" i="16"/>
  <c r="F139" i="16"/>
  <c r="F140" i="16"/>
  <c r="F141" i="16"/>
  <c r="H62" i="10" s="1"/>
  <c r="F142" i="16"/>
  <c r="F143" i="16"/>
  <c r="H64" i="10" s="1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H16" i="10" s="1"/>
  <c r="F221" i="16"/>
  <c r="F222" i="16"/>
  <c r="F223" i="16"/>
  <c r="F224" i="16"/>
  <c r="F225" i="16"/>
  <c r="F226" i="16"/>
  <c r="F227" i="16"/>
  <c r="F228" i="16"/>
  <c r="F229" i="16"/>
  <c r="F230" i="16"/>
  <c r="H18" i="10" s="1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H20" i="10" s="1"/>
  <c r="F267" i="16"/>
  <c r="F268" i="16"/>
  <c r="F269" i="16"/>
  <c r="H22" i="10" s="1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2" i="16"/>
  <c r="E123" i="16"/>
  <c r="J56" i="10" s="1"/>
  <c r="E124" i="16"/>
  <c r="E125" i="16"/>
  <c r="E126" i="16"/>
  <c r="E127" i="16"/>
  <c r="E128" i="16"/>
  <c r="E129" i="16"/>
  <c r="J58" i="10" s="1"/>
  <c r="E130" i="16"/>
  <c r="E131" i="16"/>
  <c r="E132" i="16"/>
  <c r="E133" i="16"/>
  <c r="E134" i="16"/>
  <c r="E135" i="16"/>
  <c r="E136" i="16"/>
  <c r="J60" i="10" s="1"/>
  <c r="E137" i="16"/>
  <c r="E138" i="16"/>
  <c r="E139" i="16"/>
  <c r="E140" i="16"/>
  <c r="E141" i="16"/>
  <c r="J62" i="10" s="1"/>
  <c r="E142" i="16"/>
  <c r="E143" i="16"/>
  <c r="J64" i="10" s="1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J16" i="10" s="1"/>
  <c r="E221" i="16"/>
  <c r="E222" i="16"/>
  <c r="E223" i="16"/>
  <c r="E224" i="16"/>
  <c r="E225" i="16"/>
  <c r="E226" i="16"/>
  <c r="E227" i="16"/>
  <c r="E228" i="16"/>
  <c r="E229" i="16"/>
  <c r="E230" i="16"/>
  <c r="J18" i="10" s="1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J20" i="10" s="1"/>
  <c r="L20" i="10" s="1"/>
  <c r="N20" i="10" s="1"/>
  <c r="E267" i="16"/>
  <c r="E268" i="16"/>
  <c r="E269" i="16"/>
  <c r="J22" i="10" s="1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F3" i="16"/>
  <c r="E3" i="16"/>
  <c r="L16" i="10" l="1"/>
  <c r="N16" i="10" s="1"/>
  <c r="L18" i="10"/>
  <c r="N18" i="10" s="1"/>
  <c r="G3" i="16"/>
  <c r="H3" i="16" s="1"/>
  <c r="R238" i="15" l="1"/>
  <c r="P14" i="10"/>
  <c r="E4" i="17" l="1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8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4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8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73" i="17"/>
  <c r="E674" i="17"/>
  <c r="E675" i="17"/>
  <c r="E676" i="17"/>
  <c r="E677" i="17"/>
  <c r="E678" i="17"/>
  <c r="E679" i="17"/>
  <c r="E680" i="17"/>
  <c r="E681" i="17"/>
  <c r="E682" i="17"/>
  <c r="E683" i="17"/>
  <c r="E684" i="17"/>
  <c r="E685" i="17"/>
  <c r="E686" i="17"/>
  <c r="E687" i="17"/>
  <c r="E688" i="17"/>
  <c r="E689" i="17"/>
  <c r="E690" i="17"/>
  <c r="E691" i="17"/>
  <c r="E692" i="17"/>
  <c r="E693" i="17"/>
  <c r="E694" i="17"/>
  <c r="E695" i="17"/>
  <c r="E696" i="17"/>
  <c r="E697" i="17"/>
  <c r="E698" i="17"/>
  <c r="E699" i="17"/>
  <c r="E700" i="17"/>
  <c r="E701" i="17"/>
  <c r="E702" i="17"/>
  <c r="E703" i="17"/>
  <c r="E704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6" i="17"/>
  <c r="E737" i="17"/>
  <c r="E738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3" i="17"/>
  <c r="E804" i="17"/>
  <c r="E805" i="17"/>
  <c r="E806" i="17"/>
  <c r="E807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3" i="17"/>
  <c r="Q14" i="13"/>
  <c r="Q15" i="14"/>
  <c r="D4" i="17" s="1"/>
  <c r="Q16" i="14"/>
  <c r="D5" i="17" s="1"/>
  <c r="Q17" i="14"/>
  <c r="D6" i="17" s="1"/>
  <c r="Q18" i="14"/>
  <c r="D7" i="17" s="1"/>
  <c r="Q19" i="14"/>
  <c r="D8" i="17" s="1"/>
  <c r="Q20" i="14"/>
  <c r="D9" i="17" s="1"/>
  <c r="Q21" i="14"/>
  <c r="D10" i="17" s="1"/>
  <c r="Q22" i="14"/>
  <c r="D11" i="17" s="1"/>
  <c r="Q23" i="14"/>
  <c r="D12" i="17" s="1"/>
  <c r="Q24" i="14"/>
  <c r="D13" i="17" s="1"/>
  <c r="F13" i="17" s="1"/>
  <c r="G13" i="17" s="1"/>
  <c r="Q25" i="14"/>
  <c r="D14" i="17" s="1"/>
  <c r="Q26" i="14"/>
  <c r="D15" i="17" s="1"/>
  <c r="Q27" i="14"/>
  <c r="D16" i="17" s="1"/>
  <c r="Q28" i="14"/>
  <c r="D17" i="17" s="1"/>
  <c r="Q29" i="14"/>
  <c r="D18" i="17" s="1"/>
  <c r="Q30" i="14"/>
  <c r="D19" i="17" s="1"/>
  <c r="Q31" i="14"/>
  <c r="D20" i="17" s="1"/>
  <c r="Q32" i="14"/>
  <c r="D21" i="17" s="1"/>
  <c r="F21" i="17" s="1"/>
  <c r="G21" i="17" s="1"/>
  <c r="Q33" i="14"/>
  <c r="D22" i="17" s="1"/>
  <c r="Q34" i="14"/>
  <c r="D23" i="17" s="1"/>
  <c r="Q35" i="14"/>
  <c r="D24" i="17" s="1"/>
  <c r="Q36" i="14"/>
  <c r="D25" i="17" s="1"/>
  <c r="Q37" i="14"/>
  <c r="D26" i="17" s="1"/>
  <c r="Q38" i="14"/>
  <c r="D27" i="17" s="1"/>
  <c r="Q39" i="14"/>
  <c r="D28" i="17" s="1"/>
  <c r="Q40" i="14"/>
  <c r="D29" i="17" s="1"/>
  <c r="Q41" i="14"/>
  <c r="D30" i="17" s="1"/>
  <c r="Q42" i="14"/>
  <c r="D31" i="17" s="1"/>
  <c r="Q43" i="14"/>
  <c r="D32" i="17" s="1"/>
  <c r="Q44" i="14"/>
  <c r="D33" i="17" s="1"/>
  <c r="Q45" i="14"/>
  <c r="D34" i="17" s="1"/>
  <c r="Q46" i="14"/>
  <c r="D35" i="17" s="1"/>
  <c r="Q47" i="14"/>
  <c r="D36" i="17" s="1"/>
  <c r="Q48" i="14"/>
  <c r="D37" i="17" s="1"/>
  <c r="Q49" i="14"/>
  <c r="D38" i="17" s="1"/>
  <c r="Q50" i="14"/>
  <c r="D39" i="17" s="1"/>
  <c r="Q51" i="14"/>
  <c r="D40" i="17" s="1"/>
  <c r="Q52" i="14"/>
  <c r="D41" i="17" s="1"/>
  <c r="Q53" i="14"/>
  <c r="D42" i="17" s="1"/>
  <c r="Q54" i="14"/>
  <c r="D43" i="17" s="1"/>
  <c r="Q55" i="14"/>
  <c r="D44" i="17" s="1"/>
  <c r="Q56" i="14"/>
  <c r="D45" i="17" s="1"/>
  <c r="Q57" i="14"/>
  <c r="D46" i="17" s="1"/>
  <c r="Q58" i="14"/>
  <c r="D47" i="17" s="1"/>
  <c r="Q59" i="14"/>
  <c r="D48" i="17" s="1"/>
  <c r="Q60" i="14"/>
  <c r="D49" i="17" s="1"/>
  <c r="Q61" i="14"/>
  <c r="D50" i="17" s="1"/>
  <c r="Q62" i="14"/>
  <c r="D51" i="17" s="1"/>
  <c r="Q63" i="14"/>
  <c r="D52" i="17" s="1"/>
  <c r="Q64" i="14"/>
  <c r="D53" i="17" s="1"/>
  <c r="Q65" i="14"/>
  <c r="D54" i="17" s="1"/>
  <c r="Q66" i="14"/>
  <c r="D55" i="17" s="1"/>
  <c r="Q67" i="14"/>
  <c r="D56" i="17" s="1"/>
  <c r="Q68" i="14"/>
  <c r="D57" i="17" s="1"/>
  <c r="Q69" i="14"/>
  <c r="D58" i="17" s="1"/>
  <c r="Q70" i="14"/>
  <c r="D59" i="17" s="1"/>
  <c r="Q71" i="14"/>
  <c r="D60" i="17" s="1"/>
  <c r="Q72" i="14"/>
  <c r="D61" i="17" s="1"/>
  <c r="Q73" i="14"/>
  <c r="D62" i="17" s="1"/>
  <c r="Q74" i="14"/>
  <c r="D63" i="17" s="1"/>
  <c r="Q75" i="14"/>
  <c r="D64" i="17" s="1"/>
  <c r="Q76" i="14"/>
  <c r="D65" i="17" s="1"/>
  <c r="Q77" i="14"/>
  <c r="D66" i="17" s="1"/>
  <c r="Q78" i="14"/>
  <c r="D67" i="17" s="1"/>
  <c r="Q79" i="14"/>
  <c r="D68" i="17" s="1"/>
  <c r="Q80" i="14"/>
  <c r="D69" i="17" s="1"/>
  <c r="Q81" i="14"/>
  <c r="D70" i="17" s="1"/>
  <c r="Q82" i="14"/>
  <c r="D71" i="17" s="1"/>
  <c r="Q83" i="14"/>
  <c r="D72" i="17" s="1"/>
  <c r="Q84" i="14"/>
  <c r="D73" i="17" s="1"/>
  <c r="Q85" i="14"/>
  <c r="D74" i="17" s="1"/>
  <c r="Q86" i="14"/>
  <c r="D75" i="17" s="1"/>
  <c r="Q87" i="14"/>
  <c r="D76" i="17" s="1"/>
  <c r="Q88" i="14"/>
  <c r="D77" i="17" s="1"/>
  <c r="Q89" i="14"/>
  <c r="D78" i="17" s="1"/>
  <c r="Q90" i="14"/>
  <c r="D79" i="17" s="1"/>
  <c r="Q91" i="14"/>
  <c r="D80" i="17" s="1"/>
  <c r="Q92" i="14"/>
  <c r="D81" i="17" s="1"/>
  <c r="Q93" i="14"/>
  <c r="D82" i="17" s="1"/>
  <c r="Q94" i="14"/>
  <c r="D83" i="17" s="1"/>
  <c r="Q95" i="14"/>
  <c r="D84" i="17" s="1"/>
  <c r="Q96" i="14"/>
  <c r="D85" i="17" s="1"/>
  <c r="F85" i="17" s="1"/>
  <c r="G85" i="17" s="1"/>
  <c r="Q97" i="14"/>
  <c r="D86" i="17" s="1"/>
  <c r="Q98" i="14"/>
  <c r="D87" i="17" s="1"/>
  <c r="Q99" i="14"/>
  <c r="D88" i="17" s="1"/>
  <c r="Q100" i="14"/>
  <c r="D89" i="17" s="1"/>
  <c r="Q101" i="14"/>
  <c r="D90" i="17" s="1"/>
  <c r="Q102" i="14"/>
  <c r="D91" i="17" s="1"/>
  <c r="Q103" i="14"/>
  <c r="D92" i="17" s="1"/>
  <c r="Q104" i="14"/>
  <c r="D93" i="17" s="1"/>
  <c r="Q105" i="14"/>
  <c r="D94" i="17" s="1"/>
  <c r="Q106" i="14"/>
  <c r="D95" i="17" s="1"/>
  <c r="Q107" i="14"/>
  <c r="D96" i="17" s="1"/>
  <c r="Q108" i="14"/>
  <c r="D97" i="17" s="1"/>
  <c r="Q109" i="14"/>
  <c r="D98" i="17" s="1"/>
  <c r="Q110" i="14"/>
  <c r="D99" i="17" s="1"/>
  <c r="Q111" i="14"/>
  <c r="D100" i="17" s="1"/>
  <c r="Q112" i="14"/>
  <c r="D101" i="17" s="1"/>
  <c r="Q113" i="14"/>
  <c r="D102" i="17" s="1"/>
  <c r="Q114" i="14"/>
  <c r="D103" i="17" s="1"/>
  <c r="Q115" i="14"/>
  <c r="D104" i="17" s="1"/>
  <c r="Q116" i="14"/>
  <c r="D105" i="17" s="1"/>
  <c r="Q117" i="14"/>
  <c r="D106" i="17" s="1"/>
  <c r="Q118" i="14"/>
  <c r="D107" i="17" s="1"/>
  <c r="Q119" i="14"/>
  <c r="D108" i="17" s="1"/>
  <c r="Q120" i="14"/>
  <c r="D109" i="17" s="1"/>
  <c r="Q121" i="14"/>
  <c r="D110" i="17" s="1"/>
  <c r="Q122" i="14"/>
  <c r="D111" i="17" s="1"/>
  <c r="Q123" i="14"/>
  <c r="D112" i="17" s="1"/>
  <c r="Q124" i="14"/>
  <c r="D113" i="17" s="1"/>
  <c r="Q125" i="14"/>
  <c r="D114" i="17" s="1"/>
  <c r="Q126" i="14"/>
  <c r="D115" i="17" s="1"/>
  <c r="Q127" i="14"/>
  <c r="D116" i="17" s="1"/>
  <c r="Q128" i="14"/>
  <c r="D117" i="17" s="1"/>
  <c r="Q129" i="14"/>
  <c r="D118" i="17" s="1"/>
  <c r="Q130" i="14"/>
  <c r="D119" i="17" s="1"/>
  <c r="Q131" i="14"/>
  <c r="D120" i="17" s="1"/>
  <c r="Q132" i="14"/>
  <c r="D121" i="17" s="1"/>
  <c r="Q133" i="14"/>
  <c r="D122" i="17" s="1"/>
  <c r="Q134" i="14"/>
  <c r="D123" i="17" s="1"/>
  <c r="Q135" i="14"/>
  <c r="D124" i="17" s="1"/>
  <c r="Q136" i="14"/>
  <c r="D125" i="17" s="1"/>
  <c r="Q137" i="14"/>
  <c r="D126" i="17" s="1"/>
  <c r="Q138" i="14"/>
  <c r="D127" i="17" s="1"/>
  <c r="Q139" i="14"/>
  <c r="D128" i="17" s="1"/>
  <c r="Q140" i="14"/>
  <c r="D129" i="17" s="1"/>
  <c r="Q141" i="14"/>
  <c r="D130" i="17" s="1"/>
  <c r="Q142" i="14"/>
  <c r="D131" i="17" s="1"/>
  <c r="Q143" i="14"/>
  <c r="D132" i="17" s="1"/>
  <c r="Q144" i="14"/>
  <c r="D133" i="17" s="1"/>
  <c r="Q145" i="14"/>
  <c r="D134" i="17" s="1"/>
  <c r="Q146" i="14"/>
  <c r="D135" i="17" s="1"/>
  <c r="Q147" i="14"/>
  <c r="D136" i="17" s="1"/>
  <c r="Q148" i="14"/>
  <c r="D137" i="17" s="1"/>
  <c r="Q149" i="14"/>
  <c r="D138" i="17" s="1"/>
  <c r="Q150" i="14"/>
  <c r="D139" i="17" s="1"/>
  <c r="Q151" i="14"/>
  <c r="D140" i="17" s="1"/>
  <c r="Q152" i="14"/>
  <c r="D141" i="17" s="1"/>
  <c r="Q153" i="14"/>
  <c r="D142" i="17" s="1"/>
  <c r="Q154" i="14"/>
  <c r="D143" i="17" s="1"/>
  <c r="Q155" i="14"/>
  <c r="D144" i="17" s="1"/>
  <c r="Q156" i="14"/>
  <c r="D145" i="17" s="1"/>
  <c r="Q157" i="14"/>
  <c r="D146" i="17" s="1"/>
  <c r="Q158" i="14"/>
  <c r="D147" i="17" s="1"/>
  <c r="Q159" i="14"/>
  <c r="D148" i="17" s="1"/>
  <c r="Q160" i="14"/>
  <c r="D149" i="17" s="1"/>
  <c r="Q161" i="14"/>
  <c r="D150" i="17" s="1"/>
  <c r="Q162" i="14"/>
  <c r="D151" i="17" s="1"/>
  <c r="Q163" i="14"/>
  <c r="D152" i="17" s="1"/>
  <c r="Q164" i="14"/>
  <c r="D153" i="17" s="1"/>
  <c r="Q165" i="14"/>
  <c r="D154" i="17" s="1"/>
  <c r="Q166" i="14"/>
  <c r="D155" i="17" s="1"/>
  <c r="Q167" i="14"/>
  <c r="D156" i="17" s="1"/>
  <c r="Q168" i="14"/>
  <c r="D157" i="17" s="1"/>
  <c r="Q169" i="14"/>
  <c r="D158" i="17" s="1"/>
  <c r="Q170" i="14"/>
  <c r="D159" i="17" s="1"/>
  <c r="Q171" i="14"/>
  <c r="D160" i="17" s="1"/>
  <c r="Q172" i="14"/>
  <c r="D161" i="17" s="1"/>
  <c r="Q173" i="14"/>
  <c r="D162" i="17" s="1"/>
  <c r="Q174" i="14"/>
  <c r="D163" i="17" s="1"/>
  <c r="Q175" i="14"/>
  <c r="D164" i="17" s="1"/>
  <c r="Q176" i="14"/>
  <c r="D165" i="17" s="1"/>
  <c r="Q177" i="14"/>
  <c r="D166" i="17" s="1"/>
  <c r="Q178" i="14"/>
  <c r="D167" i="17" s="1"/>
  <c r="Q179" i="14"/>
  <c r="D168" i="17" s="1"/>
  <c r="Q180" i="14"/>
  <c r="D169" i="17" s="1"/>
  <c r="Q181" i="14"/>
  <c r="D170" i="17" s="1"/>
  <c r="Q182" i="14"/>
  <c r="D171" i="17" s="1"/>
  <c r="Q183" i="14"/>
  <c r="D172" i="17" s="1"/>
  <c r="Q184" i="14"/>
  <c r="D173" i="17" s="1"/>
  <c r="Q185" i="14"/>
  <c r="D174" i="17" s="1"/>
  <c r="Q186" i="14"/>
  <c r="D175" i="17" s="1"/>
  <c r="Q187" i="14"/>
  <c r="D176" i="17" s="1"/>
  <c r="Q188" i="14"/>
  <c r="D177" i="17" s="1"/>
  <c r="Q189" i="14"/>
  <c r="D178" i="17" s="1"/>
  <c r="Q190" i="14"/>
  <c r="D179" i="17" s="1"/>
  <c r="Q191" i="14"/>
  <c r="D180" i="17" s="1"/>
  <c r="Q192" i="14"/>
  <c r="D181" i="17" s="1"/>
  <c r="Q193" i="14"/>
  <c r="D182" i="17" s="1"/>
  <c r="Q194" i="14"/>
  <c r="D183" i="17" s="1"/>
  <c r="Q195" i="14"/>
  <c r="D184" i="17" s="1"/>
  <c r="Q196" i="14"/>
  <c r="D185" i="17" s="1"/>
  <c r="Q197" i="14"/>
  <c r="D186" i="17" s="1"/>
  <c r="Q198" i="14"/>
  <c r="D187" i="17" s="1"/>
  <c r="Q199" i="14"/>
  <c r="D188" i="17" s="1"/>
  <c r="Q200" i="14"/>
  <c r="D189" i="17" s="1"/>
  <c r="Q201" i="14"/>
  <c r="D190" i="17" s="1"/>
  <c r="Q202" i="14"/>
  <c r="D191" i="17" s="1"/>
  <c r="Q203" i="14"/>
  <c r="D192" i="17" s="1"/>
  <c r="Q204" i="14"/>
  <c r="D193" i="17" s="1"/>
  <c r="Q205" i="14"/>
  <c r="D194" i="17" s="1"/>
  <c r="Q206" i="14"/>
  <c r="D195" i="17" s="1"/>
  <c r="Q207" i="14"/>
  <c r="D196" i="17" s="1"/>
  <c r="Q208" i="14"/>
  <c r="D197" i="17" s="1"/>
  <c r="Q209" i="14"/>
  <c r="D198" i="17" s="1"/>
  <c r="Q210" i="14"/>
  <c r="D199" i="17" s="1"/>
  <c r="Q211" i="14"/>
  <c r="D200" i="17" s="1"/>
  <c r="Q212" i="14"/>
  <c r="D201" i="17" s="1"/>
  <c r="Q213" i="14"/>
  <c r="D202" i="17" s="1"/>
  <c r="Q214" i="14"/>
  <c r="D203" i="17" s="1"/>
  <c r="Q215" i="14"/>
  <c r="D204" i="17" s="1"/>
  <c r="Q216" i="14"/>
  <c r="D205" i="17" s="1"/>
  <c r="Q217" i="14"/>
  <c r="D206" i="17" s="1"/>
  <c r="Q218" i="14"/>
  <c r="D207" i="17" s="1"/>
  <c r="Q219" i="14"/>
  <c r="D208" i="17" s="1"/>
  <c r="Q220" i="14"/>
  <c r="D209" i="17" s="1"/>
  <c r="Q221" i="14"/>
  <c r="D210" i="17" s="1"/>
  <c r="Q222" i="14"/>
  <c r="D211" i="17" s="1"/>
  <c r="Q223" i="14"/>
  <c r="D212" i="17" s="1"/>
  <c r="Q224" i="14"/>
  <c r="D213" i="17" s="1"/>
  <c r="Q225" i="14"/>
  <c r="D214" i="17" s="1"/>
  <c r="Q226" i="14"/>
  <c r="D215" i="17" s="1"/>
  <c r="Q227" i="14"/>
  <c r="D216" i="17" s="1"/>
  <c r="Q228" i="14"/>
  <c r="D217" i="17" s="1"/>
  <c r="Q229" i="14"/>
  <c r="D218" i="17" s="1"/>
  <c r="Q230" i="14"/>
  <c r="D219" i="17" s="1"/>
  <c r="Q231" i="14"/>
  <c r="D220" i="17" s="1"/>
  <c r="Q232" i="14"/>
  <c r="D221" i="17" s="1"/>
  <c r="Q233" i="14"/>
  <c r="D222" i="17" s="1"/>
  <c r="Q234" i="14"/>
  <c r="D223" i="17" s="1"/>
  <c r="Q235" i="14"/>
  <c r="D224" i="17" s="1"/>
  <c r="Q236" i="14"/>
  <c r="D225" i="17" s="1"/>
  <c r="Q237" i="14"/>
  <c r="D226" i="17" s="1"/>
  <c r="Q238" i="14"/>
  <c r="D227" i="17" s="1"/>
  <c r="Q239" i="14"/>
  <c r="D228" i="17" s="1"/>
  <c r="Q240" i="14"/>
  <c r="D229" i="17" s="1"/>
  <c r="Q241" i="14"/>
  <c r="D230" i="17" s="1"/>
  <c r="Q242" i="14"/>
  <c r="D231" i="17" s="1"/>
  <c r="Q243" i="14"/>
  <c r="D232" i="17" s="1"/>
  <c r="Q244" i="14"/>
  <c r="D233" i="17" s="1"/>
  <c r="Q245" i="14"/>
  <c r="D234" i="17" s="1"/>
  <c r="Q246" i="14"/>
  <c r="D235" i="17" s="1"/>
  <c r="Q247" i="14"/>
  <c r="D236" i="17" s="1"/>
  <c r="Q248" i="14"/>
  <c r="D237" i="17" s="1"/>
  <c r="Q249" i="14"/>
  <c r="D238" i="17" s="1"/>
  <c r="Q250" i="14"/>
  <c r="D239" i="17" s="1"/>
  <c r="Q251" i="14"/>
  <c r="D240" i="17" s="1"/>
  <c r="Q252" i="14"/>
  <c r="D241" i="17" s="1"/>
  <c r="Q253" i="14"/>
  <c r="D242" i="17" s="1"/>
  <c r="Q254" i="14"/>
  <c r="D243" i="17" s="1"/>
  <c r="Q255" i="14"/>
  <c r="D244" i="17" s="1"/>
  <c r="Q256" i="14"/>
  <c r="D245" i="17" s="1"/>
  <c r="Q257" i="14"/>
  <c r="D246" i="17" s="1"/>
  <c r="Q258" i="14"/>
  <c r="D247" i="17" s="1"/>
  <c r="Q259" i="14"/>
  <c r="D248" i="17" s="1"/>
  <c r="Q260" i="14"/>
  <c r="D249" i="17" s="1"/>
  <c r="Q261" i="14"/>
  <c r="D250" i="17" s="1"/>
  <c r="Q262" i="14"/>
  <c r="D251" i="17" s="1"/>
  <c r="Q263" i="14"/>
  <c r="D252" i="17" s="1"/>
  <c r="Q264" i="14"/>
  <c r="D253" i="17" s="1"/>
  <c r="Q265" i="14"/>
  <c r="D254" i="17" s="1"/>
  <c r="Q266" i="14"/>
  <c r="D255" i="17" s="1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D278" i="17" s="1"/>
  <c r="Q290" i="14"/>
  <c r="D279" i="17" s="1"/>
  <c r="Q291" i="14"/>
  <c r="D280" i="17" s="1"/>
  <c r="Q292" i="14"/>
  <c r="D281" i="17" s="1"/>
  <c r="Q293" i="14"/>
  <c r="D282" i="17" s="1"/>
  <c r="Q294" i="14"/>
  <c r="D283" i="17" s="1"/>
  <c r="Q295" i="14"/>
  <c r="D284" i="17" s="1"/>
  <c r="Q296" i="14"/>
  <c r="D285" i="17" s="1"/>
  <c r="Q297" i="14"/>
  <c r="D286" i="17" s="1"/>
  <c r="Q298" i="14"/>
  <c r="D287" i="17" s="1"/>
  <c r="Q299" i="14"/>
  <c r="D288" i="17" s="1"/>
  <c r="Q300" i="14"/>
  <c r="D289" i="17" s="1"/>
  <c r="Q301" i="14"/>
  <c r="D290" i="17" s="1"/>
  <c r="Q302" i="14"/>
  <c r="D291" i="17" s="1"/>
  <c r="Q303" i="14"/>
  <c r="D292" i="17" s="1"/>
  <c r="Q304" i="14"/>
  <c r="D293" i="17" s="1"/>
  <c r="Q305" i="14"/>
  <c r="D294" i="17" s="1"/>
  <c r="Q306" i="14"/>
  <c r="D295" i="17" s="1"/>
  <c r="Q307" i="14"/>
  <c r="D296" i="17" s="1"/>
  <c r="Q308" i="14"/>
  <c r="D297" i="17" s="1"/>
  <c r="Q309" i="14"/>
  <c r="D298" i="17" s="1"/>
  <c r="Q310" i="14"/>
  <c r="D299" i="17" s="1"/>
  <c r="Q311" i="14"/>
  <c r="D300" i="17" s="1"/>
  <c r="Q312" i="14"/>
  <c r="D301" i="17" s="1"/>
  <c r="Q313" i="14"/>
  <c r="D302" i="17" s="1"/>
  <c r="Q314" i="14"/>
  <c r="D303" i="17" s="1"/>
  <c r="Q315" i="14"/>
  <c r="D304" i="17" s="1"/>
  <c r="Q316" i="14"/>
  <c r="D305" i="17" s="1"/>
  <c r="Q317" i="14"/>
  <c r="D306" i="17" s="1"/>
  <c r="Q318" i="14"/>
  <c r="D307" i="17" s="1"/>
  <c r="Q319" i="14"/>
  <c r="D308" i="17" s="1"/>
  <c r="Q320" i="14"/>
  <c r="D309" i="17" s="1"/>
  <c r="Q321" i="14"/>
  <c r="D310" i="17" s="1"/>
  <c r="Q322" i="14"/>
  <c r="D311" i="17" s="1"/>
  <c r="Q323" i="14"/>
  <c r="D312" i="17" s="1"/>
  <c r="Q324" i="14"/>
  <c r="D313" i="17" s="1"/>
  <c r="Q325" i="14"/>
  <c r="D314" i="17" s="1"/>
  <c r="Q326" i="14"/>
  <c r="D315" i="17" s="1"/>
  <c r="Q327" i="14"/>
  <c r="D316" i="17" s="1"/>
  <c r="Q328" i="14"/>
  <c r="D317" i="17" s="1"/>
  <c r="Q329" i="14"/>
  <c r="D318" i="17" s="1"/>
  <c r="Q330" i="14"/>
  <c r="D319" i="17" s="1"/>
  <c r="Q331" i="14"/>
  <c r="D320" i="17" s="1"/>
  <c r="Q332" i="14"/>
  <c r="D321" i="17" s="1"/>
  <c r="Q333" i="14"/>
  <c r="D322" i="17" s="1"/>
  <c r="Q334" i="14"/>
  <c r="D323" i="17" s="1"/>
  <c r="Q335" i="14"/>
  <c r="D324" i="17" s="1"/>
  <c r="Q336" i="14"/>
  <c r="D325" i="17" s="1"/>
  <c r="Q337" i="14"/>
  <c r="D326" i="17" s="1"/>
  <c r="Q338" i="14"/>
  <c r="D327" i="17" s="1"/>
  <c r="Q339" i="14"/>
  <c r="D328" i="17" s="1"/>
  <c r="Q340" i="14"/>
  <c r="D329" i="17" s="1"/>
  <c r="Q341" i="14"/>
  <c r="D330" i="17" s="1"/>
  <c r="Q342" i="14"/>
  <c r="D331" i="17" s="1"/>
  <c r="Q343" i="14"/>
  <c r="D332" i="17" s="1"/>
  <c r="Q344" i="14"/>
  <c r="D333" i="17" s="1"/>
  <c r="Q345" i="14"/>
  <c r="D334" i="17" s="1"/>
  <c r="Q346" i="14"/>
  <c r="D335" i="17" s="1"/>
  <c r="Q347" i="14"/>
  <c r="D336" i="17" s="1"/>
  <c r="Q348" i="14"/>
  <c r="D337" i="17" s="1"/>
  <c r="Q349" i="14"/>
  <c r="D338" i="17" s="1"/>
  <c r="Q350" i="14"/>
  <c r="D339" i="17" s="1"/>
  <c r="Q351" i="14"/>
  <c r="D340" i="17" s="1"/>
  <c r="Q352" i="14"/>
  <c r="D341" i="17" s="1"/>
  <c r="Q353" i="14"/>
  <c r="D342" i="17" s="1"/>
  <c r="Q354" i="14"/>
  <c r="D343" i="17" s="1"/>
  <c r="Q355" i="14"/>
  <c r="D344" i="17" s="1"/>
  <c r="Q356" i="14"/>
  <c r="D345" i="17" s="1"/>
  <c r="Q357" i="14"/>
  <c r="D346" i="17" s="1"/>
  <c r="Q358" i="14"/>
  <c r="D347" i="17" s="1"/>
  <c r="Q359" i="14"/>
  <c r="D348" i="17" s="1"/>
  <c r="Q360" i="14"/>
  <c r="D349" i="17" s="1"/>
  <c r="Q361" i="14"/>
  <c r="D350" i="17" s="1"/>
  <c r="Q362" i="14"/>
  <c r="D351" i="17" s="1"/>
  <c r="Q363" i="14"/>
  <c r="D352" i="17" s="1"/>
  <c r="Q364" i="14"/>
  <c r="D353" i="17" s="1"/>
  <c r="Q365" i="14"/>
  <c r="D354" i="17" s="1"/>
  <c r="Q366" i="14"/>
  <c r="D355" i="17" s="1"/>
  <c r="Q367" i="14"/>
  <c r="D356" i="17" s="1"/>
  <c r="Q368" i="14"/>
  <c r="D357" i="17" s="1"/>
  <c r="Q369" i="14"/>
  <c r="D358" i="17" s="1"/>
  <c r="Q370" i="14"/>
  <c r="D359" i="17" s="1"/>
  <c r="Q371" i="14"/>
  <c r="D360" i="17" s="1"/>
  <c r="Q372" i="14"/>
  <c r="D361" i="17" s="1"/>
  <c r="Q373" i="14"/>
  <c r="D362" i="17" s="1"/>
  <c r="Q374" i="14"/>
  <c r="D363" i="17" s="1"/>
  <c r="Q375" i="14"/>
  <c r="D364" i="17" s="1"/>
  <c r="Q376" i="14"/>
  <c r="D365" i="17" s="1"/>
  <c r="Q377" i="14"/>
  <c r="D366" i="17" s="1"/>
  <c r="Q378" i="14"/>
  <c r="D367" i="17" s="1"/>
  <c r="Q379" i="14"/>
  <c r="D368" i="17" s="1"/>
  <c r="Q380" i="14"/>
  <c r="D369" i="17" s="1"/>
  <c r="Q381" i="14"/>
  <c r="D370" i="17" s="1"/>
  <c r="Q382" i="14"/>
  <c r="D371" i="17" s="1"/>
  <c r="Q383" i="14"/>
  <c r="D372" i="17" s="1"/>
  <c r="Q384" i="14"/>
  <c r="D373" i="17" s="1"/>
  <c r="Q385" i="14"/>
  <c r="D374" i="17" s="1"/>
  <c r="Q386" i="14"/>
  <c r="D375" i="17" s="1"/>
  <c r="Q387" i="14"/>
  <c r="D376" i="17" s="1"/>
  <c r="Q388" i="14"/>
  <c r="D377" i="17" s="1"/>
  <c r="Q389" i="14"/>
  <c r="D378" i="17" s="1"/>
  <c r="Q390" i="14"/>
  <c r="D379" i="17" s="1"/>
  <c r="Q391" i="14"/>
  <c r="D380" i="17" s="1"/>
  <c r="Q392" i="14"/>
  <c r="D381" i="17" s="1"/>
  <c r="Q393" i="14"/>
  <c r="D382" i="17" s="1"/>
  <c r="Q394" i="14"/>
  <c r="D383" i="17" s="1"/>
  <c r="Q395" i="14"/>
  <c r="D384" i="17" s="1"/>
  <c r="Q396" i="14"/>
  <c r="D385" i="17" s="1"/>
  <c r="Q397" i="14"/>
  <c r="D386" i="17" s="1"/>
  <c r="Q398" i="14"/>
  <c r="D387" i="17" s="1"/>
  <c r="Q399" i="14"/>
  <c r="D388" i="17" s="1"/>
  <c r="Q400" i="14"/>
  <c r="D389" i="17" s="1"/>
  <c r="Q401" i="14"/>
  <c r="D390" i="17" s="1"/>
  <c r="Q402" i="14"/>
  <c r="D391" i="17" s="1"/>
  <c r="Q403" i="14"/>
  <c r="D392" i="17" s="1"/>
  <c r="Q404" i="14"/>
  <c r="D393" i="17" s="1"/>
  <c r="Q405" i="14"/>
  <c r="D394" i="17" s="1"/>
  <c r="Q406" i="14"/>
  <c r="D395" i="17" s="1"/>
  <c r="Q407" i="14"/>
  <c r="D396" i="17" s="1"/>
  <c r="Q408" i="14"/>
  <c r="D397" i="17" s="1"/>
  <c r="Q409" i="14"/>
  <c r="D398" i="17" s="1"/>
  <c r="Q410" i="14"/>
  <c r="D399" i="17" s="1"/>
  <c r="Q411" i="14"/>
  <c r="D400" i="17" s="1"/>
  <c r="Q412" i="14"/>
  <c r="D401" i="17" s="1"/>
  <c r="Q413" i="14"/>
  <c r="D402" i="17" s="1"/>
  <c r="Q414" i="14"/>
  <c r="D403" i="17" s="1"/>
  <c r="Q415" i="14"/>
  <c r="D404" i="17" s="1"/>
  <c r="Q416" i="14"/>
  <c r="D405" i="17" s="1"/>
  <c r="Q417" i="14"/>
  <c r="D406" i="17" s="1"/>
  <c r="Q418" i="14"/>
  <c r="D407" i="17" s="1"/>
  <c r="Q419" i="14"/>
  <c r="D408" i="17" s="1"/>
  <c r="Q420" i="14"/>
  <c r="D409" i="17" s="1"/>
  <c r="Q421" i="14"/>
  <c r="D410" i="17" s="1"/>
  <c r="Q422" i="14"/>
  <c r="D411" i="17" s="1"/>
  <c r="Q423" i="14"/>
  <c r="D412" i="17" s="1"/>
  <c r="Q424" i="14"/>
  <c r="D413" i="17" s="1"/>
  <c r="Q425" i="14"/>
  <c r="D414" i="17" s="1"/>
  <c r="Q426" i="14"/>
  <c r="D415" i="17" s="1"/>
  <c r="Q427" i="14"/>
  <c r="D416" i="17" s="1"/>
  <c r="Q428" i="14"/>
  <c r="D417" i="17" s="1"/>
  <c r="Q429" i="14"/>
  <c r="D418" i="17" s="1"/>
  <c r="Q430" i="14"/>
  <c r="D419" i="17" s="1"/>
  <c r="Q431" i="14"/>
  <c r="D420" i="17" s="1"/>
  <c r="Q432" i="14"/>
  <c r="D421" i="17" s="1"/>
  <c r="Q433" i="14"/>
  <c r="D422" i="17" s="1"/>
  <c r="Q434" i="14"/>
  <c r="D423" i="17" s="1"/>
  <c r="Q435" i="14"/>
  <c r="D424" i="17" s="1"/>
  <c r="Q436" i="14"/>
  <c r="D425" i="17" s="1"/>
  <c r="Q437" i="14"/>
  <c r="D426" i="17" s="1"/>
  <c r="Q438" i="14"/>
  <c r="D427" i="17" s="1"/>
  <c r="Q439" i="14"/>
  <c r="D428" i="17" s="1"/>
  <c r="Q440" i="14"/>
  <c r="D429" i="17" s="1"/>
  <c r="Q441" i="14"/>
  <c r="D430" i="17" s="1"/>
  <c r="Q442" i="14"/>
  <c r="D431" i="17" s="1"/>
  <c r="Q443" i="14"/>
  <c r="D432" i="17" s="1"/>
  <c r="Q444" i="14"/>
  <c r="D433" i="17" s="1"/>
  <c r="Q445" i="14"/>
  <c r="D434" i="17" s="1"/>
  <c r="Q446" i="14"/>
  <c r="D435" i="17" s="1"/>
  <c r="Q447" i="14"/>
  <c r="D436" i="17" s="1"/>
  <c r="Q448" i="14"/>
  <c r="D437" i="17" s="1"/>
  <c r="Q449" i="14"/>
  <c r="D438" i="17" s="1"/>
  <c r="Q450" i="14"/>
  <c r="D439" i="17" s="1"/>
  <c r="Q451" i="14"/>
  <c r="D440" i="17" s="1"/>
  <c r="Q452" i="14"/>
  <c r="D441" i="17" s="1"/>
  <c r="Q453" i="14"/>
  <c r="D442" i="17" s="1"/>
  <c r="Q454" i="14"/>
  <c r="D443" i="17" s="1"/>
  <c r="Q455" i="14"/>
  <c r="D444" i="17" s="1"/>
  <c r="Q456" i="14"/>
  <c r="D445" i="17" s="1"/>
  <c r="Q457" i="14"/>
  <c r="D446" i="17" s="1"/>
  <c r="Q458" i="14"/>
  <c r="D447" i="17" s="1"/>
  <c r="Q459" i="14"/>
  <c r="D448" i="17" s="1"/>
  <c r="Q460" i="14"/>
  <c r="D449" i="17" s="1"/>
  <c r="Q461" i="14"/>
  <c r="D450" i="17" s="1"/>
  <c r="Q462" i="14"/>
  <c r="D451" i="17" s="1"/>
  <c r="Q463" i="14"/>
  <c r="D452" i="17" s="1"/>
  <c r="Q464" i="14"/>
  <c r="D453" i="17" s="1"/>
  <c r="Q465" i="14"/>
  <c r="D454" i="17" s="1"/>
  <c r="Q466" i="14"/>
  <c r="D455" i="17" s="1"/>
  <c r="Q467" i="14"/>
  <c r="D456" i="17" s="1"/>
  <c r="Q468" i="14"/>
  <c r="D457" i="17" s="1"/>
  <c r="Q469" i="14"/>
  <c r="D458" i="17" s="1"/>
  <c r="Q470" i="14"/>
  <c r="D459" i="17" s="1"/>
  <c r="Q471" i="14"/>
  <c r="D460" i="17" s="1"/>
  <c r="Q472" i="14"/>
  <c r="D461" i="17" s="1"/>
  <c r="Q473" i="14"/>
  <c r="D462" i="17" s="1"/>
  <c r="Q474" i="14"/>
  <c r="D463" i="17" s="1"/>
  <c r="Q475" i="14"/>
  <c r="D464" i="17" s="1"/>
  <c r="Q476" i="14"/>
  <c r="D465" i="17" s="1"/>
  <c r="Q477" i="14"/>
  <c r="D466" i="17" s="1"/>
  <c r="Q478" i="14"/>
  <c r="D467" i="17" s="1"/>
  <c r="Q479" i="14"/>
  <c r="D468" i="17" s="1"/>
  <c r="Q480" i="14"/>
  <c r="D469" i="17" s="1"/>
  <c r="Q481" i="14"/>
  <c r="D470" i="17" s="1"/>
  <c r="Q482" i="14"/>
  <c r="D471" i="17" s="1"/>
  <c r="Q483" i="14"/>
  <c r="D472" i="17" s="1"/>
  <c r="Q484" i="14"/>
  <c r="D473" i="17" s="1"/>
  <c r="Q485" i="14"/>
  <c r="D474" i="17" s="1"/>
  <c r="Q486" i="14"/>
  <c r="D475" i="17" s="1"/>
  <c r="Q487" i="14"/>
  <c r="D476" i="17" s="1"/>
  <c r="Q488" i="14"/>
  <c r="D477" i="17" s="1"/>
  <c r="Q489" i="14"/>
  <c r="D478" i="17" s="1"/>
  <c r="Q490" i="14"/>
  <c r="D479" i="17" s="1"/>
  <c r="Q491" i="14"/>
  <c r="D480" i="17" s="1"/>
  <c r="Q492" i="14"/>
  <c r="D481" i="17" s="1"/>
  <c r="Q493" i="14"/>
  <c r="D482" i="17" s="1"/>
  <c r="Q494" i="14"/>
  <c r="D483" i="17" s="1"/>
  <c r="Q495" i="14"/>
  <c r="D484" i="17" s="1"/>
  <c r="Q496" i="14"/>
  <c r="D485" i="17" s="1"/>
  <c r="Q497" i="14"/>
  <c r="D486" i="17" s="1"/>
  <c r="Q498" i="14"/>
  <c r="D487" i="17" s="1"/>
  <c r="Q499" i="14"/>
  <c r="D488" i="17" s="1"/>
  <c r="Q500" i="14"/>
  <c r="D489" i="17" s="1"/>
  <c r="Q501" i="14"/>
  <c r="D490" i="17" s="1"/>
  <c r="Q502" i="14"/>
  <c r="D491" i="17" s="1"/>
  <c r="Q503" i="14"/>
  <c r="D492" i="17" s="1"/>
  <c r="Q504" i="14"/>
  <c r="D493" i="17" s="1"/>
  <c r="Q505" i="14"/>
  <c r="D494" i="17" s="1"/>
  <c r="Q506" i="14"/>
  <c r="D495" i="17" s="1"/>
  <c r="Q507" i="14"/>
  <c r="D496" i="17" s="1"/>
  <c r="Q508" i="14"/>
  <c r="D497" i="17" s="1"/>
  <c r="Q509" i="14"/>
  <c r="D498" i="17" s="1"/>
  <c r="Q510" i="14"/>
  <c r="D499" i="17" s="1"/>
  <c r="Q511" i="14"/>
  <c r="D500" i="17" s="1"/>
  <c r="Q512" i="14"/>
  <c r="D501" i="17" s="1"/>
  <c r="Q513" i="14"/>
  <c r="D502" i="17" s="1"/>
  <c r="Q514" i="14"/>
  <c r="D503" i="17" s="1"/>
  <c r="Q515" i="14"/>
  <c r="D504" i="17" s="1"/>
  <c r="Q516" i="14"/>
  <c r="D505" i="17" s="1"/>
  <c r="Q517" i="14"/>
  <c r="D506" i="17" s="1"/>
  <c r="Q518" i="14"/>
  <c r="D507" i="17" s="1"/>
  <c r="Q519" i="14"/>
  <c r="D508" i="17" s="1"/>
  <c r="Q520" i="14"/>
  <c r="D509" i="17" s="1"/>
  <c r="Q521" i="14"/>
  <c r="D510" i="17" s="1"/>
  <c r="Q522" i="14"/>
  <c r="D511" i="17" s="1"/>
  <c r="Q523" i="14"/>
  <c r="D512" i="17" s="1"/>
  <c r="Q524" i="14"/>
  <c r="D513" i="17" s="1"/>
  <c r="Q525" i="14"/>
  <c r="D514" i="17" s="1"/>
  <c r="Q526" i="14"/>
  <c r="D515" i="17" s="1"/>
  <c r="Q527" i="14"/>
  <c r="D516" i="17" s="1"/>
  <c r="Q528" i="14"/>
  <c r="D517" i="17" s="1"/>
  <c r="Q529" i="14"/>
  <c r="D518" i="17" s="1"/>
  <c r="Q530" i="14"/>
  <c r="D519" i="17" s="1"/>
  <c r="Q531" i="14"/>
  <c r="D520" i="17" s="1"/>
  <c r="Q532" i="14"/>
  <c r="D521" i="17" s="1"/>
  <c r="Q533" i="14"/>
  <c r="D522" i="17" s="1"/>
  <c r="Q534" i="14"/>
  <c r="D523" i="17" s="1"/>
  <c r="Q535" i="14"/>
  <c r="D524" i="17" s="1"/>
  <c r="Q536" i="14"/>
  <c r="D525" i="17" s="1"/>
  <c r="Q537" i="14"/>
  <c r="D526" i="17" s="1"/>
  <c r="Q538" i="14"/>
  <c r="D527" i="17" s="1"/>
  <c r="Q539" i="14"/>
  <c r="D528" i="17" s="1"/>
  <c r="Q540" i="14"/>
  <c r="D529" i="17" s="1"/>
  <c r="Q541" i="14"/>
  <c r="D530" i="17" s="1"/>
  <c r="Q542" i="14"/>
  <c r="D531" i="17" s="1"/>
  <c r="Q543" i="14"/>
  <c r="D532" i="17" s="1"/>
  <c r="Q544" i="14"/>
  <c r="D533" i="17" s="1"/>
  <c r="Q545" i="14"/>
  <c r="D534" i="17" s="1"/>
  <c r="Q546" i="14"/>
  <c r="D535" i="17" s="1"/>
  <c r="Q547" i="14"/>
  <c r="D536" i="17" s="1"/>
  <c r="Q548" i="14"/>
  <c r="D537" i="17" s="1"/>
  <c r="Q549" i="14"/>
  <c r="D538" i="17" s="1"/>
  <c r="Q550" i="14"/>
  <c r="D539" i="17" s="1"/>
  <c r="Q551" i="14"/>
  <c r="D540" i="17" s="1"/>
  <c r="Q552" i="14"/>
  <c r="D541" i="17" s="1"/>
  <c r="Q553" i="14"/>
  <c r="D542" i="17" s="1"/>
  <c r="Q554" i="14"/>
  <c r="D543" i="17" s="1"/>
  <c r="Q555" i="14"/>
  <c r="D544" i="17" s="1"/>
  <c r="Q556" i="14"/>
  <c r="D545" i="17" s="1"/>
  <c r="Q557" i="14"/>
  <c r="D546" i="17" s="1"/>
  <c r="Q558" i="14"/>
  <c r="D547" i="17" s="1"/>
  <c r="Q559" i="14"/>
  <c r="D548" i="17" s="1"/>
  <c r="Q560" i="14"/>
  <c r="D549" i="17" s="1"/>
  <c r="Q561" i="14"/>
  <c r="D550" i="17" s="1"/>
  <c r="Q562" i="14"/>
  <c r="D551" i="17" s="1"/>
  <c r="Q563" i="14"/>
  <c r="D552" i="17" s="1"/>
  <c r="Q564" i="14"/>
  <c r="D553" i="17" s="1"/>
  <c r="Q565" i="14"/>
  <c r="D554" i="17" s="1"/>
  <c r="Q566" i="14"/>
  <c r="D555" i="17" s="1"/>
  <c r="Q567" i="14"/>
  <c r="D556" i="17" s="1"/>
  <c r="Q568" i="14"/>
  <c r="D557" i="17" s="1"/>
  <c r="Q569" i="14"/>
  <c r="D558" i="17" s="1"/>
  <c r="Q570" i="14"/>
  <c r="D559" i="17" s="1"/>
  <c r="F559" i="17" s="1"/>
  <c r="G559" i="17" s="1"/>
  <c r="Q571" i="14"/>
  <c r="D560" i="17" s="1"/>
  <c r="Q572" i="14"/>
  <c r="D561" i="17" s="1"/>
  <c r="Q573" i="14"/>
  <c r="D562" i="17" s="1"/>
  <c r="Q574" i="14"/>
  <c r="D563" i="17" s="1"/>
  <c r="Q575" i="14"/>
  <c r="D564" i="17" s="1"/>
  <c r="Q576" i="14"/>
  <c r="D565" i="17" s="1"/>
  <c r="Q577" i="14"/>
  <c r="D566" i="17" s="1"/>
  <c r="Q578" i="14"/>
  <c r="D567" i="17" s="1"/>
  <c r="Q579" i="14"/>
  <c r="D568" i="17" s="1"/>
  <c r="Q580" i="14"/>
  <c r="D569" i="17" s="1"/>
  <c r="Q581" i="14"/>
  <c r="D570" i="17" s="1"/>
  <c r="Q582" i="14"/>
  <c r="D571" i="17" s="1"/>
  <c r="Q583" i="14"/>
  <c r="D572" i="17" s="1"/>
  <c r="Q584" i="14"/>
  <c r="D573" i="17" s="1"/>
  <c r="Q585" i="14"/>
  <c r="D574" i="17" s="1"/>
  <c r="Q586" i="14"/>
  <c r="D575" i="17" s="1"/>
  <c r="Q587" i="14"/>
  <c r="D576" i="17" s="1"/>
  <c r="Q588" i="14"/>
  <c r="D577" i="17" s="1"/>
  <c r="Q589" i="14"/>
  <c r="D578" i="17" s="1"/>
  <c r="Q590" i="14"/>
  <c r="D579" i="17" s="1"/>
  <c r="Q591" i="14"/>
  <c r="D580" i="17" s="1"/>
  <c r="Q592" i="14"/>
  <c r="D581" i="17" s="1"/>
  <c r="Q593" i="14"/>
  <c r="D582" i="17" s="1"/>
  <c r="Q594" i="14"/>
  <c r="D583" i="17" s="1"/>
  <c r="Q595" i="14"/>
  <c r="D584" i="17" s="1"/>
  <c r="Q596" i="14"/>
  <c r="D585" i="17" s="1"/>
  <c r="Q597" i="14"/>
  <c r="D586" i="17" s="1"/>
  <c r="Q598" i="14"/>
  <c r="D587" i="17" s="1"/>
  <c r="Q599" i="14"/>
  <c r="D588" i="17" s="1"/>
  <c r="Q600" i="14"/>
  <c r="D589" i="17" s="1"/>
  <c r="Q601" i="14"/>
  <c r="D590" i="17" s="1"/>
  <c r="Q602" i="14"/>
  <c r="D591" i="17" s="1"/>
  <c r="Q603" i="14"/>
  <c r="D592" i="17" s="1"/>
  <c r="Q604" i="14"/>
  <c r="D593" i="17" s="1"/>
  <c r="Q605" i="14"/>
  <c r="D594" i="17" s="1"/>
  <c r="Q606" i="14"/>
  <c r="D595" i="17" s="1"/>
  <c r="Q607" i="14"/>
  <c r="D596" i="17" s="1"/>
  <c r="Q608" i="14"/>
  <c r="D597" i="17" s="1"/>
  <c r="Q609" i="14"/>
  <c r="D598" i="17" s="1"/>
  <c r="Q610" i="14"/>
  <c r="D599" i="17" s="1"/>
  <c r="Q611" i="14"/>
  <c r="D600" i="17" s="1"/>
  <c r="Q612" i="14"/>
  <c r="D601" i="17" s="1"/>
  <c r="Q613" i="14"/>
  <c r="D602" i="17" s="1"/>
  <c r="Q614" i="14"/>
  <c r="D603" i="17" s="1"/>
  <c r="Q615" i="14"/>
  <c r="D604" i="17" s="1"/>
  <c r="Q616" i="14"/>
  <c r="D605" i="17" s="1"/>
  <c r="Q617" i="14"/>
  <c r="D606" i="17" s="1"/>
  <c r="Q618" i="14"/>
  <c r="D607" i="17" s="1"/>
  <c r="Q619" i="14"/>
  <c r="D608" i="17" s="1"/>
  <c r="Q620" i="14"/>
  <c r="D609" i="17" s="1"/>
  <c r="Q621" i="14"/>
  <c r="D610" i="17" s="1"/>
  <c r="Q622" i="14"/>
  <c r="D611" i="17" s="1"/>
  <c r="Q623" i="14"/>
  <c r="D612" i="17" s="1"/>
  <c r="Q624" i="14"/>
  <c r="D613" i="17" s="1"/>
  <c r="Q625" i="14"/>
  <c r="D614" i="17" s="1"/>
  <c r="Q626" i="14"/>
  <c r="D615" i="17" s="1"/>
  <c r="Q627" i="14"/>
  <c r="D616" i="17" s="1"/>
  <c r="Q628" i="14"/>
  <c r="D617" i="17" s="1"/>
  <c r="Q629" i="14"/>
  <c r="D618" i="17" s="1"/>
  <c r="Q630" i="14"/>
  <c r="D619" i="17" s="1"/>
  <c r="Q631" i="14"/>
  <c r="D620" i="17" s="1"/>
  <c r="Q632" i="14"/>
  <c r="D621" i="17" s="1"/>
  <c r="Q633" i="14"/>
  <c r="D622" i="17" s="1"/>
  <c r="Q634" i="14"/>
  <c r="D623" i="17" s="1"/>
  <c r="F623" i="17" s="1"/>
  <c r="G623" i="17" s="1"/>
  <c r="Q635" i="14"/>
  <c r="D624" i="17" s="1"/>
  <c r="Q636" i="14"/>
  <c r="D625" i="17" s="1"/>
  <c r="Q637" i="14"/>
  <c r="D626" i="17" s="1"/>
  <c r="Q638" i="14"/>
  <c r="D627" i="17" s="1"/>
  <c r="Q639" i="14"/>
  <c r="D628" i="17" s="1"/>
  <c r="Q640" i="14"/>
  <c r="D629" i="17" s="1"/>
  <c r="Q641" i="14"/>
  <c r="D630" i="17" s="1"/>
  <c r="Q642" i="14"/>
  <c r="D631" i="17" s="1"/>
  <c r="Q643" i="14"/>
  <c r="D632" i="17" s="1"/>
  <c r="Q644" i="14"/>
  <c r="D633" i="17" s="1"/>
  <c r="Q645" i="14"/>
  <c r="D634" i="17" s="1"/>
  <c r="Q646" i="14"/>
  <c r="D635" i="17" s="1"/>
  <c r="Q647" i="14"/>
  <c r="D636" i="17" s="1"/>
  <c r="Q648" i="14"/>
  <c r="D637" i="17" s="1"/>
  <c r="Q649" i="14"/>
  <c r="D638" i="17" s="1"/>
  <c r="Q650" i="14"/>
  <c r="D639" i="17" s="1"/>
  <c r="Q651" i="14"/>
  <c r="D640" i="17" s="1"/>
  <c r="Q652" i="14"/>
  <c r="D641" i="17" s="1"/>
  <c r="Q653" i="14"/>
  <c r="D642" i="17" s="1"/>
  <c r="Q654" i="14"/>
  <c r="D643" i="17" s="1"/>
  <c r="Q655" i="14"/>
  <c r="D644" i="17" s="1"/>
  <c r="Q656" i="14"/>
  <c r="D645" i="17" s="1"/>
  <c r="Q657" i="14"/>
  <c r="D646" i="17" s="1"/>
  <c r="Q658" i="14"/>
  <c r="D647" i="17" s="1"/>
  <c r="Q659" i="14"/>
  <c r="D648" i="17" s="1"/>
  <c r="Q660" i="14"/>
  <c r="D649" i="17" s="1"/>
  <c r="Q661" i="14"/>
  <c r="D650" i="17" s="1"/>
  <c r="Q662" i="14"/>
  <c r="D651" i="17" s="1"/>
  <c r="Q663" i="14"/>
  <c r="D652" i="17" s="1"/>
  <c r="Q664" i="14"/>
  <c r="D653" i="17" s="1"/>
  <c r="Q665" i="14"/>
  <c r="D654" i="17" s="1"/>
  <c r="Q666" i="14"/>
  <c r="D655" i="17" s="1"/>
  <c r="Q667" i="14"/>
  <c r="D656" i="17" s="1"/>
  <c r="Q668" i="14"/>
  <c r="D657" i="17" s="1"/>
  <c r="Q669" i="14"/>
  <c r="D658" i="17" s="1"/>
  <c r="Q670" i="14"/>
  <c r="D659" i="17" s="1"/>
  <c r="Q671" i="14"/>
  <c r="D660" i="17" s="1"/>
  <c r="Q672" i="14"/>
  <c r="D661" i="17" s="1"/>
  <c r="Q673" i="14"/>
  <c r="D662" i="17" s="1"/>
  <c r="Q674" i="14"/>
  <c r="D663" i="17" s="1"/>
  <c r="Q675" i="14"/>
  <c r="D664" i="17" s="1"/>
  <c r="Q676" i="14"/>
  <c r="D665" i="17" s="1"/>
  <c r="Q677" i="14"/>
  <c r="D666" i="17" s="1"/>
  <c r="Q678" i="14"/>
  <c r="D667" i="17" s="1"/>
  <c r="Q679" i="14"/>
  <c r="D668" i="17" s="1"/>
  <c r="Q680" i="14"/>
  <c r="D669" i="17" s="1"/>
  <c r="Q681" i="14"/>
  <c r="D670" i="17" s="1"/>
  <c r="Q682" i="14"/>
  <c r="D671" i="17" s="1"/>
  <c r="Q683" i="14"/>
  <c r="D672" i="17" s="1"/>
  <c r="Q684" i="14"/>
  <c r="D673" i="17" s="1"/>
  <c r="Q685" i="14"/>
  <c r="D674" i="17" s="1"/>
  <c r="Q686" i="14"/>
  <c r="D675" i="17" s="1"/>
  <c r="Q687" i="14"/>
  <c r="D676" i="17" s="1"/>
  <c r="Q688" i="14"/>
  <c r="D677" i="17" s="1"/>
  <c r="Q689" i="14"/>
  <c r="D678" i="17" s="1"/>
  <c r="Q690" i="14"/>
  <c r="D679" i="17" s="1"/>
  <c r="Q691" i="14"/>
  <c r="D680" i="17" s="1"/>
  <c r="Q692" i="14"/>
  <c r="D681" i="17" s="1"/>
  <c r="Q693" i="14"/>
  <c r="D682" i="17" s="1"/>
  <c r="Q694" i="14"/>
  <c r="D683" i="17" s="1"/>
  <c r="Q695" i="14"/>
  <c r="D684" i="17" s="1"/>
  <c r="Q696" i="14"/>
  <c r="D685" i="17" s="1"/>
  <c r="Q697" i="14"/>
  <c r="D686" i="17" s="1"/>
  <c r="Q698" i="14"/>
  <c r="D687" i="17" s="1"/>
  <c r="F687" i="17" s="1"/>
  <c r="G687" i="17" s="1"/>
  <c r="Q699" i="14"/>
  <c r="D688" i="17" s="1"/>
  <c r="Q700" i="14"/>
  <c r="D689" i="17" s="1"/>
  <c r="Q701" i="14"/>
  <c r="D690" i="17" s="1"/>
  <c r="Q702" i="14"/>
  <c r="D691" i="17" s="1"/>
  <c r="Q703" i="14"/>
  <c r="D692" i="17" s="1"/>
  <c r="Q704" i="14"/>
  <c r="D693" i="17" s="1"/>
  <c r="Q705" i="14"/>
  <c r="D694" i="17" s="1"/>
  <c r="Q706" i="14"/>
  <c r="D695" i="17" s="1"/>
  <c r="Q707" i="14"/>
  <c r="D696" i="17" s="1"/>
  <c r="Q708" i="14"/>
  <c r="D697" i="17" s="1"/>
  <c r="Q709" i="14"/>
  <c r="D698" i="17" s="1"/>
  <c r="Q710" i="14"/>
  <c r="D699" i="17" s="1"/>
  <c r="Q711" i="14"/>
  <c r="D700" i="17" s="1"/>
  <c r="Q712" i="14"/>
  <c r="D701" i="17" s="1"/>
  <c r="Q713" i="14"/>
  <c r="D702" i="17" s="1"/>
  <c r="Q714" i="14"/>
  <c r="D703" i="17" s="1"/>
  <c r="Q715" i="14"/>
  <c r="D704" i="17" s="1"/>
  <c r="Q716" i="14"/>
  <c r="D705" i="17" s="1"/>
  <c r="Q717" i="14"/>
  <c r="D706" i="17" s="1"/>
  <c r="Q718" i="14"/>
  <c r="D707" i="17" s="1"/>
  <c r="Q719" i="14"/>
  <c r="D708" i="17" s="1"/>
  <c r="Q720" i="14"/>
  <c r="D709" i="17" s="1"/>
  <c r="Q721" i="14"/>
  <c r="D710" i="17" s="1"/>
  <c r="Q722" i="14"/>
  <c r="D711" i="17" s="1"/>
  <c r="Q723" i="14"/>
  <c r="D712" i="17" s="1"/>
  <c r="Q724" i="14"/>
  <c r="D713" i="17" s="1"/>
  <c r="Q725" i="14"/>
  <c r="D714" i="17" s="1"/>
  <c r="Q726" i="14"/>
  <c r="D715" i="17" s="1"/>
  <c r="Q727" i="14"/>
  <c r="D716" i="17" s="1"/>
  <c r="Q728" i="14"/>
  <c r="D717" i="17" s="1"/>
  <c r="Q729" i="14"/>
  <c r="D718" i="17" s="1"/>
  <c r="Q730" i="14"/>
  <c r="D719" i="17" s="1"/>
  <c r="Q731" i="14"/>
  <c r="D720" i="17" s="1"/>
  <c r="Q732" i="14"/>
  <c r="D721" i="17" s="1"/>
  <c r="Q733" i="14"/>
  <c r="D722" i="17" s="1"/>
  <c r="Q734" i="14"/>
  <c r="D723" i="17" s="1"/>
  <c r="Q735" i="14"/>
  <c r="D724" i="17" s="1"/>
  <c r="Q736" i="14"/>
  <c r="D725" i="17" s="1"/>
  <c r="Q737" i="14"/>
  <c r="D726" i="17" s="1"/>
  <c r="Q738" i="14"/>
  <c r="D727" i="17" s="1"/>
  <c r="Q739" i="14"/>
  <c r="D728" i="17" s="1"/>
  <c r="Q740" i="14"/>
  <c r="D729" i="17" s="1"/>
  <c r="Q741" i="14"/>
  <c r="D730" i="17" s="1"/>
  <c r="Q742" i="14"/>
  <c r="D731" i="17" s="1"/>
  <c r="Q743" i="14"/>
  <c r="D732" i="17" s="1"/>
  <c r="Q744" i="14"/>
  <c r="D733" i="17" s="1"/>
  <c r="Q745" i="14"/>
  <c r="D734" i="17" s="1"/>
  <c r="Q746" i="14"/>
  <c r="D735" i="17" s="1"/>
  <c r="Q747" i="14"/>
  <c r="D736" i="17" s="1"/>
  <c r="Q748" i="14"/>
  <c r="D737" i="17" s="1"/>
  <c r="Q749" i="14"/>
  <c r="D738" i="17" s="1"/>
  <c r="Q750" i="14"/>
  <c r="D739" i="17" s="1"/>
  <c r="Q751" i="14"/>
  <c r="D740" i="17" s="1"/>
  <c r="Q752" i="14"/>
  <c r="D741" i="17" s="1"/>
  <c r="Q753" i="14"/>
  <c r="D742" i="17" s="1"/>
  <c r="Q754" i="14"/>
  <c r="D743" i="17" s="1"/>
  <c r="Q755" i="14"/>
  <c r="D744" i="17" s="1"/>
  <c r="Q756" i="14"/>
  <c r="D745" i="17" s="1"/>
  <c r="Q757" i="14"/>
  <c r="D746" i="17" s="1"/>
  <c r="Q758" i="14"/>
  <c r="D747" i="17" s="1"/>
  <c r="Q759" i="14"/>
  <c r="D748" i="17" s="1"/>
  <c r="Q760" i="14"/>
  <c r="D749" i="17" s="1"/>
  <c r="Q761" i="14"/>
  <c r="D750" i="17" s="1"/>
  <c r="Q762" i="14"/>
  <c r="D751" i="17" s="1"/>
  <c r="F751" i="17" s="1"/>
  <c r="G751" i="17" s="1"/>
  <c r="Q763" i="14"/>
  <c r="D752" i="17" s="1"/>
  <c r="Q764" i="14"/>
  <c r="D753" i="17" s="1"/>
  <c r="Q765" i="14"/>
  <c r="D754" i="17" s="1"/>
  <c r="Q766" i="14"/>
  <c r="D755" i="17" s="1"/>
  <c r="Q767" i="14"/>
  <c r="D756" i="17" s="1"/>
  <c r="Q768" i="14"/>
  <c r="D757" i="17" s="1"/>
  <c r="Q769" i="14"/>
  <c r="D758" i="17" s="1"/>
  <c r="Q770" i="14"/>
  <c r="D759" i="17" s="1"/>
  <c r="Q771" i="14"/>
  <c r="D760" i="17" s="1"/>
  <c r="Q772" i="14"/>
  <c r="D761" i="17" s="1"/>
  <c r="Q773" i="14"/>
  <c r="D762" i="17" s="1"/>
  <c r="Q774" i="14"/>
  <c r="D763" i="17" s="1"/>
  <c r="Q775" i="14"/>
  <c r="D764" i="17" s="1"/>
  <c r="Q776" i="14"/>
  <c r="D765" i="17" s="1"/>
  <c r="Q777" i="14"/>
  <c r="D766" i="17" s="1"/>
  <c r="Q778" i="14"/>
  <c r="D767" i="17" s="1"/>
  <c r="Q779" i="14"/>
  <c r="D768" i="17" s="1"/>
  <c r="Q780" i="14"/>
  <c r="D769" i="17" s="1"/>
  <c r="Q781" i="14"/>
  <c r="D770" i="17" s="1"/>
  <c r="Q782" i="14"/>
  <c r="D771" i="17" s="1"/>
  <c r="Q783" i="14"/>
  <c r="D772" i="17" s="1"/>
  <c r="Q784" i="14"/>
  <c r="D773" i="17" s="1"/>
  <c r="Q785" i="14"/>
  <c r="D774" i="17" s="1"/>
  <c r="Q786" i="14"/>
  <c r="D775" i="17" s="1"/>
  <c r="Q787" i="14"/>
  <c r="D776" i="17" s="1"/>
  <c r="Q788" i="14"/>
  <c r="D777" i="17" s="1"/>
  <c r="Q789" i="14"/>
  <c r="D778" i="17" s="1"/>
  <c r="Q790" i="14"/>
  <c r="D779" i="17" s="1"/>
  <c r="Q791" i="14"/>
  <c r="D780" i="17" s="1"/>
  <c r="Q792" i="14"/>
  <c r="D781" i="17" s="1"/>
  <c r="Q793" i="14"/>
  <c r="D782" i="17" s="1"/>
  <c r="Q794" i="14"/>
  <c r="D783" i="17" s="1"/>
  <c r="Q795" i="14"/>
  <c r="D784" i="17" s="1"/>
  <c r="Q796" i="14"/>
  <c r="D785" i="17" s="1"/>
  <c r="Q797" i="14"/>
  <c r="D786" i="17" s="1"/>
  <c r="Q798" i="14"/>
  <c r="D787" i="17" s="1"/>
  <c r="Q799" i="14"/>
  <c r="D788" i="17" s="1"/>
  <c r="Q800" i="14"/>
  <c r="D789" i="17" s="1"/>
  <c r="Q801" i="14"/>
  <c r="D790" i="17" s="1"/>
  <c r="Q802" i="14"/>
  <c r="D791" i="17" s="1"/>
  <c r="Q803" i="14"/>
  <c r="D792" i="17" s="1"/>
  <c r="Q804" i="14"/>
  <c r="D793" i="17" s="1"/>
  <c r="Q805" i="14"/>
  <c r="D794" i="17" s="1"/>
  <c r="Q806" i="14"/>
  <c r="D795" i="17" s="1"/>
  <c r="Q807" i="14"/>
  <c r="D796" i="17" s="1"/>
  <c r="Q808" i="14"/>
  <c r="D797" i="17" s="1"/>
  <c r="Q809" i="14"/>
  <c r="D798" i="17" s="1"/>
  <c r="Q810" i="14"/>
  <c r="D799" i="17" s="1"/>
  <c r="Q811" i="14"/>
  <c r="D800" i="17" s="1"/>
  <c r="Q812" i="14"/>
  <c r="D801" i="17" s="1"/>
  <c r="Q813" i="14"/>
  <c r="D802" i="17" s="1"/>
  <c r="Q814" i="14"/>
  <c r="D803" i="17" s="1"/>
  <c r="Q815" i="14"/>
  <c r="D804" i="17" s="1"/>
  <c r="Q816" i="14"/>
  <c r="D805" i="17" s="1"/>
  <c r="Q817" i="14"/>
  <c r="D806" i="17" s="1"/>
  <c r="Q818" i="14"/>
  <c r="D807" i="17" s="1"/>
  <c r="Q819" i="14"/>
  <c r="D808" i="17" s="1"/>
  <c r="Q820" i="14"/>
  <c r="D809" i="17" s="1"/>
  <c r="Q821" i="14"/>
  <c r="D810" i="17" s="1"/>
  <c r="Q822" i="14"/>
  <c r="D811" i="17" s="1"/>
  <c r="Q823" i="14"/>
  <c r="D812" i="17" s="1"/>
  <c r="Q824" i="14"/>
  <c r="D813" i="17" s="1"/>
  <c r="Q825" i="14"/>
  <c r="D814" i="17" s="1"/>
  <c r="Q826" i="14"/>
  <c r="D815" i="17" s="1"/>
  <c r="F815" i="17" s="1"/>
  <c r="G815" i="17" s="1"/>
  <c r="Q827" i="14"/>
  <c r="D816" i="17" s="1"/>
  <c r="Q828" i="14"/>
  <c r="D817" i="17" s="1"/>
  <c r="Q829" i="14"/>
  <c r="D818" i="17" s="1"/>
  <c r="Q830" i="14"/>
  <c r="D819" i="17" s="1"/>
  <c r="Q831" i="14"/>
  <c r="D820" i="17" s="1"/>
  <c r="Q832" i="14"/>
  <c r="D821" i="17" s="1"/>
  <c r="Q833" i="14"/>
  <c r="D822" i="17" s="1"/>
  <c r="Q834" i="14"/>
  <c r="D823" i="17" s="1"/>
  <c r="Q835" i="14"/>
  <c r="D824" i="17" s="1"/>
  <c r="Q836" i="14"/>
  <c r="D825" i="17" s="1"/>
  <c r="Q837" i="14"/>
  <c r="D826" i="17" s="1"/>
  <c r="Q838" i="14"/>
  <c r="D827" i="17" s="1"/>
  <c r="Q839" i="14"/>
  <c r="D828" i="17" s="1"/>
  <c r="Q840" i="14"/>
  <c r="D829" i="17" s="1"/>
  <c r="Q841" i="14"/>
  <c r="D830" i="17" s="1"/>
  <c r="Q842" i="14"/>
  <c r="D831" i="17" s="1"/>
  <c r="Q843" i="14"/>
  <c r="D832" i="17" s="1"/>
  <c r="Q844" i="14"/>
  <c r="D833" i="17" s="1"/>
  <c r="Q845" i="14"/>
  <c r="D834" i="17" s="1"/>
  <c r="Q846" i="14"/>
  <c r="D835" i="17" s="1"/>
  <c r="Q847" i="14"/>
  <c r="D836" i="17" s="1"/>
  <c r="Q848" i="14"/>
  <c r="D837" i="17" s="1"/>
  <c r="Q849" i="14"/>
  <c r="D838" i="17" s="1"/>
  <c r="Q850" i="14"/>
  <c r="D839" i="17" s="1"/>
  <c r="Q851" i="14"/>
  <c r="D840" i="17" s="1"/>
  <c r="Q852" i="14"/>
  <c r="D841" i="17" s="1"/>
  <c r="Q853" i="14"/>
  <c r="D842" i="17" s="1"/>
  <c r="Q854" i="14"/>
  <c r="D843" i="17" s="1"/>
  <c r="Q855" i="14"/>
  <c r="D844" i="17" s="1"/>
  <c r="Q856" i="14"/>
  <c r="D845" i="17" s="1"/>
  <c r="Q857" i="14"/>
  <c r="D846" i="17" s="1"/>
  <c r="Q858" i="14"/>
  <c r="D847" i="17" s="1"/>
  <c r="Q859" i="14"/>
  <c r="D848" i="17" s="1"/>
  <c r="Q860" i="14"/>
  <c r="D849" i="17" s="1"/>
  <c r="Q861" i="14"/>
  <c r="D850" i="17" s="1"/>
  <c r="Q862" i="14"/>
  <c r="D851" i="17" s="1"/>
  <c r="Q863" i="14"/>
  <c r="D852" i="17" s="1"/>
  <c r="Q864" i="14"/>
  <c r="D853" i="17" s="1"/>
  <c r="Q865" i="14"/>
  <c r="D854" i="17" s="1"/>
  <c r="Q866" i="14"/>
  <c r="D855" i="17" s="1"/>
  <c r="Q867" i="14"/>
  <c r="D856" i="17" s="1"/>
  <c r="Q868" i="14"/>
  <c r="D857" i="17" s="1"/>
  <c r="Q869" i="14"/>
  <c r="D858" i="17" s="1"/>
  <c r="Q870" i="14"/>
  <c r="D859" i="17" s="1"/>
  <c r="Q871" i="14"/>
  <c r="D860" i="17" s="1"/>
  <c r="Q872" i="14"/>
  <c r="D861" i="17" s="1"/>
  <c r="Q873" i="14"/>
  <c r="D862" i="17" s="1"/>
  <c r="Q874" i="14"/>
  <c r="D863" i="17" s="1"/>
  <c r="Q875" i="14"/>
  <c r="D864" i="17" s="1"/>
  <c r="Q876" i="14"/>
  <c r="D865" i="17" s="1"/>
  <c r="Q877" i="14"/>
  <c r="D866" i="17" s="1"/>
  <c r="Q878" i="14"/>
  <c r="D867" i="17" s="1"/>
  <c r="Q879" i="14"/>
  <c r="D868" i="17" s="1"/>
  <c r="Q880" i="14"/>
  <c r="D869" i="17" s="1"/>
  <c r="Q881" i="14"/>
  <c r="D870" i="17" s="1"/>
  <c r="Q882" i="14"/>
  <c r="D871" i="17" s="1"/>
  <c r="Q883" i="14"/>
  <c r="D872" i="17" s="1"/>
  <c r="Q884" i="14"/>
  <c r="D873" i="17" s="1"/>
  <c r="Q885" i="14"/>
  <c r="D874" i="17" s="1"/>
  <c r="Q886" i="14"/>
  <c r="D875" i="17" s="1"/>
  <c r="Q887" i="14"/>
  <c r="D876" i="17" s="1"/>
  <c r="Q888" i="14"/>
  <c r="D877" i="17" s="1"/>
  <c r="Q14" i="14"/>
  <c r="D3" i="17" s="1"/>
  <c r="F876" i="17" l="1"/>
  <c r="G876" i="17" s="1"/>
  <c r="F868" i="17"/>
  <c r="G868" i="17" s="1"/>
  <c r="F860" i="17"/>
  <c r="G860" i="17" s="1"/>
  <c r="F852" i="17"/>
  <c r="G852" i="17" s="1"/>
  <c r="F844" i="17"/>
  <c r="G844" i="17" s="1"/>
  <c r="F836" i="17"/>
  <c r="G836" i="17" s="1"/>
  <c r="F828" i="17"/>
  <c r="G828" i="17" s="1"/>
  <c r="F820" i="17"/>
  <c r="G820" i="17" s="1"/>
  <c r="F812" i="17"/>
  <c r="G812" i="17" s="1"/>
  <c r="F804" i="17"/>
  <c r="G804" i="17" s="1"/>
  <c r="F796" i="17"/>
  <c r="G796" i="17" s="1"/>
  <c r="F788" i="17"/>
  <c r="G788" i="17" s="1"/>
  <c r="F780" i="17"/>
  <c r="G780" i="17" s="1"/>
  <c r="F772" i="17"/>
  <c r="G772" i="17" s="1"/>
  <c r="F764" i="17"/>
  <c r="G764" i="17" s="1"/>
  <c r="F756" i="17"/>
  <c r="G756" i="17" s="1"/>
  <c r="F748" i="17"/>
  <c r="G748" i="17" s="1"/>
  <c r="F740" i="17"/>
  <c r="G740" i="17" s="1"/>
  <c r="F732" i="17"/>
  <c r="G732" i="17" s="1"/>
  <c r="F724" i="17"/>
  <c r="G724" i="17" s="1"/>
  <c r="F716" i="17"/>
  <c r="G716" i="17" s="1"/>
  <c r="F708" i="17"/>
  <c r="G708" i="17" s="1"/>
  <c r="F700" i="17"/>
  <c r="G700" i="17" s="1"/>
  <c r="F692" i="17"/>
  <c r="G692" i="17" s="1"/>
  <c r="F684" i="17"/>
  <c r="G684" i="17" s="1"/>
  <c r="F676" i="17"/>
  <c r="G676" i="17" s="1"/>
  <c r="F668" i="17"/>
  <c r="G668" i="17" s="1"/>
  <c r="F660" i="17"/>
  <c r="G660" i="17" s="1"/>
  <c r="F652" i="17"/>
  <c r="G652" i="17" s="1"/>
  <c r="F644" i="17"/>
  <c r="G644" i="17" s="1"/>
  <c r="F636" i="17"/>
  <c r="G636" i="17" s="1"/>
  <c r="F628" i="17"/>
  <c r="G628" i="17" s="1"/>
  <c r="F620" i="17"/>
  <c r="G620" i="17" s="1"/>
  <c r="F612" i="17"/>
  <c r="G612" i="17" s="1"/>
  <c r="F604" i="17"/>
  <c r="G604" i="17" s="1"/>
  <c r="F596" i="17"/>
  <c r="G596" i="17" s="1"/>
  <c r="F588" i="17"/>
  <c r="G588" i="17" s="1"/>
  <c r="F580" i="17"/>
  <c r="G580" i="17" s="1"/>
  <c r="F572" i="17"/>
  <c r="G572" i="17" s="1"/>
  <c r="F564" i="17"/>
  <c r="G564" i="17" s="1"/>
  <c r="F556" i="17"/>
  <c r="G556" i="17" s="1"/>
  <c r="F548" i="17"/>
  <c r="G548" i="17" s="1"/>
  <c r="F540" i="17"/>
  <c r="G540" i="17" s="1"/>
  <c r="F532" i="17"/>
  <c r="G532" i="17" s="1"/>
  <c r="F524" i="17"/>
  <c r="G524" i="17" s="1"/>
  <c r="F516" i="17"/>
  <c r="G516" i="17" s="1"/>
  <c r="F508" i="17"/>
  <c r="G508" i="17" s="1"/>
  <c r="F500" i="17"/>
  <c r="G500" i="17" s="1"/>
  <c r="F492" i="17"/>
  <c r="G492" i="17" s="1"/>
  <c r="F484" i="17"/>
  <c r="G484" i="17" s="1"/>
  <c r="F476" i="17"/>
  <c r="G476" i="17" s="1"/>
  <c r="F468" i="17"/>
  <c r="G468" i="17" s="1"/>
  <c r="F460" i="17"/>
  <c r="G460" i="17" s="1"/>
  <c r="F452" i="17"/>
  <c r="G452" i="17" s="1"/>
  <c r="F444" i="17"/>
  <c r="G444" i="17" s="1"/>
  <c r="F436" i="17"/>
  <c r="G436" i="17" s="1"/>
  <c r="F428" i="17"/>
  <c r="G428" i="17" s="1"/>
  <c r="F420" i="17"/>
  <c r="G420" i="17" s="1"/>
  <c r="F412" i="17"/>
  <c r="G412" i="17" s="1"/>
  <c r="F404" i="17"/>
  <c r="G404" i="17" s="1"/>
  <c r="F396" i="17"/>
  <c r="G396" i="17" s="1"/>
  <c r="F388" i="17"/>
  <c r="G388" i="17" s="1"/>
  <c r="F380" i="17"/>
  <c r="G380" i="17" s="1"/>
  <c r="F372" i="17"/>
  <c r="G372" i="17" s="1"/>
  <c r="F364" i="17"/>
  <c r="G364" i="17" s="1"/>
  <c r="F356" i="17"/>
  <c r="G356" i="17" s="1"/>
  <c r="F348" i="17"/>
  <c r="G348" i="17" s="1"/>
  <c r="F340" i="17"/>
  <c r="G340" i="17" s="1"/>
  <c r="F332" i="17"/>
  <c r="G332" i="17" s="1"/>
  <c r="F324" i="17"/>
  <c r="G324" i="17" s="1"/>
  <c r="F316" i="17"/>
  <c r="G316" i="17" s="1"/>
  <c r="F308" i="17"/>
  <c r="G308" i="17" s="1"/>
  <c r="F300" i="17"/>
  <c r="G300" i="17" s="1"/>
  <c r="F292" i="17"/>
  <c r="G292" i="17" s="1"/>
  <c r="F284" i="17"/>
  <c r="G284" i="17" s="1"/>
  <c r="F276" i="17"/>
  <c r="G276" i="17" s="1"/>
  <c r="F268" i="17"/>
  <c r="G268" i="17" s="1"/>
  <c r="F260" i="17"/>
  <c r="G260" i="17" s="1"/>
  <c r="F252" i="17"/>
  <c r="G252" i="17" s="1"/>
  <c r="F244" i="17"/>
  <c r="G244" i="17" s="1"/>
  <c r="F236" i="17"/>
  <c r="G236" i="17" s="1"/>
  <c r="F228" i="17"/>
  <c r="G228" i="17" s="1"/>
  <c r="F220" i="17"/>
  <c r="G220" i="17" s="1"/>
  <c r="F212" i="17"/>
  <c r="G212" i="17" s="1"/>
  <c r="F204" i="17"/>
  <c r="G204" i="17" s="1"/>
  <c r="F196" i="17"/>
  <c r="G196" i="17" s="1"/>
  <c r="F188" i="17"/>
  <c r="G188" i="17" s="1"/>
  <c r="F180" i="17"/>
  <c r="G180" i="17" s="1"/>
  <c r="F172" i="17"/>
  <c r="G172" i="17" s="1"/>
  <c r="F164" i="17"/>
  <c r="G164" i="17" s="1"/>
  <c r="F156" i="17"/>
  <c r="G156" i="17" s="1"/>
  <c r="F148" i="17"/>
  <c r="G148" i="17" s="1"/>
  <c r="F140" i="17"/>
  <c r="G140" i="17" s="1"/>
  <c r="F132" i="17"/>
  <c r="G132" i="17" s="1"/>
  <c r="F124" i="17"/>
  <c r="G124" i="17" s="1"/>
  <c r="F116" i="17"/>
  <c r="G116" i="17" s="1"/>
  <c r="F108" i="17"/>
  <c r="G108" i="17" s="1"/>
  <c r="F100" i="17"/>
  <c r="G100" i="17" s="1"/>
  <c r="F92" i="17"/>
  <c r="G92" i="17" s="1"/>
  <c r="F84" i="17"/>
  <c r="G84" i="17" s="1"/>
  <c r="F76" i="17"/>
  <c r="G76" i="17" s="1"/>
  <c r="F68" i="17"/>
  <c r="G68" i="17" s="1"/>
  <c r="F60" i="17"/>
  <c r="G60" i="17" s="1"/>
  <c r="F52" i="17"/>
  <c r="G52" i="17" s="1"/>
  <c r="F44" i="17"/>
  <c r="G44" i="17" s="1"/>
  <c r="F36" i="17"/>
  <c r="G36" i="17" s="1"/>
  <c r="F28" i="17"/>
  <c r="G28" i="17" s="1"/>
  <c r="F20" i="17"/>
  <c r="G20" i="17" s="1"/>
  <c r="F12" i="17"/>
  <c r="G12" i="17" s="1"/>
  <c r="F4" i="17"/>
  <c r="G4" i="17" s="1"/>
  <c r="F226" i="17"/>
  <c r="G226" i="17" s="1"/>
  <c r="F218" i="17"/>
  <c r="G218" i="17" s="1"/>
  <c r="F210" i="17"/>
  <c r="G210" i="17" s="1"/>
  <c r="F202" i="17"/>
  <c r="G202" i="17" s="1"/>
  <c r="F194" i="17"/>
  <c r="G194" i="17" s="1"/>
  <c r="F186" i="17"/>
  <c r="G186" i="17" s="1"/>
  <c r="F178" i="17"/>
  <c r="G178" i="17" s="1"/>
  <c r="F170" i="17"/>
  <c r="G170" i="17" s="1"/>
  <c r="F162" i="17"/>
  <c r="G162" i="17" s="1"/>
  <c r="F154" i="17"/>
  <c r="G154" i="17" s="1"/>
  <c r="F146" i="17"/>
  <c r="G146" i="17" s="1"/>
  <c r="F138" i="17"/>
  <c r="G138" i="17" s="1"/>
  <c r="F130" i="17"/>
  <c r="G130" i="17" s="1"/>
  <c r="F875" i="17"/>
  <c r="G875" i="17" s="1"/>
  <c r="F867" i="17"/>
  <c r="G867" i="17" s="1"/>
  <c r="F859" i="17"/>
  <c r="G859" i="17" s="1"/>
  <c r="F851" i="17"/>
  <c r="G851" i="17" s="1"/>
  <c r="F843" i="17"/>
  <c r="G843" i="17" s="1"/>
  <c r="F835" i="17"/>
  <c r="G835" i="17" s="1"/>
  <c r="F827" i="17"/>
  <c r="G827" i="17" s="1"/>
  <c r="F819" i="17"/>
  <c r="G819" i="17" s="1"/>
  <c r="F811" i="17"/>
  <c r="G811" i="17" s="1"/>
  <c r="F803" i="17"/>
  <c r="G803" i="17" s="1"/>
  <c r="F795" i="17"/>
  <c r="G795" i="17" s="1"/>
  <c r="F787" i="17"/>
  <c r="G787" i="17" s="1"/>
  <c r="F779" i="17"/>
  <c r="G779" i="17" s="1"/>
  <c r="F771" i="17"/>
  <c r="G771" i="17" s="1"/>
  <c r="F763" i="17"/>
  <c r="G763" i="17" s="1"/>
  <c r="F755" i="17"/>
  <c r="G755" i="17" s="1"/>
  <c r="F747" i="17"/>
  <c r="G747" i="17" s="1"/>
  <c r="F739" i="17"/>
  <c r="G739" i="17" s="1"/>
  <c r="F731" i="17"/>
  <c r="G731" i="17" s="1"/>
  <c r="F723" i="17"/>
  <c r="G723" i="17" s="1"/>
  <c r="F715" i="17"/>
  <c r="G715" i="17" s="1"/>
  <c r="F707" i="17"/>
  <c r="G707" i="17" s="1"/>
  <c r="F699" i="17"/>
  <c r="G699" i="17" s="1"/>
  <c r="F874" i="17"/>
  <c r="G874" i="17" s="1"/>
  <c r="F866" i="17"/>
  <c r="G866" i="17" s="1"/>
  <c r="F858" i="17"/>
  <c r="G858" i="17" s="1"/>
  <c r="F850" i="17"/>
  <c r="G850" i="17" s="1"/>
  <c r="F842" i="17"/>
  <c r="G842" i="17" s="1"/>
  <c r="F834" i="17"/>
  <c r="G834" i="17" s="1"/>
  <c r="F826" i="17"/>
  <c r="G826" i="17" s="1"/>
  <c r="F818" i="17"/>
  <c r="G818" i="17" s="1"/>
  <c r="F810" i="17"/>
  <c r="G810" i="17" s="1"/>
  <c r="F802" i="17"/>
  <c r="G802" i="17" s="1"/>
  <c r="F794" i="17"/>
  <c r="G794" i="17" s="1"/>
  <c r="F786" i="17"/>
  <c r="G786" i="17" s="1"/>
  <c r="F778" i="17"/>
  <c r="G778" i="17" s="1"/>
  <c r="F770" i="17"/>
  <c r="G770" i="17" s="1"/>
  <c r="F762" i="17"/>
  <c r="G762" i="17" s="1"/>
  <c r="F754" i="17"/>
  <c r="G754" i="17" s="1"/>
  <c r="F746" i="17"/>
  <c r="G746" i="17" s="1"/>
  <c r="F738" i="17"/>
  <c r="G738" i="17" s="1"/>
  <c r="F871" i="17"/>
  <c r="G871" i="17" s="1"/>
  <c r="F863" i="17"/>
  <c r="G863" i="17" s="1"/>
  <c r="F855" i="17"/>
  <c r="G855" i="17" s="1"/>
  <c r="F847" i="17"/>
  <c r="G847" i="17" s="1"/>
  <c r="F839" i="17"/>
  <c r="G839" i="17" s="1"/>
  <c r="F831" i="17"/>
  <c r="G831" i="17" s="1"/>
  <c r="F823" i="17"/>
  <c r="G823" i="17" s="1"/>
  <c r="F807" i="17"/>
  <c r="G807" i="17" s="1"/>
  <c r="F799" i="17"/>
  <c r="G799" i="17" s="1"/>
  <c r="F791" i="17"/>
  <c r="G791" i="17" s="1"/>
  <c r="F783" i="17"/>
  <c r="G783" i="17" s="1"/>
  <c r="F775" i="17"/>
  <c r="G775" i="17" s="1"/>
  <c r="F767" i="17"/>
  <c r="G767" i="17" s="1"/>
  <c r="F759" i="17"/>
  <c r="G759" i="17" s="1"/>
  <c r="F743" i="17"/>
  <c r="G743" i="17" s="1"/>
  <c r="F735" i="17"/>
  <c r="G735" i="17" s="1"/>
  <c r="F727" i="17"/>
  <c r="G727" i="17" s="1"/>
  <c r="F719" i="17"/>
  <c r="G719" i="17" s="1"/>
  <c r="F711" i="17"/>
  <c r="G711" i="17" s="1"/>
  <c r="F703" i="17"/>
  <c r="G703" i="17" s="1"/>
  <c r="F695" i="17"/>
  <c r="G695" i="17" s="1"/>
  <c r="F679" i="17"/>
  <c r="G679" i="17" s="1"/>
  <c r="F671" i="17"/>
  <c r="G671" i="17" s="1"/>
  <c r="F663" i="17"/>
  <c r="G663" i="17" s="1"/>
  <c r="F655" i="17"/>
  <c r="G655" i="17" s="1"/>
  <c r="F647" i="17"/>
  <c r="G647" i="17" s="1"/>
  <c r="F639" i="17"/>
  <c r="G639" i="17" s="1"/>
  <c r="F631" i="17"/>
  <c r="G631" i="17" s="1"/>
  <c r="F615" i="17"/>
  <c r="G615" i="17" s="1"/>
  <c r="F607" i="17"/>
  <c r="G607" i="17" s="1"/>
  <c r="F599" i="17"/>
  <c r="G599" i="17" s="1"/>
  <c r="F591" i="17"/>
  <c r="G591" i="17" s="1"/>
  <c r="F583" i="17"/>
  <c r="G583" i="17" s="1"/>
  <c r="F575" i="17"/>
  <c r="G575" i="17" s="1"/>
  <c r="F567" i="17"/>
  <c r="G567" i="17" s="1"/>
  <c r="F551" i="17"/>
  <c r="G551" i="17" s="1"/>
  <c r="F543" i="17"/>
  <c r="G543" i="17" s="1"/>
  <c r="F535" i="17"/>
  <c r="G535" i="17" s="1"/>
  <c r="F527" i="17"/>
  <c r="G527" i="17" s="1"/>
  <c r="F519" i="17"/>
  <c r="G519" i="17" s="1"/>
  <c r="F691" i="17"/>
  <c r="G691" i="17" s="1"/>
  <c r="F683" i="17"/>
  <c r="G683" i="17" s="1"/>
  <c r="F675" i="17"/>
  <c r="G675" i="17" s="1"/>
  <c r="F667" i="17"/>
  <c r="G667" i="17" s="1"/>
  <c r="F659" i="17"/>
  <c r="G659" i="17" s="1"/>
  <c r="F651" i="17"/>
  <c r="G651" i="17" s="1"/>
  <c r="F643" i="17"/>
  <c r="G643" i="17" s="1"/>
  <c r="F635" i="17"/>
  <c r="G635" i="17" s="1"/>
  <c r="F627" i="17"/>
  <c r="G627" i="17" s="1"/>
  <c r="F619" i="17"/>
  <c r="G619" i="17" s="1"/>
  <c r="F611" i="17"/>
  <c r="G611" i="17" s="1"/>
  <c r="F603" i="17"/>
  <c r="G603" i="17" s="1"/>
  <c r="F595" i="17"/>
  <c r="G595" i="17" s="1"/>
  <c r="F587" i="17"/>
  <c r="G587" i="17" s="1"/>
  <c r="F579" i="17"/>
  <c r="G579" i="17" s="1"/>
  <c r="F571" i="17"/>
  <c r="G571" i="17" s="1"/>
  <c r="F563" i="17"/>
  <c r="G563" i="17" s="1"/>
  <c r="F555" i="17"/>
  <c r="G555" i="17" s="1"/>
  <c r="F547" i="17"/>
  <c r="G547" i="17" s="1"/>
  <c r="F539" i="17"/>
  <c r="G539" i="17" s="1"/>
  <c r="F531" i="17"/>
  <c r="G531" i="17" s="1"/>
  <c r="F523" i="17"/>
  <c r="G523" i="17" s="1"/>
  <c r="F515" i="17"/>
  <c r="G515" i="17" s="1"/>
  <c r="F507" i="17"/>
  <c r="G507" i="17" s="1"/>
  <c r="F499" i="17"/>
  <c r="G499" i="17" s="1"/>
  <c r="F491" i="17"/>
  <c r="G491" i="17" s="1"/>
  <c r="F483" i="17"/>
  <c r="G483" i="17" s="1"/>
  <c r="F475" i="17"/>
  <c r="G475" i="17" s="1"/>
  <c r="F467" i="17"/>
  <c r="G467" i="17" s="1"/>
  <c r="F459" i="17"/>
  <c r="G459" i="17" s="1"/>
  <c r="F451" i="17"/>
  <c r="G451" i="17" s="1"/>
  <c r="F443" i="17"/>
  <c r="G443" i="17" s="1"/>
  <c r="F435" i="17"/>
  <c r="G435" i="17" s="1"/>
  <c r="F427" i="17"/>
  <c r="G427" i="17" s="1"/>
  <c r="F419" i="17"/>
  <c r="G419" i="17" s="1"/>
  <c r="F411" i="17"/>
  <c r="G411" i="17" s="1"/>
  <c r="F403" i="17"/>
  <c r="G403" i="17" s="1"/>
  <c r="F395" i="17"/>
  <c r="G395" i="17" s="1"/>
  <c r="F387" i="17"/>
  <c r="G387" i="17" s="1"/>
  <c r="F379" i="17"/>
  <c r="G379" i="17" s="1"/>
  <c r="F371" i="17"/>
  <c r="G371" i="17" s="1"/>
  <c r="F363" i="17"/>
  <c r="G363" i="17" s="1"/>
  <c r="F355" i="17"/>
  <c r="G355" i="17" s="1"/>
  <c r="F347" i="17"/>
  <c r="G347" i="17" s="1"/>
  <c r="F339" i="17"/>
  <c r="G339" i="17" s="1"/>
  <c r="F331" i="17"/>
  <c r="G331" i="17" s="1"/>
  <c r="F323" i="17"/>
  <c r="G323" i="17" s="1"/>
  <c r="F315" i="17"/>
  <c r="G315" i="17" s="1"/>
  <c r="F307" i="17"/>
  <c r="G307" i="17" s="1"/>
  <c r="F299" i="17"/>
  <c r="G299" i="17" s="1"/>
  <c r="F291" i="17"/>
  <c r="G291" i="17" s="1"/>
  <c r="F283" i="17"/>
  <c r="G283" i="17" s="1"/>
  <c r="F275" i="17"/>
  <c r="G275" i="17" s="1"/>
  <c r="F267" i="17"/>
  <c r="G267" i="17" s="1"/>
  <c r="F259" i="17"/>
  <c r="G259" i="17" s="1"/>
  <c r="F251" i="17"/>
  <c r="G251" i="17" s="1"/>
  <c r="F243" i="17"/>
  <c r="G243" i="17" s="1"/>
  <c r="F235" i="17"/>
  <c r="G235" i="17" s="1"/>
  <c r="F227" i="17"/>
  <c r="G227" i="17" s="1"/>
  <c r="F219" i="17"/>
  <c r="G219" i="17" s="1"/>
  <c r="F211" i="17"/>
  <c r="G211" i="17" s="1"/>
  <c r="F203" i="17"/>
  <c r="G203" i="17" s="1"/>
  <c r="F195" i="17"/>
  <c r="G195" i="17" s="1"/>
  <c r="F187" i="17"/>
  <c r="G187" i="17" s="1"/>
  <c r="F179" i="17"/>
  <c r="G179" i="17" s="1"/>
  <c r="F171" i="17"/>
  <c r="G171" i="17" s="1"/>
  <c r="F163" i="17"/>
  <c r="G163" i="17" s="1"/>
  <c r="F155" i="17"/>
  <c r="G155" i="17" s="1"/>
  <c r="F147" i="17"/>
  <c r="G147" i="17" s="1"/>
  <c r="F139" i="17"/>
  <c r="G139" i="17" s="1"/>
  <c r="F131" i="17"/>
  <c r="G131" i="17" s="1"/>
  <c r="F123" i="17"/>
  <c r="G123" i="17" s="1"/>
  <c r="F115" i="17"/>
  <c r="G115" i="17" s="1"/>
  <c r="F107" i="17"/>
  <c r="G107" i="17" s="1"/>
  <c r="F99" i="17"/>
  <c r="G99" i="17" s="1"/>
  <c r="F91" i="17"/>
  <c r="G91" i="17" s="1"/>
  <c r="F83" i="17"/>
  <c r="G83" i="17" s="1"/>
  <c r="F75" i="17"/>
  <c r="G75" i="17" s="1"/>
  <c r="F67" i="17"/>
  <c r="G67" i="17" s="1"/>
  <c r="F730" i="17"/>
  <c r="G730" i="17" s="1"/>
  <c r="F722" i="17"/>
  <c r="G722" i="17" s="1"/>
  <c r="F714" i="17"/>
  <c r="G714" i="17" s="1"/>
  <c r="F706" i="17"/>
  <c r="G706" i="17" s="1"/>
  <c r="F698" i="17"/>
  <c r="G698" i="17" s="1"/>
  <c r="F690" i="17"/>
  <c r="G690" i="17" s="1"/>
  <c r="F682" i="17"/>
  <c r="G682" i="17" s="1"/>
  <c r="F674" i="17"/>
  <c r="G674" i="17" s="1"/>
  <c r="F666" i="17"/>
  <c r="G666" i="17" s="1"/>
  <c r="F658" i="17"/>
  <c r="G658" i="17" s="1"/>
  <c r="F650" i="17"/>
  <c r="G650" i="17" s="1"/>
  <c r="F642" i="17"/>
  <c r="G642" i="17" s="1"/>
  <c r="F634" i="17"/>
  <c r="G634" i="17" s="1"/>
  <c r="F626" i="17"/>
  <c r="G626" i="17" s="1"/>
  <c r="F618" i="17"/>
  <c r="G618" i="17" s="1"/>
  <c r="F610" i="17"/>
  <c r="G610" i="17" s="1"/>
  <c r="F602" i="17"/>
  <c r="G602" i="17" s="1"/>
  <c r="F594" i="17"/>
  <c r="G594" i="17" s="1"/>
  <c r="F586" i="17"/>
  <c r="G586" i="17" s="1"/>
  <c r="F578" i="17"/>
  <c r="G578" i="17" s="1"/>
  <c r="F570" i="17"/>
  <c r="G570" i="17" s="1"/>
  <c r="F562" i="17"/>
  <c r="G562" i="17" s="1"/>
  <c r="F554" i="17"/>
  <c r="G554" i="17" s="1"/>
  <c r="F546" i="17"/>
  <c r="G546" i="17" s="1"/>
  <c r="F538" i="17"/>
  <c r="G538" i="17" s="1"/>
  <c r="F530" i="17"/>
  <c r="G530" i="17" s="1"/>
  <c r="F522" i="17"/>
  <c r="G522" i="17" s="1"/>
  <c r="F514" i="17"/>
  <c r="G514" i="17" s="1"/>
  <c r="F506" i="17"/>
  <c r="G506" i="17" s="1"/>
  <c r="F498" i="17"/>
  <c r="G498" i="17" s="1"/>
  <c r="F490" i="17"/>
  <c r="G490" i="17" s="1"/>
  <c r="F482" i="17"/>
  <c r="G482" i="17" s="1"/>
  <c r="F474" i="17"/>
  <c r="G474" i="17" s="1"/>
  <c r="F466" i="17"/>
  <c r="G466" i="17" s="1"/>
  <c r="F458" i="17"/>
  <c r="G458" i="17" s="1"/>
  <c r="F450" i="17"/>
  <c r="G450" i="17" s="1"/>
  <c r="F442" i="17"/>
  <c r="G442" i="17" s="1"/>
  <c r="F434" i="17"/>
  <c r="G434" i="17" s="1"/>
  <c r="F426" i="17"/>
  <c r="G426" i="17" s="1"/>
  <c r="F418" i="17"/>
  <c r="G418" i="17" s="1"/>
  <c r="F410" i="17"/>
  <c r="G410" i="17" s="1"/>
  <c r="F402" i="17"/>
  <c r="G402" i="17" s="1"/>
  <c r="F394" i="17"/>
  <c r="G394" i="17" s="1"/>
  <c r="F386" i="17"/>
  <c r="G386" i="17" s="1"/>
  <c r="F378" i="17"/>
  <c r="G378" i="17" s="1"/>
  <c r="F370" i="17"/>
  <c r="G370" i="17" s="1"/>
  <c r="F362" i="17"/>
  <c r="G362" i="17" s="1"/>
  <c r="F354" i="17"/>
  <c r="G354" i="17" s="1"/>
  <c r="F346" i="17"/>
  <c r="G346" i="17" s="1"/>
  <c r="F338" i="17"/>
  <c r="G338" i="17" s="1"/>
  <c r="F330" i="17"/>
  <c r="G330" i="17" s="1"/>
  <c r="F322" i="17"/>
  <c r="G322" i="17" s="1"/>
  <c r="F314" i="17"/>
  <c r="G314" i="17" s="1"/>
  <c r="F306" i="17"/>
  <c r="G306" i="17" s="1"/>
  <c r="F298" i="17"/>
  <c r="G298" i="17" s="1"/>
  <c r="F290" i="17"/>
  <c r="G290" i="17" s="1"/>
  <c r="F282" i="17"/>
  <c r="G282" i="17" s="1"/>
  <c r="F274" i="17"/>
  <c r="G274" i="17" s="1"/>
  <c r="F258" i="17"/>
  <c r="G258" i="17" s="1"/>
  <c r="F250" i="17"/>
  <c r="G250" i="17" s="1"/>
  <c r="F242" i="17"/>
  <c r="G242" i="17" s="1"/>
  <c r="F234" i="17"/>
  <c r="G234" i="17" s="1"/>
  <c r="F122" i="17"/>
  <c r="G122" i="17" s="1"/>
  <c r="F873" i="17"/>
  <c r="G873" i="17" s="1"/>
  <c r="F865" i="17"/>
  <c r="G865" i="17" s="1"/>
  <c r="F857" i="17"/>
  <c r="G857" i="17" s="1"/>
  <c r="F849" i="17"/>
  <c r="G849" i="17" s="1"/>
  <c r="F841" i="17"/>
  <c r="G841" i="17" s="1"/>
  <c r="F833" i="17"/>
  <c r="G833" i="17" s="1"/>
  <c r="F825" i="17"/>
  <c r="G825" i="17" s="1"/>
  <c r="F817" i="17"/>
  <c r="G817" i="17" s="1"/>
  <c r="F809" i="17"/>
  <c r="G809" i="17" s="1"/>
  <c r="F801" i="17"/>
  <c r="G801" i="17" s="1"/>
  <c r="F793" i="17"/>
  <c r="G793" i="17" s="1"/>
  <c r="F785" i="17"/>
  <c r="G785" i="17" s="1"/>
  <c r="F777" i="17"/>
  <c r="G777" i="17" s="1"/>
  <c r="F769" i="17"/>
  <c r="G769" i="17" s="1"/>
  <c r="F761" i="17"/>
  <c r="G761" i="17" s="1"/>
  <c r="F753" i="17"/>
  <c r="G753" i="17" s="1"/>
  <c r="F745" i="17"/>
  <c r="G745" i="17" s="1"/>
  <c r="F737" i="17"/>
  <c r="G737" i="17" s="1"/>
  <c r="F729" i="17"/>
  <c r="G729" i="17" s="1"/>
  <c r="F721" i="17"/>
  <c r="G721" i="17" s="1"/>
  <c r="F713" i="17"/>
  <c r="G713" i="17" s="1"/>
  <c r="F705" i="17"/>
  <c r="G705" i="17" s="1"/>
  <c r="F697" i="17"/>
  <c r="G697" i="17" s="1"/>
  <c r="F689" i="17"/>
  <c r="G689" i="17" s="1"/>
  <c r="F681" i="17"/>
  <c r="G681" i="17" s="1"/>
  <c r="F673" i="17"/>
  <c r="G673" i="17" s="1"/>
  <c r="F665" i="17"/>
  <c r="G665" i="17" s="1"/>
  <c r="F657" i="17"/>
  <c r="G657" i="17" s="1"/>
  <c r="F649" i="17"/>
  <c r="G649" i="17" s="1"/>
  <c r="F641" i="17"/>
  <c r="G641" i="17" s="1"/>
  <c r="F633" i="17"/>
  <c r="G633" i="17" s="1"/>
  <c r="F625" i="17"/>
  <c r="G625" i="17" s="1"/>
  <c r="F617" i="17"/>
  <c r="G617" i="17" s="1"/>
  <c r="F609" i="17"/>
  <c r="G609" i="17" s="1"/>
  <c r="F601" i="17"/>
  <c r="G601" i="17" s="1"/>
  <c r="F593" i="17"/>
  <c r="G593" i="17" s="1"/>
  <c r="F585" i="17"/>
  <c r="G585" i="17" s="1"/>
  <c r="F577" i="17"/>
  <c r="G577" i="17" s="1"/>
  <c r="F569" i="17"/>
  <c r="G569" i="17" s="1"/>
  <c r="F561" i="17"/>
  <c r="G561" i="17" s="1"/>
  <c r="F553" i="17"/>
  <c r="G553" i="17" s="1"/>
  <c r="F545" i="17"/>
  <c r="G545" i="17" s="1"/>
  <c r="F537" i="17"/>
  <c r="G537" i="17" s="1"/>
  <c r="F529" i="17"/>
  <c r="G529" i="17" s="1"/>
  <c r="F521" i="17"/>
  <c r="G521" i="17" s="1"/>
  <c r="F513" i="17"/>
  <c r="G513" i="17" s="1"/>
  <c r="F505" i="17"/>
  <c r="G505" i="17" s="1"/>
  <c r="F497" i="17"/>
  <c r="G497" i="17" s="1"/>
  <c r="F489" i="17"/>
  <c r="G489" i="17" s="1"/>
  <c r="F481" i="17"/>
  <c r="G481" i="17" s="1"/>
  <c r="F473" i="17"/>
  <c r="G473" i="17" s="1"/>
  <c r="F465" i="17"/>
  <c r="G465" i="17" s="1"/>
  <c r="F457" i="17"/>
  <c r="G457" i="17" s="1"/>
  <c r="F449" i="17"/>
  <c r="G449" i="17" s="1"/>
  <c r="F441" i="17"/>
  <c r="G441" i="17" s="1"/>
  <c r="F433" i="17"/>
  <c r="G433" i="17" s="1"/>
  <c r="F425" i="17"/>
  <c r="G425" i="17" s="1"/>
  <c r="F417" i="17"/>
  <c r="G417" i="17" s="1"/>
  <c r="F409" i="17"/>
  <c r="G409" i="17" s="1"/>
  <c r="F401" i="17"/>
  <c r="G401" i="17" s="1"/>
  <c r="F393" i="17"/>
  <c r="G393" i="17" s="1"/>
  <c r="F385" i="17"/>
  <c r="G385" i="17" s="1"/>
  <c r="F377" i="17"/>
  <c r="G377" i="17" s="1"/>
  <c r="F369" i="17"/>
  <c r="G369" i="17" s="1"/>
  <c r="F361" i="17"/>
  <c r="G361" i="17" s="1"/>
  <c r="F353" i="17"/>
  <c r="G353" i="17" s="1"/>
  <c r="F345" i="17"/>
  <c r="G345" i="17" s="1"/>
  <c r="F337" i="17"/>
  <c r="G337" i="17" s="1"/>
  <c r="F329" i="17"/>
  <c r="G329" i="17" s="1"/>
  <c r="F321" i="17"/>
  <c r="G321" i="17" s="1"/>
  <c r="F313" i="17"/>
  <c r="G313" i="17" s="1"/>
  <c r="F305" i="17"/>
  <c r="G305" i="17" s="1"/>
  <c r="F297" i="17"/>
  <c r="G297" i="17" s="1"/>
  <c r="F289" i="17"/>
  <c r="G289" i="17" s="1"/>
  <c r="F281" i="17"/>
  <c r="G281" i="17" s="1"/>
  <c r="F273" i="17"/>
  <c r="G273" i="17" s="1"/>
  <c r="F265" i="17"/>
  <c r="G265" i="17" s="1"/>
  <c r="F257" i="17"/>
  <c r="G257" i="17" s="1"/>
  <c r="F249" i="17"/>
  <c r="G249" i="17" s="1"/>
  <c r="F241" i="17"/>
  <c r="G241" i="17" s="1"/>
  <c r="F233" i="17"/>
  <c r="G233" i="17" s="1"/>
  <c r="F225" i="17"/>
  <c r="G225" i="17" s="1"/>
  <c r="F217" i="17"/>
  <c r="G217" i="17" s="1"/>
  <c r="F209" i="17"/>
  <c r="G209" i="17" s="1"/>
  <c r="F201" i="17"/>
  <c r="G201" i="17" s="1"/>
  <c r="F193" i="17"/>
  <c r="G193" i="17" s="1"/>
  <c r="F185" i="17"/>
  <c r="G185" i="17" s="1"/>
  <c r="F177" i="17"/>
  <c r="G177" i="17" s="1"/>
  <c r="F169" i="17"/>
  <c r="G169" i="17" s="1"/>
  <c r="F161" i="17"/>
  <c r="G161" i="17" s="1"/>
  <c r="F153" i="17"/>
  <c r="G153" i="17" s="1"/>
  <c r="F145" i="17"/>
  <c r="G145" i="17" s="1"/>
  <c r="F137" i="17"/>
  <c r="G137" i="17" s="1"/>
  <c r="F129" i="17"/>
  <c r="G129" i="17" s="1"/>
  <c r="F121" i="17"/>
  <c r="G121" i="17" s="1"/>
  <c r="F872" i="17"/>
  <c r="G872" i="17" s="1"/>
  <c r="F864" i="17"/>
  <c r="G864" i="17" s="1"/>
  <c r="F856" i="17"/>
  <c r="G856" i="17" s="1"/>
  <c r="F848" i="17"/>
  <c r="G848" i="17" s="1"/>
  <c r="F840" i="17"/>
  <c r="G840" i="17" s="1"/>
  <c r="F832" i="17"/>
  <c r="G832" i="17" s="1"/>
  <c r="F824" i="17"/>
  <c r="G824" i="17" s="1"/>
  <c r="F816" i="17"/>
  <c r="G816" i="17" s="1"/>
  <c r="F808" i="17"/>
  <c r="G808" i="17" s="1"/>
  <c r="F800" i="17"/>
  <c r="G800" i="17" s="1"/>
  <c r="F792" i="17"/>
  <c r="G792" i="17" s="1"/>
  <c r="F784" i="17"/>
  <c r="G784" i="17" s="1"/>
  <c r="F776" i="17"/>
  <c r="G776" i="17" s="1"/>
  <c r="F768" i="17"/>
  <c r="G768" i="17" s="1"/>
  <c r="F760" i="17"/>
  <c r="G760" i="17" s="1"/>
  <c r="F752" i="17"/>
  <c r="G752" i="17" s="1"/>
  <c r="F744" i="17"/>
  <c r="G744" i="17" s="1"/>
  <c r="F736" i="17"/>
  <c r="G736" i="17" s="1"/>
  <c r="F728" i="17"/>
  <c r="G728" i="17" s="1"/>
  <c r="F720" i="17"/>
  <c r="G720" i="17" s="1"/>
  <c r="F712" i="17"/>
  <c r="G712" i="17" s="1"/>
  <c r="F704" i="17"/>
  <c r="G704" i="17" s="1"/>
  <c r="F696" i="17"/>
  <c r="G696" i="17" s="1"/>
  <c r="F688" i="17"/>
  <c r="G688" i="17" s="1"/>
  <c r="F680" i="17"/>
  <c r="G680" i="17" s="1"/>
  <c r="F672" i="17"/>
  <c r="G672" i="17" s="1"/>
  <c r="F664" i="17"/>
  <c r="G664" i="17" s="1"/>
  <c r="F656" i="17"/>
  <c r="G656" i="17" s="1"/>
  <c r="F648" i="17"/>
  <c r="G648" i="17" s="1"/>
  <c r="F640" i="17"/>
  <c r="G640" i="17" s="1"/>
  <c r="F632" i="17"/>
  <c r="G632" i="17" s="1"/>
  <c r="F624" i="17"/>
  <c r="G624" i="17" s="1"/>
  <c r="F616" i="17"/>
  <c r="G616" i="17" s="1"/>
  <c r="F608" i="17"/>
  <c r="G608" i="17" s="1"/>
  <c r="F600" i="17"/>
  <c r="G600" i="17" s="1"/>
  <c r="F592" i="17"/>
  <c r="G592" i="17" s="1"/>
  <c r="F584" i="17"/>
  <c r="G584" i="17" s="1"/>
  <c r="F576" i="17"/>
  <c r="G576" i="17" s="1"/>
  <c r="F568" i="17"/>
  <c r="G568" i="17" s="1"/>
  <c r="F560" i="17"/>
  <c r="G560" i="17" s="1"/>
  <c r="F552" i="17"/>
  <c r="G552" i="17" s="1"/>
  <c r="F544" i="17"/>
  <c r="G544" i="17" s="1"/>
  <c r="F536" i="17"/>
  <c r="G536" i="17" s="1"/>
  <c r="F528" i="17"/>
  <c r="G528" i="17" s="1"/>
  <c r="F520" i="17"/>
  <c r="G520" i="17" s="1"/>
  <c r="F512" i="17"/>
  <c r="G512" i="17" s="1"/>
  <c r="F504" i="17"/>
  <c r="G504" i="17" s="1"/>
  <c r="F496" i="17"/>
  <c r="G496" i="17" s="1"/>
  <c r="F488" i="17"/>
  <c r="G488" i="17" s="1"/>
  <c r="F480" i="17"/>
  <c r="G480" i="17" s="1"/>
  <c r="F472" i="17"/>
  <c r="G472" i="17" s="1"/>
  <c r="F464" i="17"/>
  <c r="G464" i="17" s="1"/>
  <c r="F456" i="17"/>
  <c r="G456" i="17" s="1"/>
  <c r="F448" i="17"/>
  <c r="G448" i="17" s="1"/>
  <c r="F440" i="17"/>
  <c r="G440" i="17" s="1"/>
  <c r="F432" i="17"/>
  <c r="G432" i="17" s="1"/>
  <c r="F424" i="17"/>
  <c r="G424" i="17" s="1"/>
  <c r="F416" i="17"/>
  <c r="G416" i="17" s="1"/>
  <c r="F408" i="17"/>
  <c r="G408" i="17" s="1"/>
  <c r="F400" i="17"/>
  <c r="G400" i="17" s="1"/>
  <c r="F392" i="17"/>
  <c r="G392" i="17" s="1"/>
  <c r="F384" i="17"/>
  <c r="G384" i="17" s="1"/>
  <c r="F376" i="17"/>
  <c r="G376" i="17" s="1"/>
  <c r="F368" i="17"/>
  <c r="G368" i="17" s="1"/>
  <c r="F360" i="17"/>
  <c r="G360" i="17" s="1"/>
  <c r="F352" i="17"/>
  <c r="G352" i="17" s="1"/>
  <c r="F344" i="17"/>
  <c r="G344" i="17" s="1"/>
  <c r="F336" i="17"/>
  <c r="G336" i="17" s="1"/>
  <c r="F328" i="17"/>
  <c r="G328" i="17" s="1"/>
  <c r="F320" i="17"/>
  <c r="G320" i="17" s="1"/>
  <c r="F312" i="17"/>
  <c r="G312" i="17" s="1"/>
  <c r="F304" i="17"/>
  <c r="G304" i="17" s="1"/>
  <c r="F296" i="17"/>
  <c r="G296" i="17" s="1"/>
  <c r="F288" i="17"/>
  <c r="G288" i="17" s="1"/>
  <c r="F280" i="17"/>
  <c r="G280" i="17" s="1"/>
  <c r="F272" i="17"/>
  <c r="G272" i="17" s="1"/>
  <c r="F264" i="17"/>
  <c r="G264" i="17" s="1"/>
  <c r="F256" i="17"/>
  <c r="G256" i="17" s="1"/>
  <c r="F248" i="17"/>
  <c r="G248" i="17" s="1"/>
  <c r="F240" i="17"/>
  <c r="G240" i="17" s="1"/>
  <c r="F232" i="17"/>
  <c r="G232" i="17" s="1"/>
  <c r="F224" i="17"/>
  <c r="G224" i="17" s="1"/>
  <c r="F216" i="17"/>
  <c r="G216" i="17" s="1"/>
  <c r="F208" i="17"/>
  <c r="G208" i="17" s="1"/>
  <c r="F200" i="17"/>
  <c r="G200" i="17" s="1"/>
  <c r="F192" i="17"/>
  <c r="G192" i="17" s="1"/>
  <c r="F184" i="17"/>
  <c r="G184" i="17" s="1"/>
  <c r="F176" i="17"/>
  <c r="G176" i="17" s="1"/>
  <c r="F168" i="17"/>
  <c r="G168" i="17" s="1"/>
  <c r="F160" i="17"/>
  <c r="G160" i="17" s="1"/>
  <c r="F152" i="17"/>
  <c r="G152" i="17" s="1"/>
  <c r="F144" i="17"/>
  <c r="G144" i="17" s="1"/>
  <c r="F136" i="17"/>
  <c r="G136" i="17" s="1"/>
  <c r="F128" i="17"/>
  <c r="G128" i="17" s="1"/>
  <c r="F511" i="17"/>
  <c r="G511" i="17" s="1"/>
  <c r="F503" i="17"/>
  <c r="G503" i="17" s="1"/>
  <c r="F495" i="17"/>
  <c r="G495" i="17" s="1"/>
  <c r="F487" i="17"/>
  <c r="G487" i="17" s="1"/>
  <c r="F479" i="17"/>
  <c r="G479" i="17" s="1"/>
  <c r="F471" i="17"/>
  <c r="G471" i="17" s="1"/>
  <c r="F463" i="17"/>
  <c r="G463" i="17" s="1"/>
  <c r="F455" i="17"/>
  <c r="G455" i="17" s="1"/>
  <c r="F447" i="17"/>
  <c r="G447" i="17" s="1"/>
  <c r="F439" i="17"/>
  <c r="G439" i="17" s="1"/>
  <c r="F431" i="17"/>
  <c r="G431" i="17" s="1"/>
  <c r="F423" i="17"/>
  <c r="G423" i="17" s="1"/>
  <c r="F415" i="17"/>
  <c r="G415" i="17" s="1"/>
  <c r="F407" i="17"/>
  <c r="G407" i="17" s="1"/>
  <c r="F399" i="17"/>
  <c r="G399" i="17" s="1"/>
  <c r="F391" i="17"/>
  <c r="G391" i="17" s="1"/>
  <c r="F383" i="17"/>
  <c r="G383" i="17" s="1"/>
  <c r="F375" i="17"/>
  <c r="G375" i="17" s="1"/>
  <c r="F367" i="17"/>
  <c r="G367" i="17" s="1"/>
  <c r="F359" i="17"/>
  <c r="G359" i="17" s="1"/>
  <c r="F351" i="17"/>
  <c r="G351" i="17" s="1"/>
  <c r="F343" i="17"/>
  <c r="G343" i="17" s="1"/>
  <c r="F335" i="17"/>
  <c r="G335" i="17" s="1"/>
  <c r="F327" i="17"/>
  <c r="G327" i="17" s="1"/>
  <c r="F319" i="17"/>
  <c r="G319" i="17" s="1"/>
  <c r="F311" i="17"/>
  <c r="G311" i="17" s="1"/>
  <c r="F303" i="17"/>
  <c r="G303" i="17" s="1"/>
  <c r="F295" i="17"/>
  <c r="G295" i="17" s="1"/>
  <c r="F287" i="17"/>
  <c r="G287" i="17" s="1"/>
  <c r="F279" i="17"/>
  <c r="G279" i="17" s="1"/>
  <c r="F271" i="17"/>
  <c r="G271" i="17" s="1"/>
  <c r="F263" i="17"/>
  <c r="G263" i="17" s="1"/>
  <c r="F255" i="17"/>
  <c r="G255" i="17" s="1"/>
  <c r="F247" i="17"/>
  <c r="G247" i="17" s="1"/>
  <c r="F239" i="17"/>
  <c r="G239" i="17" s="1"/>
  <c r="F231" i="17"/>
  <c r="G231" i="17" s="1"/>
  <c r="F223" i="17"/>
  <c r="G223" i="17" s="1"/>
  <c r="F215" i="17"/>
  <c r="G215" i="17" s="1"/>
  <c r="F207" i="17"/>
  <c r="G207" i="17" s="1"/>
  <c r="F199" i="17"/>
  <c r="G199" i="17" s="1"/>
  <c r="F191" i="17"/>
  <c r="G191" i="17" s="1"/>
  <c r="F183" i="17"/>
  <c r="G183" i="17" s="1"/>
  <c r="F175" i="17"/>
  <c r="G175" i="17" s="1"/>
  <c r="F167" i="17"/>
  <c r="G167" i="17" s="1"/>
  <c r="F159" i="17"/>
  <c r="G159" i="17" s="1"/>
  <c r="F151" i="17"/>
  <c r="G151" i="17" s="1"/>
  <c r="F143" i="17"/>
  <c r="G143" i="17" s="1"/>
  <c r="F135" i="17"/>
  <c r="G135" i="17" s="1"/>
  <c r="F127" i="17"/>
  <c r="G127" i="17" s="1"/>
  <c r="F3" i="17"/>
  <c r="G3" i="17" s="1"/>
  <c r="F870" i="17"/>
  <c r="G870" i="17" s="1"/>
  <c r="F862" i="17"/>
  <c r="G862" i="17" s="1"/>
  <c r="F854" i="17"/>
  <c r="G854" i="17" s="1"/>
  <c r="F846" i="17"/>
  <c r="G846" i="17" s="1"/>
  <c r="F838" i="17"/>
  <c r="G838" i="17" s="1"/>
  <c r="F830" i="17"/>
  <c r="G830" i="17" s="1"/>
  <c r="F822" i="17"/>
  <c r="G822" i="17" s="1"/>
  <c r="F814" i="17"/>
  <c r="G814" i="17" s="1"/>
  <c r="F806" i="17"/>
  <c r="G806" i="17" s="1"/>
  <c r="F798" i="17"/>
  <c r="G798" i="17" s="1"/>
  <c r="F790" i="17"/>
  <c r="G790" i="17" s="1"/>
  <c r="F782" i="17"/>
  <c r="G782" i="17" s="1"/>
  <c r="F774" i="17"/>
  <c r="G774" i="17" s="1"/>
  <c r="F766" i="17"/>
  <c r="G766" i="17" s="1"/>
  <c r="F758" i="17"/>
  <c r="G758" i="17" s="1"/>
  <c r="F750" i="17"/>
  <c r="G750" i="17" s="1"/>
  <c r="F742" i="17"/>
  <c r="G742" i="17" s="1"/>
  <c r="F734" i="17"/>
  <c r="G734" i="17" s="1"/>
  <c r="F726" i="17"/>
  <c r="G726" i="17" s="1"/>
  <c r="F718" i="17"/>
  <c r="G718" i="17" s="1"/>
  <c r="F710" i="17"/>
  <c r="G710" i="17" s="1"/>
  <c r="F702" i="17"/>
  <c r="G702" i="17" s="1"/>
  <c r="F694" i="17"/>
  <c r="G694" i="17" s="1"/>
  <c r="F686" i="17"/>
  <c r="G686" i="17" s="1"/>
  <c r="F678" i="17"/>
  <c r="G678" i="17" s="1"/>
  <c r="F670" i="17"/>
  <c r="G670" i="17" s="1"/>
  <c r="F662" i="17"/>
  <c r="G662" i="17" s="1"/>
  <c r="F654" i="17"/>
  <c r="G654" i="17" s="1"/>
  <c r="F646" i="17"/>
  <c r="G646" i="17" s="1"/>
  <c r="F638" i="17"/>
  <c r="G638" i="17" s="1"/>
  <c r="F630" i="17"/>
  <c r="G630" i="17" s="1"/>
  <c r="F622" i="17"/>
  <c r="G622" i="17" s="1"/>
  <c r="F614" i="17"/>
  <c r="G614" i="17" s="1"/>
  <c r="F606" i="17"/>
  <c r="G606" i="17" s="1"/>
  <c r="F598" i="17"/>
  <c r="G598" i="17" s="1"/>
  <c r="F590" i="17"/>
  <c r="G590" i="17" s="1"/>
  <c r="F582" i="17"/>
  <c r="G582" i="17" s="1"/>
  <c r="F574" i="17"/>
  <c r="G574" i="17" s="1"/>
  <c r="F566" i="17"/>
  <c r="G566" i="17" s="1"/>
  <c r="F558" i="17"/>
  <c r="G558" i="17" s="1"/>
  <c r="F550" i="17"/>
  <c r="G550" i="17" s="1"/>
  <c r="F542" i="17"/>
  <c r="G542" i="17" s="1"/>
  <c r="F534" i="17"/>
  <c r="G534" i="17" s="1"/>
  <c r="F526" i="17"/>
  <c r="G526" i="17" s="1"/>
  <c r="F518" i="17"/>
  <c r="G518" i="17" s="1"/>
  <c r="F510" i="17"/>
  <c r="G510" i="17" s="1"/>
  <c r="F502" i="17"/>
  <c r="G502" i="17" s="1"/>
  <c r="F494" i="17"/>
  <c r="G494" i="17" s="1"/>
  <c r="F486" i="17"/>
  <c r="G486" i="17" s="1"/>
  <c r="F478" i="17"/>
  <c r="G478" i="17" s="1"/>
  <c r="F470" i="17"/>
  <c r="G470" i="17" s="1"/>
  <c r="F462" i="17"/>
  <c r="G462" i="17" s="1"/>
  <c r="F454" i="17"/>
  <c r="G454" i="17" s="1"/>
  <c r="F446" i="17"/>
  <c r="G446" i="17" s="1"/>
  <c r="F438" i="17"/>
  <c r="G438" i="17" s="1"/>
  <c r="F430" i="17"/>
  <c r="G430" i="17" s="1"/>
  <c r="F422" i="17"/>
  <c r="G422" i="17" s="1"/>
  <c r="F414" i="17"/>
  <c r="G414" i="17" s="1"/>
  <c r="F406" i="17"/>
  <c r="G406" i="17" s="1"/>
  <c r="F398" i="17"/>
  <c r="G398" i="17" s="1"/>
  <c r="F390" i="17"/>
  <c r="G390" i="17" s="1"/>
  <c r="F382" i="17"/>
  <c r="G382" i="17" s="1"/>
  <c r="F374" i="17"/>
  <c r="G374" i="17" s="1"/>
  <c r="F366" i="17"/>
  <c r="G366" i="17" s="1"/>
  <c r="F358" i="17"/>
  <c r="G358" i="17" s="1"/>
  <c r="F350" i="17"/>
  <c r="G350" i="17" s="1"/>
  <c r="F342" i="17"/>
  <c r="G342" i="17" s="1"/>
  <c r="F334" i="17"/>
  <c r="G334" i="17" s="1"/>
  <c r="F326" i="17"/>
  <c r="G326" i="17" s="1"/>
  <c r="F318" i="17"/>
  <c r="G318" i="17" s="1"/>
  <c r="F310" i="17"/>
  <c r="G310" i="17" s="1"/>
  <c r="F302" i="17"/>
  <c r="G302" i="17" s="1"/>
  <c r="F294" i="17"/>
  <c r="G294" i="17" s="1"/>
  <c r="F286" i="17"/>
  <c r="G286" i="17" s="1"/>
  <c r="F278" i="17"/>
  <c r="G278" i="17" s="1"/>
  <c r="F270" i="17"/>
  <c r="G270" i="17" s="1"/>
  <c r="F262" i="17"/>
  <c r="G262" i="17" s="1"/>
  <c r="F254" i="17"/>
  <c r="G254" i="17" s="1"/>
  <c r="F246" i="17"/>
  <c r="G246" i="17" s="1"/>
  <c r="F238" i="17"/>
  <c r="G238" i="17" s="1"/>
  <c r="F230" i="17"/>
  <c r="G230" i="17" s="1"/>
  <c r="F222" i="17"/>
  <c r="G222" i="17" s="1"/>
  <c r="F214" i="17"/>
  <c r="G214" i="17" s="1"/>
  <c r="F206" i="17"/>
  <c r="G206" i="17" s="1"/>
  <c r="F198" i="17"/>
  <c r="G198" i="17" s="1"/>
  <c r="F190" i="17"/>
  <c r="G190" i="17" s="1"/>
  <c r="F182" i="17"/>
  <c r="G182" i="17" s="1"/>
  <c r="F174" i="17"/>
  <c r="G174" i="17" s="1"/>
  <c r="F166" i="17"/>
  <c r="G166" i="17" s="1"/>
  <c r="F158" i="17"/>
  <c r="G158" i="17" s="1"/>
  <c r="F150" i="17"/>
  <c r="G150" i="17" s="1"/>
  <c r="F142" i="17"/>
  <c r="G142" i="17" s="1"/>
  <c r="F134" i="17"/>
  <c r="G134" i="17" s="1"/>
  <c r="F126" i="17"/>
  <c r="G126" i="17" s="1"/>
  <c r="F877" i="17"/>
  <c r="G877" i="17" s="1"/>
  <c r="F869" i="17"/>
  <c r="G869" i="17" s="1"/>
  <c r="F861" i="17"/>
  <c r="G861" i="17" s="1"/>
  <c r="F853" i="17"/>
  <c r="G853" i="17" s="1"/>
  <c r="F845" i="17"/>
  <c r="G845" i="17" s="1"/>
  <c r="F837" i="17"/>
  <c r="G837" i="17" s="1"/>
  <c r="F829" i="17"/>
  <c r="G829" i="17" s="1"/>
  <c r="F821" i="17"/>
  <c r="G821" i="17" s="1"/>
  <c r="F813" i="17"/>
  <c r="G813" i="17" s="1"/>
  <c r="F805" i="17"/>
  <c r="G805" i="17" s="1"/>
  <c r="F797" i="17"/>
  <c r="G797" i="17" s="1"/>
  <c r="F789" i="17"/>
  <c r="G789" i="17" s="1"/>
  <c r="F781" i="17"/>
  <c r="G781" i="17" s="1"/>
  <c r="F773" i="17"/>
  <c r="G773" i="17" s="1"/>
  <c r="F765" i="17"/>
  <c r="G765" i="17" s="1"/>
  <c r="F757" i="17"/>
  <c r="G757" i="17" s="1"/>
  <c r="F749" i="17"/>
  <c r="G749" i="17" s="1"/>
  <c r="F741" i="17"/>
  <c r="G741" i="17" s="1"/>
  <c r="F733" i="17"/>
  <c r="G733" i="17" s="1"/>
  <c r="F725" i="17"/>
  <c r="G725" i="17" s="1"/>
  <c r="F717" i="17"/>
  <c r="G717" i="17" s="1"/>
  <c r="F709" i="17"/>
  <c r="G709" i="17" s="1"/>
  <c r="F701" i="17"/>
  <c r="G701" i="17" s="1"/>
  <c r="F693" i="17"/>
  <c r="G693" i="17" s="1"/>
  <c r="F685" i="17"/>
  <c r="G685" i="17" s="1"/>
  <c r="F677" i="17"/>
  <c r="G677" i="17" s="1"/>
  <c r="F669" i="17"/>
  <c r="G669" i="17" s="1"/>
  <c r="F661" i="17"/>
  <c r="G661" i="17" s="1"/>
  <c r="F653" i="17"/>
  <c r="G653" i="17" s="1"/>
  <c r="F645" i="17"/>
  <c r="G645" i="17" s="1"/>
  <c r="F637" i="17"/>
  <c r="G637" i="17" s="1"/>
  <c r="F629" i="17"/>
  <c r="G629" i="17" s="1"/>
  <c r="F621" i="17"/>
  <c r="G621" i="17" s="1"/>
  <c r="F613" i="17"/>
  <c r="G613" i="17" s="1"/>
  <c r="F605" i="17"/>
  <c r="G605" i="17" s="1"/>
  <c r="F597" i="17"/>
  <c r="G597" i="17" s="1"/>
  <c r="F589" i="17"/>
  <c r="G589" i="17" s="1"/>
  <c r="F581" i="17"/>
  <c r="G581" i="17" s="1"/>
  <c r="F573" i="17"/>
  <c r="G573" i="17" s="1"/>
  <c r="F565" i="17"/>
  <c r="G565" i="17" s="1"/>
  <c r="F557" i="17"/>
  <c r="G557" i="17" s="1"/>
  <c r="F549" i="17"/>
  <c r="G549" i="17" s="1"/>
  <c r="F541" i="17"/>
  <c r="G541" i="17" s="1"/>
  <c r="F533" i="17"/>
  <c r="G533" i="17" s="1"/>
  <c r="F525" i="17"/>
  <c r="G525" i="17" s="1"/>
  <c r="F517" i="17"/>
  <c r="G517" i="17" s="1"/>
  <c r="F509" i="17"/>
  <c r="G509" i="17" s="1"/>
  <c r="F501" i="17"/>
  <c r="G501" i="17" s="1"/>
  <c r="F493" i="17"/>
  <c r="G493" i="17" s="1"/>
  <c r="F485" i="17"/>
  <c r="G485" i="17" s="1"/>
  <c r="F477" i="17"/>
  <c r="G477" i="17" s="1"/>
  <c r="F469" i="17"/>
  <c r="G469" i="17" s="1"/>
  <c r="F461" i="17"/>
  <c r="G461" i="17" s="1"/>
  <c r="F453" i="17"/>
  <c r="G453" i="17" s="1"/>
  <c r="F445" i="17"/>
  <c r="G445" i="17" s="1"/>
  <c r="F437" i="17"/>
  <c r="G437" i="17" s="1"/>
  <c r="F429" i="17"/>
  <c r="G429" i="17" s="1"/>
  <c r="F421" i="17"/>
  <c r="G421" i="17" s="1"/>
  <c r="F413" i="17"/>
  <c r="G413" i="17" s="1"/>
  <c r="F405" i="17"/>
  <c r="G405" i="17" s="1"/>
  <c r="F397" i="17"/>
  <c r="G397" i="17" s="1"/>
  <c r="F389" i="17"/>
  <c r="G389" i="17" s="1"/>
  <c r="F381" i="17"/>
  <c r="G381" i="17" s="1"/>
  <c r="F373" i="17"/>
  <c r="G373" i="17" s="1"/>
  <c r="F365" i="17"/>
  <c r="G365" i="17" s="1"/>
  <c r="F357" i="17"/>
  <c r="G357" i="17" s="1"/>
  <c r="F349" i="17"/>
  <c r="G349" i="17" s="1"/>
  <c r="F341" i="17"/>
  <c r="G341" i="17" s="1"/>
  <c r="F333" i="17"/>
  <c r="G333" i="17" s="1"/>
  <c r="F325" i="17"/>
  <c r="G325" i="17" s="1"/>
  <c r="F317" i="17"/>
  <c r="G317" i="17" s="1"/>
  <c r="F309" i="17"/>
  <c r="G309" i="17" s="1"/>
  <c r="F301" i="17"/>
  <c r="G301" i="17" s="1"/>
  <c r="F293" i="17"/>
  <c r="G293" i="17" s="1"/>
  <c r="F285" i="17"/>
  <c r="G285" i="17" s="1"/>
  <c r="F277" i="17"/>
  <c r="G277" i="17" s="1"/>
  <c r="F269" i="17"/>
  <c r="G269" i="17" s="1"/>
  <c r="F261" i="17"/>
  <c r="G261" i="17" s="1"/>
  <c r="F253" i="17"/>
  <c r="G253" i="17" s="1"/>
  <c r="F245" i="17"/>
  <c r="G245" i="17" s="1"/>
  <c r="F237" i="17"/>
  <c r="G237" i="17" s="1"/>
  <c r="F229" i="17"/>
  <c r="G229" i="17" s="1"/>
  <c r="F221" i="17"/>
  <c r="G221" i="17" s="1"/>
  <c r="F213" i="17"/>
  <c r="G213" i="17" s="1"/>
  <c r="F205" i="17"/>
  <c r="G205" i="17" s="1"/>
  <c r="F197" i="17"/>
  <c r="G197" i="17" s="1"/>
  <c r="F189" i="17"/>
  <c r="G189" i="17" s="1"/>
  <c r="F181" i="17"/>
  <c r="G181" i="17" s="1"/>
  <c r="F173" i="17"/>
  <c r="G173" i="17" s="1"/>
  <c r="F165" i="17"/>
  <c r="G165" i="17" s="1"/>
  <c r="F157" i="17"/>
  <c r="G157" i="17" s="1"/>
  <c r="F149" i="17"/>
  <c r="G149" i="17" s="1"/>
  <c r="F141" i="17"/>
  <c r="G141" i="17" s="1"/>
  <c r="F133" i="17"/>
  <c r="G133" i="17" s="1"/>
  <c r="F125" i="17"/>
  <c r="G125" i="17" s="1"/>
  <c r="F117" i="17"/>
  <c r="G117" i="17" s="1"/>
  <c r="F109" i="17"/>
  <c r="G109" i="17" s="1"/>
  <c r="F101" i="17"/>
  <c r="G101" i="17" s="1"/>
  <c r="F93" i="17"/>
  <c r="G93" i="17" s="1"/>
  <c r="F77" i="17"/>
  <c r="G77" i="17" s="1"/>
  <c r="F69" i="17"/>
  <c r="G69" i="17" s="1"/>
  <c r="F61" i="17"/>
  <c r="G61" i="17" s="1"/>
  <c r="F53" i="17"/>
  <c r="G53" i="17" s="1"/>
  <c r="F45" i="17"/>
  <c r="G45" i="17" s="1"/>
  <c r="F37" i="17"/>
  <c r="G37" i="17" s="1"/>
  <c r="F29" i="17"/>
  <c r="G29" i="17" s="1"/>
  <c r="F5" i="17"/>
  <c r="G5" i="17" s="1"/>
  <c r="F59" i="17"/>
  <c r="G59" i="17" s="1"/>
  <c r="F51" i="17"/>
  <c r="G51" i="17" s="1"/>
  <c r="F43" i="17"/>
  <c r="G43" i="17" s="1"/>
  <c r="F35" i="17"/>
  <c r="G35" i="17" s="1"/>
  <c r="F27" i="17"/>
  <c r="G27" i="17" s="1"/>
  <c r="F19" i="17"/>
  <c r="G19" i="17" s="1"/>
  <c r="F11" i="17"/>
  <c r="G11" i="17" s="1"/>
  <c r="F114" i="17"/>
  <c r="G114" i="17" s="1"/>
  <c r="F106" i="17"/>
  <c r="G106" i="17" s="1"/>
  <c r="F98" i="17"/>
  <c r="G98" i="17" s="1"/>
  <c r="F90" i="17"/>
  <c r="G90" i="17" s="1"/>
  <c r="F82" i="17"/>
  <c r="G82" i="17" s="1"/>
  <c r="F74" i="17"/>
  <c r="G74" i="17" s="1"/>
  <c r="F66" i="17"/>
  <c r="G66" i="17" s="1"/>
  <c r="F58" i="17"/>
  <c r="G58" i="17" s="1"/>
  <c r="F50" i="17"/>
  <c r="G50" i="17" s="1"/>
  <c r="F42" i="17"/>
  <c r="G42" i="17" s="1"/>
  <c r="F34" i="17"/>
  <c r="G34" i="17" s="1"/>
  <c r="F26" i="17"/>
  <c r="G26" i="17" s="1"/>
  <c r="F18" i="17"/>
  <c r="G18" i="17" s="1"/>
  <c r="F10" i="17"/>
  <c r="G10" i="17" s="1"/>
  <c r="F113" i="17"/>
  <c r="G113" i="17" s="1"/>
  <c r="F105" i="17"/>
  <c r="G105" i="17" s="1"/>
  <c r="F97" i="17"/>
  <c r="G97" i="17" s="1"/>
  <c r="F89" i="17"/>
  <c r="G89" i="17" s="1"/>
  <c r="F81" i="17"/>
  <c r="G81" i="17" s="1"/>
  <c r="F73" i="17"/>
  <c r="G73" i="17" s="1"/>
  <c r="F65" i="17"/>
  <c r="G65" i="17" s="1"/>
  <c r="F57" i="17"/>
  <c r="G57" i="17" s="1"/>
  <c r="F49" i="17"/>
  <c r="G49" i="17" s="1"/>
  <c r="F41" i="17"/>
  <c r="G41" i="17" s="1"/>
  <c r="F33" i="17"/>
  <c r="G33" i="17" s="1"/>
  <c r="F25" i="17"/>
  <c r="G25" i="17" s="1"/>
  <c r="F17" i="17"/>
  <c r="G17" i="17" s="1"/>
  <c r="F9" i="17"/>
  <c r="G9" i="17" s="1"/>
  <c r="F120" i="17"/>
  <c r="G120" i="17" s="1"/>
  <c r="F112" i="17"/>
  <c r="G112" i="17" s="1"/>
  <c r="F104" i="17"/>
  <c r="G104" i="17" s="1"/>
  <c r="F96" i="17"/>
  <c r="G96" i="17" s="1"/>
  <c r="F88" i="17"/>
  <c r="G88" i="17" s="1"/>
  <c r="F80" i="17"/>
  <c r="G80" i="17" s="1"/>
  <c r="F72" i="17"/>
  <c r="G72" i="17" s="1"/>
  <c r="F64" i="17"/>
  <c r="G64" i="17" s="1"/>
  <c r="F56" i="17"/>
  <c r="G56" i="17" s="1"/>
  <c r="F48" i="17"/>
  <c r="G48" i="17" s="1"/>
  <c r="F40" i="17"/>
  <c r="G40" i="17" s="1"/>
  <c r="F32" i="17"/>
  <c r="G32" i="17" s="1"/>
  <c r="F24" i="17"/>
  <c r="G24" i="17" s="1"/>
  <c r="F16" i="17"/>
  <c r="G16" i="17" s="1"/>
  <c r="F8" i="17"/>
  <c r="G8" i="17" s="1"/>
  <c r="F119" i="17"/>
  <c r="G119" i="17" s="1"/>
  <c r="F111" i="17"/>
  <c r="G111" i="17" s="1"/>
  <c r="F103" i="17"/>
  <c r="G103" i="17" s="1"/>
  <c r="F95" i="17"/>
  <c r="G95" i="17" s="1"/>
  <c r="F87" i="17"/>
  <c r="G87" i="17" s="1"/>
  <c r="F79" i="17"/>
  <c r="G79" i="17" s="1"/>
  <c r="F71" i="17"/>
  <c r="G71" i="17" s="1"/>
  <c r="F63" i="17"/>
  <c r="G63" i="17" s="1"/>
  <c r="F55" i="17"/>
  <c r="G55" i="17" s="1"/>
  <c r="F47" i="17"/>
  <c r="G47" i="17" s="1"/>
  <c r="F39" i="17"/>
  <c r="G39" i="17" s="1"/>
  <c r="F31" i="17"/>
  <c r="G31" i="17" s="1"/>
  <c r="F23" i="17"/>
  <c r="G23" i="17" s="1"/>
  <c r="F15" i="17"/>
  <c r="G15" i="17" s="1"/>
  <c r="F7" i="17"/>
  <c r="G7" i="17" s="1"/>
  <c r="F118" i="17"/>
  <c r="G118" i="17" s="1"/>
  <c r="F110" i="17"/>
  <c r="G110" i="17" s="1"/>
  <c r="F102" i="17"/>
  <c r="G102" i="17" s="1"/>
  <c r="F94" i="17"/>
  <c r="G94" i="17" s="1"/>
  <c r="F86" i="17"/>
  <c r="G86" i="17" s="1"/>
  <c r="F78" i="17"/>
  <c r="G78" i="17" s="1"/>
  <c r="F70" i="17"/>
  <c r="G70" i="17" s="1"/>
  <c r="F62" i="17"/>
  <c r="G62" i="17" s="1"/>
  <c r="F54" i="17"/>
  <c r="G54" i="17" s="1"/>
  <c r="F46" i="17"/>
  <c r="G46" i="17" s="1"/>
  <c r="F38" i="17"/>
  <c r="G38" i="17" s="1"/>
  <c r="F30" i="17"/>
  <c r="G30" i="17" s="1"/>
  <c r="F22" i="17"/>
  <c r="G22" i="17" s="1"/>
  <c r="F14" i="17"/>
  <c r="G14" i="17" s="1"/>
  <c r="F6" i="17"/>
  <c r="G6" i="17" s="1"/>
  <c r="G30" i="16" l="1"/>
  <c r="H30" i="16" s="1"/>
  <c r="G205" i="16"/>
  <c r="H205" i="16" s="1"/>
  <c r="G166" i="16"/>
  <c r="H166" i="16" s="1"/>
  <c r="G180" i="16"/>
  <c r="H180" i="16" s="1"/>
  <c r="G116" i="16"/>
  <c r="H116" i="16" s="1"/>
  <c r="G52" i="16"/>
  <c r="H52" i="16" s="1"/>
  <c r="G44" i="16"/>
  <c r="H44" i="16" s="1"/>
  <c r="G4" i="16"/>
  <c r="H4" i="16" s="1"/>
  <c r="G38" i="16"/>
  <c r="H38" i="16" s="1"/>
  <c r="G102" i="16"/>
  <c r="H102" i="16" s="1"/>
  <c r="G418" i="16"/>
  <c r="H418" i="16" s="1"/>
  <c r="G354" i="16"/>
  <c r="H354" i="16" s="1"/>
  <c r="G290" i="16"/>
  <c r="H290" i="16" s="1"/>
  <c r="G153" i="16"/>
  <c r="H153" i="16" s="1"/>
  <c r="G89" i="16"/>
  <c r="H89" i="16" s="1"/>
  <c r="G41" i="16"/>
  <c r="H41" i="16" s="1"/>
  <c r="G25" i="16"/>
  <c r="H25" i="16" s="1"/>
  <c r="G17" i="16"/>
  <c r="H17" i="16" s="1"/>
  <c r="G141" i="16"/>
  <c r="H141" i="16" s="1"/>
  <c r="G77" i="16"/>
  <c r="H77" i="16" s="1"/>
  <c r="G13" i="16"/>
  <c r="H13" i="16" s="1"/>
  <c r="G244" i="16"/>
  <c r="H244" i="16" s="1"/>
  <c r="G419" i="16"/>
  <c r="H419" i="16" s="1"/>
  <c r="G411" i="16"/>
  <c r="H411" i="16" s="1"/>
  <c r="G403" i="16"/>
  <c r="H403" i="16" s="1"/>
  <c r="G395" i="16"/>
  <c r="H395" i="16" s="1"/>
  <c r="G387" i="16"/>
  <c r="H387" i="16" s="1"/>
  <c r="G379" i="16"/>
  <c r="H379" i="16" s="1"/>
  <c r="G371" i="16"/>
  <c r="H371" i="16" s="1"/>
  <c r="G363" i="16"/>
  <c r="H363" i="16" s="1"/>
  <c r="G355" i="16"/>
  <c r="H355" i="16" s="1"/>
  <c r="G347" i="16"/>
  <c r="H347" i="16" s="1"/>
  <c r="G339" i="16"/>
  <c r="H339" i="16" s="1"/>
  <c r="G331" i="16"/>
  <c r="H331" i="16" s="1"/>
  <c r="G323" i="16"/>
  <c r="H323" i="16" s="1"/>
  <c r="G315" i="16"/>
  <c r="H315" i="16" s="1"/>
  <c r="G307" i="16"/>
  <c r="H307" i="16" s="1"/>
  <c r="G299" i="16"/>
  <c r="H299" i="16" s="1"/>
  <c r="G291" i="16"/>
  <c r="H291" i="16" s="1"/>
  <c r="G283" i="16"/>
  <c r="H283" i="16" s="1"/>
  <c r="G275" i="16"/>
  <c r="H275" i="16" s="1"/>
  <c r="G267" i="16"/>
  <c r="H267" i="16" s="1"/>
  <c r="G259" i="16"/>
  <c r="H259" i="16" s="1"/>
  <c r="G251" i="16"/>
  <c r="H251" i="16" s="1"/>
  <c r="G243" i="16"/>
  <c r="H243" i="16" s="1"/>
  <c r="G235" i="16"/>
  <c r="H235" i="16" s="1"/>
  <c r="G227" i="16"/>
  <c r="H227" i="16" s="1"/>
  <c r="G219" i="16"/>
  <c r="H219" i="16" s="1"/>
  <c r="G211" i="16"/>
  <c r="H211" i="16" s="1"/>
  <c r="G203" i="16"/>
  <c r="H203" i="16" s="1"/>
  <c r="G195" i="16"/>
  <c r="H195" i="16" s="1"/>
  <c r="G187" i="16"/>
  <c r="H187" i="16" s="1"/>
  <c r="G179" i="16"/>
  <c r="H179" i="16" s="1"/>
  <c r="G410" i="16"/>
  <c r="H410" i="16" s="1"/>
  <c r="G402" i="16"/>
  <c r="H402" i="16" s="1"/>
  <c r="G394" i="16"/>
  <c r="H394" i="16" s="1"/>
  <c r="G386" i="16"/>
  <c r="H386" i="16" s="1"/>
  <c r="G378" i="16"/>
  <c r="H378" i="16" s="1"/>
  <c r="G370" i="16"/>
  <c r="H370" i="16" s="1"/>
  <c r="G362" i="16"/>
  <c r="H362" i="16" s="1"/>
  <c r="G346" i="16"/>
  <c r="H346" i="16" s="1"/>
  <c r="G338" i="16"/>
  <c r="H338" i="16" s="1"/>
  <c r="G330" i="16"/>
  <c r="H330" i="16" s="1"/>
  <c r="G322" i="16"/>
  <c r="H322" i="16" s="1"/>
  <c r="G314" i="16"/>
  <c r="H314" i="16" s="1"/>
  <c r="G306" i="16"/>
  <c r="H306" i="16" s="1"/>
  <c r="G298" i="16"/>
  <c r="H298" i="16" s="1"/>
  <c r="G282" i="16"/>
  <c r="H282" i="16" s="1"/>
  <c r="G274" i="16"/>
  <c r="H274" i="16" s="1"/>
  <c r="G266" i="16"/>
  <c r="H266" i="16" s="1"/>
  <c r="G217" i="16"/>
  <c r="H217" i="16" s="1"/>
  <c r="G255" i="16"/>
  <c r="H255" i="16" s="1"/>
  <c r="G191" i="16"/>
  <c r="H191" i="16" s="1"/>
  <c r="G127" i="16"/>
  <c r="H127" i="16" s="1"/>
  <c r="G63" i="16"/>
  <c r="H63" i="16" s="1"/>
  <c r="G230" i="16"/>
  <c r="H230" i="16" s="1"/>
  <c r="G258" i="16"/>
  <c r="H258" i="16" s="1"/>
  <c r="G250" i="16"/>
  <c r="H250" i="16" s="1"/>
  <c r="G242" i="16"/>
  <c r="H242" i="16" s="1"/>
  <c r="G234" i="16"/>
  <c r="H234" i="16" s="1"/>
  <c r="G226" i="16"/>
  <c r="H226" i="16" s="1"/>
  <c r="G218" i="16"/>
  <c r="H218" i="16" s="1"/>
  <c r="G210" i="16"/>
  <c r="H210" i="16" s="1"/>
  <c r="G202" i="16"/>
  <c r="H202" i="16" s="1"/>
  <c r="G194" i="16"/>
  <c r="H194" i="16" s="1"/>
  <c r="G186" i="16"/>
  <c r="H186" i="16" s="1"/>
  <c r="G178" i="16"/>
  <c r="H178" i="16" s="1"/>
  <c r="G417" i="16"/>
  <c r="H417" i="16" s="1"/>
  <c r="G409" i="16"/>
  <c r="H409" i="16" s="1"/>
  <c r="G401" i="16"/>
  <c r="H401" i="16" s="1"/>
  <c r="G393" i="16"/>
  <c r="H393" i="16" s="1"/>
  <c r="G385" i="16"/>
  <c r="H385" i="16" s="1"/>
  <c r="G377" i="16"/>
  <c r="H377" i="16" s="1"/>
  <c r="G369" i="16"/>
  <c r="H369" i="16" s="1"/>
  <c r="G361" i="16"/>
  <c r="H361" i="16" s="1"/>
  <c r="G353" i="16"/>
  <c r="H353" i="16" s="1"/>
  <c r="G345" i="16"/>
  <c r="H345" i="16" s="1"/>
  <c r="G337" i="16"/>
  <c r="H337" i="16" s="1"/>
  <c r="G329" i="16"/>
  <c r="H329" i="16" s="1"/>
  <c r="G321" i="16"/>
  <c r="H321" i="16" s="1"/>
  <c r="G313" i="16"/>
  <c r="H313" i="16" s="1"/>
  <c r="G305" i="16"/>
  <c r="H305" i="16" s="1"/>
  <c r="G297" i="16"/>
  <c r="H297" i="16" s="1"/>
  <c r="G289" i="16"/>
  <c r="H289" i="16" s="1"/>
  <c r="G281" i="16"/>
  <c r="H281" i="16" s="1"/>
  <c r="G273" i="16"/>
  <c r="H273" i="16" s="1"/>
  <c r="G265" i="16"/>
  <c r="H265" i="16" s="1"/>
  <c r="G257" i="16"/>
  <c r="H257" i="16" s="1"/>
  <c r="G249" i="16"/>
  <c r="H249" i="16" s="1"/>
  <c r="G241" i="16"/>
  <c r="H241" i="16" s="1"/>
  <c r="G233" i="16"/>
  <c r="H233" i="16" s="1"/>
  <c r="G225" i="16"/>
  <c r="H225" i="16" s="1"/>
  <c r="G209" i="16"/>
  <c r="H209" i="16" s="1"/>
  <c r="G201" i="16"/>
  <c r="H201" i="16" s="1"/>
  <c r="G193" i="16"/>
  <c r="H193" i="16" s="1"/>
  <c r="G185" i="16"/>
  <c r="H185" i="16" s="1"/>
  <c r="G177" i="16"/>
  <c r="H177" i="16" s="1"/>
  <c r="G169" i="16"/>
  <c r="H169" i="16" s="1"/>
  <c r="G161" i="16"/>
  <c r="H161" i="16" s="1"/>
  <c r="G145" i="16"/>
  <c r="H145" i="16" s="1"/>
  <c r="G137" i="16"/>
  <c r="H137" i="16" s="1"/>
  <c r="G129" i="16"/>
  <c r="H129" i="16" s="1"/>
  <c r="G121" i="16"/>
  <c r="H121" i="16" s="1"/>
  <c r="G113" i="16"/>
  <c r="H113" i="16" s="1"/>
  <c r="G105" i="16"/>
  <c r="H105" i="16" s="1"/>
  <c r="G97" i="16"/>
  <c r="H97" i="16" s="1"/>
  <c r="G81" i="16"/>
  <c r="H81" i="16" s="1"/>
  <c r="G73" i="16"/>
  <c r="H73" i="16" s="1"/>
  <c r="G65" i="16"/>
  <c r="H65" i="16" s="1"/>
  <c r="G57" i="16"/>
  <c r="H57" i="16" s="1"/>
  <c r="G49" i="16"/>
  <c r="H49" i="16" s="1"/>
  <c r="G33" i="16"/>
  <c r="H33" i="16" s="1"/>
  <c r="G9" i="16"/>
  <c r="H9" i="16" s="1"/>
  <c r="G416" i="16"/>
  <c r="H416" i="16" s="1"/>
  <c r="G408" i="16"/>
  <c r="H408" i="16" s="1"/>
  <c r="G400" i="16"/>
  <c r="H400" i="16" s="1"/>
  <c r="G392" i="16"/>
  <c r="H392" i="16" s="1"/>
  <c r="G384" i="16"/>
  <c r="H384" i="16" s="1"/>
  <c r="G376" i="16"/>
  <c r="H376" i="16" s="1"/>
  <c r="G368" i="16"/>
  <c r="H368" i="16" s="1"/>
  <c r="G360" i="16"/>
  <c r="H360" i="16" s="1"/>
  <c r="G352" i="16"/>
  <c r="H352" i="16" s="1"/>
  <c r="G344" i="16"/>
  <c r="H344" i="16" s="1"/>
  <c r="G336" i="16"/>
  <c r="H336" i="16" s="1"/>
  <c r="G328" i="16"/>
  <c r="H328" i="16" s="1"/>
  <c r="G320" i="16"/>
  <c r="H320" i="16" s="1"/>
  <c r="G312" i="16"/>
  <c r="H312" i="16" s="1"/>
  <c r="G304" i="16"/>
  <c r="H304" i="16" s="1"/>
  <c r="G296" i="16"/>
  <c r="H296" i="16" s="1"/>
  <c r="G288" i="16"/>
  <c r="H288" i="16" s="1"/>
  <c r="G280" i="16"/>
  <c r="H280" i="16" s="1"/>
  <c r="G272" i="16"/>
  <c r="H272" i="16" s="1"/>
  <c r="G264" i="16"/>
  <c r="H264" i="16" s="1"/>
  <c r="G256" i="16"/>
  <c r="H256" i="16" s="1"/>
  <c r="G248" i="16"/>
  <c r="H248" i="16" s="1"/>
  <c r="G240" i="16"/>
  <c r="H240" i="16" s="1"/>
  <c r="G232" i="16"/>
  <c r="H232" i="16" s="1"/>
  <c r="G224" i="16"/>
  <c r="H224" i="16" s="1"/>
  <c r="G216" i="16"/>
  <c r="H216" i="16" s="1"/>
  <c r="G208" i="16"/>
  <c r="H208" i="16" s="1"/>
  <c r="G200" i="16"/>
  <c r="H200" i="16" s="1"/>
  <c r="G192" i="16"/>
  <c r="H192" i="16" s="1"/>
  <c r="G184" i="16"/>
  <c r="H184" i="16" s="1"/>
  <c r="G176" i="16"/>
  <c r="H176" i="16" s="1"/>
  <c r="G168" i="16"/>
  <c r="H168" i="16" s="1"/>
  <c r="G160" i="16"/>
  <c r="H160" i="16" s="1"/>
  <c r="G152" i="16"/>
  <c r="H152" i="16" s="1"/>
  <c r="G144" i="16"/>
  <c r="H144" i="16" s="1"/>
  <c r="G136" i="16"/>
  <c r="H136" i="16" s="1"/>
  <c r="G128" i="16"/>
  <c r="H128" i="16" s="1"/>
  <c r="G120" i="16"/>
  <c r="H120" i="16" s="1"/>
  <c r="G112" i="16"/>
  <c r="H112" i="16" s="1"/>
  <c r="G104" i="16"/>
  <c r="H104" i="16" s="1"/>
  <c r="G96" i="16"/>
  <c r="H96" i="16" s="1"/>
  <c r="G88" i="16"/>
  <c r="H88" i="16" s="1"/>
  <c r="G80" i="16"/>
  <c r="H80" i="16" s="1"/>
  <c r="G72" i="16"/>
  <c r="H72" i="16" s="1"/>
  <c r="G64" i="16"/>
  <c r="H64" i="16" s="1"/>
  <c r="G56" i="16"/>
  <c r="H56" i="16" s="1"/>
  <c r="G48" i="16"/>
  <c r="H48" i="16" s="1"/>
  <c r="G423" i="16"/>
  <c r="H423" i="16" s="1"/>
  <c r="G415" i="16"/>
  <c r="H415" i="16" s="1"/>
  <c r="G407" i="16"/>
  <c r="H407" i="16" s="1"/>
  <c r="G399" i="16"/>
  <c r="H399" i="16" s="1"/>
  <c r="G391" i="16"/>
  <c r="H391" i="16" s="1"/>
  <c r="G383" i="16"/>
  <c r="H383" i="16" s="1"/>
  <c r="G375" i="16"/>
  <c r="H375" i="16" s="1"/>
  <c r="G367" i="16"/>
  <c r="H367" i="16" s="1"/>
  <c r="G359" i="16"/>
  <c r="H359" i="16" s="1"/>
  <c r="G351" i="16"/>
  <c r="H351" i="16" s="1"/>
  <c r="G343" i="16"/>
  <c r="H343" i="16" s="1"/>
  <c r="G335" i="16"/>
  <c r="H335" i="16" s="1"/>
  <c r="G327" i="16"/>
  <c r="H327" i="16" s="1"/>
  <c r="G319" i="16"/>
  <c r="H319" i="16" s="1"/>
  <c r="G311" i="16"/>
  <c r="H311" i="16" s="1"/>
  <c r="G303" i="16"/>
  <c r="H303" i="16" s="1"/>
  <c r="G295" i="16"/>
  <c r="H295" i="16" s="1"/>
  <c r="G287" i="16"/>
  <c r="H287" i="16" s="1"/>
  <c r="G279" i="16"/>
  <c r="H279" i="16" s="1"/>
  <c r="G271" i="16"/>
  <c r="H271" i="16" s="1"/>
  <c r="G263" i="16"/>
  <c r="H263" i="16" s="1"/>
  <c r="G247" i="16"/>
  <c r="H247" i="16" s="1"/>
  <c r="G239" i="16"/>
  <c r="H239" i="16" s="1"/>
  <c r="G231" i="16"/>
  <c r="H231" i="16" s="1"/>
  <c r="G223" i="16"/>
  <c r="H223" i="16" s="1"/>
  <c r="G215" i="16"/>
  <c r="H215" i="16" s="1"/>
  <c r="G207" i="16"/>
  <c r="H207" i="16" s="1"/>
  <c r="G199" i="16"/>
  <c r="H199" i="16" s="1"/>
  <c r="G183" i="16"/>
  <c r="H183" i="16" s="1"/>
  <c r="G175" i="16"/>
  <c r="H175" i="16" s="1"/>
  <c r="G167" i="16"/>
  <c r="H167" i="16" s="1"/>
  <c r="G159" i="16"/>
  <c r="H159" i="16" s="1"/>
  <c r="G151" i="16"/>
  <c r="H151" i="16" s="1"/>
  <c r="G143" i="16"/>
  <c r="H143" i="16" s="1"/>
  <c r="G135" i="16"/>
  <c r="H135" i="16" s="1"/>
  <c r="G119" i="16"/>
  <c r="H119" i="16" s="1"/>
  <c r="G111" i="16"/>
  <c r="H111" i="16" s="1"/>
  <c r="G103" i="16"/>
  <c r="H103" i="16" s="1"/>
  <c r="G95" i="16"/>
  <c r="H95" i="16" s="1"/>
  <c r="G87" i="16"/>
  <c r="H87" i="16" s="1"/>
  <c r="G79" i="16"/>
  <c r="H79" i="16" s="1"/>
  <c r="G71" i="16"/>
  <c r="H71" i="16" s="1"/>
  <c r="G55" i="16"/>
  <c r="H55" i="16" s="1"/>
  <c r="G47" i="16"/>
  <c r="H47" i="16" s="1"/>
  <c r="G39" i="16"/>
  <c r="H39" i="16" s="1"/>
  <c r="G31" i="16"/>
  <c r="H31" i="16" s="1"/>
  <c r="G23" i="16"/>
  <c r="H23" i="16" s="1"/>
  <c r="G15" i="16"/>
  <c r="H15" i="16" s="1"/>
  <c r="G7" i="16"/>
  <c r="H7" i="16" s="1"/>
  <c r="G422" i="16"/>
  <c r="H422" i="16" s="1"/>
  <c r="G414" i="16"/>
  <c r="H414" i="16" s="1"/>
  <c r="G406" i="16"/>
  <c r="H406" i="16" s="1"/>
  <c r="G398" i="16"/>
  <c r="H398" i="16" s="1"/>
  <c r="G390" i="16"/>
  <c r="H390" i="16" s="1"/>
  <c r="G382" i="16"/>
  <c r="H382" i="16" s="1"/>
  <c r="G374" i="16"/>
  <c r="H374" i="16" s="1"/>
  <c r="G366" i="16"/>
  <c r="H366" i="16" s="1"/>
  <c r="G358" i="16"/>
  <c r="H358" i="16" s="1"/>
  <c r="G350" i="16"/>
  <c r="H350" i="16" s="1"/>
  <c r="G342" i="16"/>
  <c r="H342" i="16" s="1"/>
  <c r="G334" i="16"/>
  <c r="H334" i="16" s="1"/>
  <c r="G326" i="16"/>
  <c r="H326" i="16" s="1"/>
  <c r="G318" i="16"/>
  <c r="H318" i="16" s="1"/>
  <c r="G310" i="16"/>
  <c r="H310" i="16" s="1"/>
  <c r="G302" i="16"/>
  <c r="H302" i="16" s="1"/>
  <c r="G294" i="16"/>
  <c r="H294" i="16" s="1"/>
  <c r="G286" i="16"/>
  <c r="H286" i="16" s="1"/>
  <c r="G278" i="16"/>
  <c r="H278" i="16" s="1"/>
  <c r="H270" i="16"/>
  <c r="G262" i="16"/>
  <c r="H262" i="16" s="1"/>
  <c r="G254" i="16"/>
  <c r="H254" i="16" s="1"/>
  <c r="G246" i="16"/>
  <c r="H246" i="16" s="1"/>
  <c r="G238" i="16"/>
  <c r="H238" i="16" s="1"/>
  <c r="G222" i="16"/>
  <c r="H222" i="16" s="1"/>
  <c r="G214" i="16"/>
  <c r="H214" i="16" s="1"/>
  <c r="G206" i="16"/>
  <c r="H206" i="16" s="1"/>
  <c r="G198" i="16"/>
  <c r="H198" i="16" s="1"/>
  <c r="G190" i="16"/>
  <c r="H190" i="16" s="1"/>
  <c r="G182" i="16"/>
  <c r="H182" i="16" s="1"/>
  <c r="G174" i="16"/>
  <c r="H174" i="16" s="1"/>
  <c r="G158" i="16"/>
  <c r="H158" i="16" s="1"/>
  <c r="G150" i="16"/>
  <c r="H150" i="16" s="1"/>
  <c r="G142" i="16"/>
  <c r="H142" i="16" s="1"/>
  <c r="G134" i="16"/>
  <c r="H134" i="16" s="1"/>
  <c r="G126" i="16"/>
  <c r="H126" i="16" s="1"/>
  <c r="G118" i="16"/>
  <c r="H118" i="16" s="1"/>
  <c r="G110" i="16"/>
  <c r="H110" i="16" s="1"/>
  <c r="G94" i="16"/>
  <c r="H94" i="16" s="1"/>
  <c r="G86" i="16"/>
  <c r="H86" i="16" s="1"/>
  <c r="G78" i="16"/>
  <c r="H78" i="16" s="1"/>
  <c r="G70" i="16"/>
  <c r="H70" i="16" s="1"/>
  <c r="G62" i="16"/>
  <c r="H62" i="16" s="1"/>
  <c r="G54" i="16"/>
  <c r="H54" i="16" s="1"/>
  <c r="G46" i="16"/>
  <c r="H46" i="16" s="1"/>
  <c r="G22" i="16"/>
  <c r="H22" i="16" s="1"/>
  <c r="G14" i="16"/>
  <c r="H14" i="16" s="1"/>
  <c r="G6" i="16"/>
  <c r="H6" i="16" s="1"/>
  <c r="G421" i="16"/>
  <c r="H421" i="16" s="1"/>
  <c r="G413" i="16"/>
  <c r="H413" i="16" s="1"/>
  <c r="G405" i="16"/>
  <c r="H405" i="16" s="1"/>
  <c r="G397" i="16"/>
  <c r="H397" i="16" s="1"/>
  <c r="G389" i="16"/>
  <c r="H389" i="16" s="1"/>
  <c r="G381" i="16"/>
  <c r="H381" i="16" s="1"/>
  <c r="G373" i="16"/>
  <c r="H373" i="16" s="1"/>
  <c r="G365" i="16"/>
  <c r="H365" i="16" s="1"/>
  <c r="G357" i="16"/>
  <c r="H357" i="16" s="1"/>
  <c r="G349" i="16"/>
  <c r="H349" i="16" s="1"/>
  <c r="G341" i="16"/>
  <c r="H341" i="16" s="1"/>
  <c r="G333" i="16"/>
  <c r="H333" i="16" s="1"/>
  <c r="G325" i="16"/>
  <c r="H325" i="16" s="1"/>
  <c r="G317" i="16"/>
  <c r="H317" i="16" s="1"/>
  <c r="G309" i="16"/>
  <c r="H309" i="16" s="1"/>
  <c r="G301" i="16"/>
  <c r="H301" i="16" s="1"/>
  <c r="G293" i="16"/>
  <c r="H293" i="16" s="1"/>
  <c r="G285" i="16"/>
  <c r="H285" i="16" s="1"/>
  <c r="G277" i="16"/>
  <c r="H277" i="16" s="1"/>
  <c r="G269" i="16"/>
  <c r="H269" i="16" s="1"/>
  <c r="G261" i="16"/>
  <c r="H261" i="16" s="1"/>
  <c r="G253" i="16"/>
  <c r="H253" i="16" s="1"/>
  <c r="G245" i="16"/>
  <c r="H245" i="16" s="1"/>
  <c r="G237" i="16"/>
  <c r="H237" i="16" s="1"/>
  <c r="G229" i="16"/>
  <c r="H229" i="16" s="1"/>
  <c r="G221" i="16"/>
  <c r="H221" i="16" s="1"/>
  <c r="G213" i="16"/>
  <c r="H213" i="16" s="1"/>
  <c r="G197" i="16"/>
  <c r="H197" i="16" s="1"/>
  <c r="G189" i="16"/>
  <c r="H189" i="16" s="1"/>
  <c r="G181" i="16"/>
  <c r="H181" i="16" s="1"/>
  <c r="G173" i="16"/>
  <c r="H173" i="16" s="1"/>
  <c r="G165" i="16"/>
  <c r="H165" i="16" s="1"/>
  <c r="G157" i="16"/>
  <c r="H157" i="16" s="1"/>
  <c r="G149" i="16"/>
  <c r="H149" i="16" s="1"/>
  <c r="G133" i="16"/>
  <c r="H133" i="16" s="1"/>
  <c r="G125" i="16"/>
  <c r="H125" i="16" s="1"/>
  <c r="G117" i="16"/>
  <c r="H117" i="16" s="1"/>
  <c r="G109" i="16"/>
  <c r="H109" i="16" s="1"/>
  <c r="G101" i="16"/>
  <c r="H101" i="16" s="1"/>
  <c r="G93" i="16"/>
  <c r="H93" i="16" s="1"/>
  <c r="G85" i="16"/>
  <c r="H85" i="16" s="1"/>
  <c r="G69" i="16"/>
  <c r="H69" i="16" s="1"/>
  <c r="G61" i="16"/>
  <c r="H61" i="16" s="1"/>
  <c r="G53" i="16"/>
  <c r="H53" i="16" s="1"/>
  <c r="G45" i="16"/>
  <c r="H45" i="16" s="1"/>
  <c r="G37" i="16"/>
  <c r="H37" i="16" s="1"/>
  <c r="G29" i="16"/>
  <c r="H29" i="16" s="1"/>
  <c r="G21" i="16"/>
  <c r="H21" i="16" s="1"/>
  <c r="G5" i="16"/>
  <c r="H5" i="16" s="1"/>
  <c r="G420" i="16"/>
  <c r="H420" i="16" s="1"/>
  <c r="G412" i="16"/>
  <c r="H412" i="16" s="1"/>
  <c r="G404" i="16"/>
  <c r="H404" i="16" s="1"/>
  <c r="G396" i="16"/>
  <c r="H396" i="16" s="1"/>
  <c r="G388" i="16"/>
  <c r="H388" i="16" s="1"/>
  <c r="G380" i="16"/>
  <c r="H380" i="16" s="1"/>
  <c r="G372" i="16"/>
  <c r="H372" i="16" s="1"/>
  <c r="G364" i="16"/>
  <c r="H364" i="16" s="1"/>
  <c r="G356" i="16"/>
  <c r="H356" i="16" s="1"/>
  <c r="G348" i="16"/>
  <c r="H348" i="16" s="1"/>
  <c r="G340" i="16"/>
  <c r="H340" i="16" s="1"/>
  <c r="G332" i="16"/>
  <c r="H332" i="16" s="1"/>
  <c r="G324" i="16"/>
  <c r="H324" i="16" s="1"/>
  <c r="G316" i="16"/>
  <c r="H316" i="16" s="1"/>
  <c r="G308" i="16"/>
  <c r="H308" i="16" s="1"/>
  <c r="G300" i="16"/>
  <c r="H300" i="16" s="1"/>
  <c r="G292" i="16"/>
  <c r="H292" i="16" s="1"/>
  <c r="G284" i="16"/>
  <c r="H284" i="16" s="1"/>
  <c r="G276" i="16"/>
  <c r="H276" i="16" s="1"/>
  <c r="G268" i="16"/>
  <c r="H268" i="16" s="1"/>
  <c r="G260" i="16"/>
  <c r="H260" i="16" s="1"/>
  <c r="G252" i="16"/>
  <c r="H252" i="16" s="1"/>
  <c r="G236" i="16"/>
  <c r="H236" i="16" s="1"/>
  <c r="G228" i="16"/>
  <c r="H228" i="16" s="1"/>
  <c r="G220" i="16"/>
  <c r="H220" i="16" s="1"/>
  <c r="G212" i="16"/>
  <c r="H212" i="16" s="1"/>
  <c r="G204" i="16"/>
  <c r="H204" i="16" s="1"/>
  <c r="G196" i="16"/>
  <c r="H196" i="16" s="1"/>
  <c r="G188" i="16"/>
  <c r="H188" i="16" s="1"/>
  <c r="G172" i="16"/>
  <c r="H172" i="16" s="1"/>
  <c r="G164" i="16"/>
  <c r="H164" i="16" s="1"/>
  <c r="G156" i="16"/>
  <c r="H156" i="16" s="1"/>
  <c r="G148" i="16"/>
  <c r="H148" i="16" s="1"/>
  <c r="G140" i="16"/>
  <c r="H140" i="16" s="1"/>
  <c r="G132" i="16"/>
  <c r="H132" i="16" s="1"/>
  <c r="G124" i="16"/>
  <c r="H124" i="16" s="1"/>
  <c r="G108" i="16"/>
  <c r="H108" i="16" s="1"/>
  <c r="G100" i="16"/>
  <c r="H100" i="16" s="1"/>
  <c r="G92" i="16"/>
  <c r="H92" i="16" s="1"/>
  <c r="G84" i="16"/>
  <c r="H84" i="16" s="1"/>
  <c r="G76" i="16"/>
  <c r="H76" i="16" s="1"/>
  <c r="G68" i="16"/>
  <c r="H68" i="16" s="1"/>
  <c r="G60" i="16"/>
  <c r="H60" i="16" s="1"/>
  <c r="G36" i="16"/>
  <c r="H36" i="16" s="1"/>
  <c r="G28" i="16"/>
  <c r="H28" i="16" s="1"/>
  <c r="G20" i="16"/>
  <c r="H20" i="16" s="1"/>
  <c r="G12" i="16"/>
  <c r="H12" i="16" s="1"/>
  <c r="G171" i="16"/>
  <c r="H171" i="16" s="1"/>
  <c r="G163" i="16"/>
  <c r="H163" i="16" s="1"/>
  <c r="G155" i="16"/>
  <c r="H155" i="16" s="1"/>
  <c r="G147" i="16"/>
  <c r="H147" i="16" s="1"/>
  <c r="G139" i="16"/>
  <c r="H139" i="16" s="1"/>
  <c r="G131" i="16"/>
  <c r="H131" i="16" s="1"/>
  <c r="G123" i="16"/>
  <c r="H123" i="16" s="1"/>
  <c r="G115" i="16"/>
  <c r="H115" i="16" s="1"/>
  <c r="G107" i="16"/>
  <c r="H107" i="16" s="1"/>
  <c r="G99" i="16"/>
  <c r="H99" i="16" s="1"/>
  <c r="G91" i="16"/>
  <c r="H91" i="16" s="1"/>
  <c r="G83" i="16"/>
  <c r="H83" i="16" s="1"/>
  <c r="G75" i="16"/>
  <c r="H75" i="16" s="1"/>
  <c r="G67" i="16"/>
  <c r="H67" i="16" s="1"/>
  <c r="G59" i="16"/>
  <c r="H59" i="16" s="1"/>
  <c r="G51" i="16"/>
  <c r="H51" i="16" s="1"/>
  <c r="G43" i="16"/>
  <c r="H43" i="16" s="1"/>
  <c r="G35" i="16"/>
  <c r="H35" i="16" s="1"/>
  <c r="G27" i="16"/>
  <c r="H27" i="16" s="1"/>
  <c r="G19" i="16"/>
  <c r="H19" i="16" s="1"/>
  <c r="G11" i="16"/>
  <c r="H11" i="16" s="1"/>
  <c r="G170" i="16"/>
  <c r="H170" i="16" s="1"/>
  <c r="G162" i="16"/>
  <c r="H162" i="16" s="1"/>
  <c r="G154" i="16"/>
  <c r="H154" i="16" s="1"/>
  <c r="G146" i="16"/>
  <c r="H146" i="16" s="1"/>
  <c r="G138" i="16"/>
  <c r="H138" i="16" s="1"/>
  <c r="G130" i="16"/>
  <c r="H130" i="16" s="1"/>
  <c r="G122" i="16"/>
  <c r="H122" i="16" s="1"/>
  <c r="G114" i="16"/>
  <c r="H114" i="16" s="1"/>
  <c r="G106" i="16"/>
  <c r="H106" i="16" s="1"/>
  <c r="G98" i="16"/>
  <c r="H98" i="16" s="1"/>
  <c r="G90" i="16"/>
  <c r="H90" i="16" s="1"/>
  <c r="G82" i="16"/>
  <c r="H82" i="16" s="1"/>
  <c r="G74" i="16"/>
  <c r="H74" i="16" s="1"/>
  <c r="G66" i="16"/>
  <c r="H66" i="16" s="1"/>
  <c r="G58" i="16"/>
  <c r="H58" i="16" s="1"/>
  <c r="G50" i="16"/>
  <c r="H50" i="16" s="1"/>
  <c r="G42" i="16"/>
  <c r="H42" i="16" s="1"/>
  <c r="G34" i="16"/>
  <c r="H34" i="16" s="1"/>
  <c r="G26" i="16"/>
  <c r="H26" i="16" s="1"/>
  <c r="G18" i="16"/>
  <c r="H18" i="16" s="1"/>
  <c r="G10" i="16"/>
  <c r="H10" i="16" s="1"/>
  <c r="G40" i="16"/>
  <c r="H40" i="16" s="1"/>
  <c r="G32" i="16"/>
  <c r="H32" i="16" s="1"/>
  <c r="G24" i="16"/>
  <c r="H24" i="16" s="1"/>
  <c r="G16" i="16"/>
  <c r="H16" i="16" s="1"/>
  <c r="G8" i="16"/>
  <c r="H8" i="16" s="1"/>
  <c r="Q15" i="13" l="1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0" i="13"/>
  <c r="Q91" i="13"/>
  <c r="Q92" i="13"/>
  <c r="Q93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Q126" i="13"/>
  <c r="Q127" i="13"/>
  <c r="Q128" i="13"/>
  <c r="Q129" i="13"/>
  <c r="Q130" i="13"/>
  <c r="Q131" i="13"/>
  <c r="Q132" i="13"/>
  <c r="Q133" i="13"/>
  <c r="Q134" i="13"/>
  <c r="Q135" i="13"/>
  <c r="Q136" i="13"/>
  <c r="Q137" i="13"/>
  <c r="Q138" i="13"/>
  <c r="Q139" i="13"/>
  <c r="Q140" i="13"/>
  <c r="Q141" i="13"/>
  <c r="Q142" i="13"/>
  <c r="Q143" i="13"/>
  <c r="Q144" i="13"/>
  <c r="Q145" i="13"/>
  <c r="Q146" i="13"/>
  <c r="Q147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3" i="13"/>
  <c r="Q174" i="13"/>
  <c r="Q175" i="13"/>
  <c r="Q176" i="13"/>
  <c r="Q177" i="13"/>
  <c r="Q178" i="13"/>
  <c r="Q179" i="13"/>
  <c r="Q180" i="13"/>
  <c r="Q181" i="13"/>
  <c r="Q182" i="13"/>
  <c r="Q183" i="13"/>
  <c r="Q184" i="13"/>
  <c r="Q185" i="13"/>
  <c r="Q186" i="13"/>
  <c r="Q187" i="13"/>
  <c r="Q188" i="13"/>
  <c r="Q189" i="13"/>
  <c r="Q190" i="13"/>
  <c r="Q191" i="13"/>
  <c r="Q192" i="13"/>
  <c r="Q193" i="13"/>
  <c r="Q194" i="13"/>
  <c r="Q195" i="13"/>
  <c r="Q196" i="13"/>
  <c r="Q197" i="13"/>
  <c r="Q198" i="13"/>
  <c r="Q199" i="13"/>
  <c r="Q200" i="13"/>
  <c r="Q201" i="13"/>
  <c r="Q202" i="13"/>
  <c r="Q203" i="13"/>
  <c r="Q204" i="13"/>
  <c r="Q205" i="13"/>
  <c r="Q206" i="13"/>
  <c r="Q207" i="13"/>
  <c r="Q208" i="13"/>
  <c r="Q209" i="13"/>
  <c r="Q210" i="13"/>
  <c r="Q211" i="13"/>
  <c r="Q212" i="13"/>
  <c r="Q213" i="13"/>
  <c r="Q214" i="13"/>
  <c r="Q215" i="13"/>
  <c r="Q216" i="13"/>
  <c r="Q217" i="13"/>
  <c r="Q218" i="13"/>
  <c r="Q219" i="13"/>
  <c r="Q220" i="13"/>
  <c r="Q221" i="13"/>
  <c r="Q222" i="13"/>
  <c r="Q223" i="13"/>
  <c r="Q224" i="13"/>
  <c r="Q225" i="13"/>
  <c r="Q226" i="13"/>
  <c r="Q227" i="13"/>
  <c r="Q228" i="13"/>
  <c r="Q229" i="13"/>
  <c r="Q230" i="13"/>
  <c r="Q231" i="13"/>
  <c r="Q232" i="13"/>
  <c r="Q233" i="13"/>
  <c r="Q234" i="13"/>
  <c r="Q235" i="13"/>
  <c r="Q236" i="13"/>
  <c r="Q237" i="13"/>
  <c r="Q238" i="13"/>
  <c r="Q239" i="13"/>
  <c r="Q240" i="13"/>
  <c r="Q241" i="13"/>
  <c r="Q242" i="13"/>
  <c r="Q243" i="13"/>
  <c r="Q244" i="13"/>
  <c r="Q245" i="13"/>
  <c r="Q246" i="13"/>
  <c r="Q247" i="13"/>
  <c r="Q248" i="13"/>
  <c r="Q249" i="13"/>
  <c r="Q250" i="13"/>
  <c r="Q251" i="13"/>
  <c r="Q252" i="13"/>
  <c r="Q253" i="13"/>
  <c r="Q254" i="13"/>
  <c r="Q255" i="13"/>
  <c r="Q256" i="13"/>
  <c r="Q257" i="13"/>
  <c r="Q258" i="13"/>
  <c r="Q259" i="13"/>
  <c r="Q260" i="13"/>
  <c r="Q261" i="13"/>
  <c r="Q262" i="13"/>
  <c r="Q263" i="13"/>
  <c r="Q264" i="13"/>
  <c r="Q265" i="13"/>
  <c r="Q266" i="13"/>
  <c r="Q267" i="13"/>
  <c r="Q268" i="13"/>
  <c r="Q269" i="13"/>
  <c r="Q270" i="13"/>
  <c r="Q271" i="13"/>
  <c r="Q272" i="13"/>
  <c r="Q273" i="13"/>
  <c r="Q274" i="13"/>
  <c r="Q275" i="13"/>
  <c r="Q276" i="13"/>
  <c r="Q277" i="13"/>
  <c r="Q278" i="13"/>
  <c r="Q279" i="13"/>
  <c r="Q280" i="13"/>
  <c r="Q281" i="13"/>
  <c r="Q282" i="13"/>
  <c r="Q283" i="13"/>
  <c r="Q284" i="13"/>
  <c r="Q285" i="13"/>
  <c r="Q286" i="13"/>
  <c r="Q287" i="13"/>
  <c r="Q288" i="13"/>
  <c r="Q289" i="13"/>
  <c r="Q290" i="13"/>
  <c r="Q291" i="13"/>
  <c r="Q292" i="13"/>
  <c r="Q293" i="13"/>
  <c r="Q294" i="13"/>
  <c r="Q295" i="13"/>
  <c r="Q296" i="13"/>
  <c r="Q297" i="13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317" i="13"/>
  <c r="Q318" i="13"/>
  <c r="Q319" i="13"/>
  <c r="Q320" i="13"/>
  <c r="Q321" i="13"/>
  <c r="Q322" i="13"/>
  <c r="Q323" i="13"/>
  <c r="Q324" i="13"/>
  <c r="Q325" i="13"/>
  <c r="Q326" i="13"/>
  <c r="Q327" i="13"/>
  <c r="Q328" i="13"/>
  <c r="Q329" i="13"/>
  <c r="Q330" i="13"/>
  <c r="Q331" i="13"/>
  <c r="Q332" i="13"/>
  <c r="Q333" i="13"/>
  <c r="Q334" i="13"/>
  <c r="Q335" i="13"/>
  <c r="Q336" i="13"/>
  <c r="Q337" i="13"/>
  <c r="Q338" i="13"/>
  <c r="Q339" i="13"/>
  <c r="Q340" i="13"/>
  <c r="Q341" i="13"/>
  <c r="Q342" i="13"/>
  <c r="Q343" i="13"/>
  <c r="Q344" i="13"/>
  <c r="Q345" i="13"/>
  <c r="Q346" i="13"/>
  <c r="Q347" i="13"/>
  <c r="Q348" i="13"/>
  <c r="Q349" i="13"/>
  <c r="Q350" i="13"/>
  <c r="Q351" i="13"/>
  <c r="Q352" i="13"/>
  <c r="Q353" i="13"/>
  <c r="Q354" i="13"/>
  <c r="Q355" i="13"/>
  <c r="Q356" i="13"/>
  <c r="Q357" i="13"/>
  <c r="Q358" i="13"/>
  <c r="Q359" i="13"/>
  <c r="Q360" i="13"/>
  <c r="Q361" i="13"/>
  <c r="Q362" i="13"/>
  <c r="Q363" i="13"/>
  <c r="Q364" i="13"/>
  <c r="Q365" i="13"/>
  <c r="Q366" i="13"/>
  <c r="Q367" i="13"/>
  <c r="Q368" i="13"/>
  <c r="Q369" i="13"/>
  <c r="Q370" i="13"/>
  <c r="Q371" i="13"/>
  <c r="Q372" i="13"/>
  <c r="Q373" i="13"/>
  <c r="Q374" i="13"/>
  <c r="Q375" i="13"/>
  <c r="Q376" i="13"/>
  <c r="Q377" i="13"/>
  <c r="Q378" i="13"/>
  <c r="Q379" i="13"/>
  <c r="Q380" i="13"/>
  <c r="Q381" i="13"/>
  <c r="Q382" i="13"/>
  <c r="Q383" i="13"/>
  <c r="Q384" i="13"/>
  <c r="Q385" i="13"/>
  <c r="Q386" i="13"/>
  <c r="Q387" i="13"/>
  <c r="Q388" i="13"/>
  <c r="Q389" i="13"/>
  <c r="Q390" i="13"/>
  <c r="Q391" i="13"/>
  <c r="Q392" i="13"/>
  <c r="Q393" i="13"/>
  <c r="Q394" i="13"/>
  <c r="Q395" i="13"/>
  <c r="Q396" i="13"/>
  <c r="Q397" i="13"/>
  <c r="Q398" i="13"/>
  <c r="Q399" i="13"/>
  <c r="Q400" i="13"/>
  <c r="Q401" i="13"/>
  <c r="Q402" i="13"/>
  <c r="Q403" i="13"/>
  <c r="Q404" i="13"/>
  <c r="Q405" i="13"/>
  <c r="Q406" i="13"/>
  <c r="Q407" i="13"/>
  <c r="Q408" i="13"/>
  <c r="Q409" i="13"/>
  <c r="Q410" i="13"/>
  <c r="Q411" i="13"/>
  <c r="Q412" i="13"/>
  <c r="Q413" i="13"/>
  <c r="Q414" i="13"/>
  <c r="Q415" i="13"/>
  <c r="Q416" i="13"/>
  <c r="Q417" i="13"/>
  <c r="Q418" i="13"/>
  <c r="Q419" i="13"/>
  <c r="Q420" i="13"/>
  <c r="Q421" i="13"/>
  <c r="Q422" i="13"/>
  <c r="Q423" i="13"/>
  <c r="Q424" i="13"/>
  <c r="Q425" i="13"/>
  <c r="Q426" i="13"/>
  <c r="Q427" i="13"/>
  <c r="Q428" i="13"/>
  <c r="Q429" i="13"/>
  <c r="Q430" i="13"/>
  <c r="Q431" i="13"/>
  <c r="Q432" i="13"/>
  <c r="Q433" i="13"/>
  <c r="Q434" i="13"/>
  <c r="Q435" i="13"/>
  <c r="Q436" i="13"/>
  <c r="Q437" i="13"/>
  <c r="Q438" i="13"/>
  <c r="Q439" i="13"/>
  <c r="Q440" i="13"/>
  <c r="Q441" i="13"/>
  <c r="Q442" i="13"/>
  <c r="Q443" i="13"/>
  <c r="Q444" i="13"/>
  <c r="Q445" i="13"/>
  <c r="Q446" i="13"/>
  <c r="Q447" i="13"/>
  <c r="Q448" i="13"/>
  <c r="Q449" i="13"/>
  <c r="Q450" i="13"/>
  <c r="Q451" i="13"/>
  <c r="Q452" i="13"/>
  <c r="Q453" i="13"/>
  <c r="Q454" i="13"/>
  <c r="Q455" i="13"/>
  <c r="Q456" i="13"/>
  <c r="Q457" i="13"/>
  <c r="Q458" i="13"/>
  <c r="Q459" i="13"/>
  <c r="Q460" i="13"/>
  <c r="Q461" i="13"/>
  <c r="Q462" i="13"/>
  <c r="Q463" i="13"/>
  <c r="Q464" i="13"/>
  <c r="Q465" i="13"/>
  <c r="Q466" i="13"/>
  <c r="Q467" i="13"/>
  <c r="Q468" i="13"/>
  <c r="Q469" i="13"/>
  <c r="Q470" i="13"/>
  <c r="Q471" i="13"/>
  <c r="Q472" i="13"/>
  <c r="Q473" i="13"/>
  <c r="Q474" i="13"/>
  <c r="Q475" i="13"/>
  <c r="Q476" i="13"/>
  <c r="Q477" i="13"/>
  <c r="Q478" i="13"/>
  <c r="Q479" i="13"/>
  <c r="Q480" i="13"/>
  <c r="Q481" i="13"/>
  <c r="Q482" i="13"/>
  <c r="Q483" i="13"/>
  <c r="Q484" i="13"/>
  <c r="Q485" i="13"/>
  <c r="Q486" i="13"/>
  <c r="Q487" i="13"/>
  <c r="Q488" i="13"/>
  <c r="Q489" i="13"/>
  <c r="Q490" i="13"/>
  <c r="Q491" i="13"/>
  <c r="Q492" i="13"/>
  <c r="Q493" i="13"/>
  <c r="Q494" i="13"/>
  <c r="Q495" i="13"/>
  <c r="Q496" i="13"/>
  <c r="Q497" i="13"/>
  <c r="Q498" i="13"/>
  <c r="Q499" i="13"/>
  <c r="Q500" i="13"/>
  <c r="Q501" i="13"/>
  <c r="Q502" i="13"/>
  <c r="Q503" i="13"/>
  <c r="Q504" i="13"/>
  <c r="Q505" i="13"/>
  <c r="Q506" i="13"/>
  <c r="Q507" i="13"/>
  <c r="Q508" i="13"/>
  <c r="Q509" i="13"/>
  <c r="Q510" i="13"/>
  <c r="Q511" i="13"/>
  <c r="Q512" i="13"/>
  <c r="Q513" i="13"/>
  <c r="Q514" i="13"/>
  <c r="Q515" i="13"/>
  <c r="Q516" i="13"/>
  <c r="Q517" i="13"/>
  <c r="Q518" i="13"/>
  <c r="Q519" i="13"/>
  <c r="Q520" i="13"/>
  <c r="Q521" i="13"/>
  <c r="Q522" i="13"/>
  <c r="Q523" i="13"/>
  <c r="Q524" i="13"/>
  <c r="Q525" i="13"/>
  <c r="Q526" i="13"/>
  <c r="Q527" i="13"/>
  <c r="Q528" i="13"/>
  <c r="Q529" i="13"/>
  <c r="Q530" i="13"/>
  <c r="Q531" i="13"/>
  <c r="Q532" i="13"/>
  <c r="Q533" i="13"/>
  <c r="Q534" i="13"/>
  <c r="Q535" i="13"/>
  <c r="Q536" i="13"/>
  <c r="Q537" i="13"/>
  <c r="Q538" i="13"/>
  <c r="Q539" i="13"/>
  <c r="Q540" i="13"/>
  <c r="Q541" i="13"/>
  <c r="Q542" i="13"/>
  <c r="Q543" i="13"/>
  <c r="Q544" i="13"/>
  <c r="Q545" i="13"/>
  <c r="Q546" i="13"/>
  <c r="Q547" i="13"/>
  <c r="Q548" i="13"/>
  <c r="Q549" i="13"/>
  <c r="Q550" i="13"/>
  <c r="Q551" i="13"/>
  <c r="Q552" i="13"/>
  <c r="Q553" i="13"/>
  <c r="Q554" i="13"/>
  <c r="Q555" i="13"/>
  <c r="Q556" i="13"/>
  <c r="Q557" i="13"/>
  <c r="Q558" i="13"/>
  <c r="Q559" i="13"/>
  <c r="Q560" i="13"/>
  <c r="Q561" i="13"/>
  <c r="Q562" i="13"/>
  <c r="Q563" i="13"/>
  <c r="Q564" i="13"/>
  <c r="Q565" i="13"/>
  <c r="Q566" i="13"/>
  <c r="Q567" i="13"/>
  <c r="Q568" i="13"/>
  <c r="Q569" i="13"/>
  <c r="Q570" i="13"/>
  <c r="Q571" i="13"/>
  <c r="Q572" i="13"/>
  <c r="Q573" i="13"/>
  <c r="Q574" i="13"/>
  <c r="Q75" i="10" l="1"/>
  <c r="Q74" i="10"/>
  <c r="Q73" i="10"/>
  <c r="L64" i="10" l="1"/>
  <c r="N64" i="10" s="1"/>
  <c r="L62" i="10"/>
  <c r="N62" i="10" s="1"/>
  <c r="L60" i="10"/>
  <c r="N60" i="10" s="1"/>
  <c r="Q137" i="10"/>
  <c r="A83" i="10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8" i="10" s="1"/>
  <c r="A99" i="10" s="1"/>
  <c r="A100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J81" i="10"/>
  <c r="H81" i="10"/>
  <c r="E16" i="10"/>
  <c r="L231" i="8"/>
  <c r="I231" i="8"/>
  <c r="O231" i="8" s="1"/>
  <c r="L228" i="8"/>
  <c r="I228" i="8"/>
  <c r="O228" i="8" s="1"/>
  <c r="O227" i="8"/>
  <c r="L227" i="8"/>
  <c r="I227" i="8"/>
  <c r="L226" i="8"/>
  <c r="I226" i="8"/>
  <c r="I229" i="8" s="1"/>
  <c r="L222" i="8"/>
  <c r="I222" i="8"/>
  <c r="O222" i="8" s="1"/>
  <c r="O221" i="8"/>
  <c r="L221" i="8"/>
  <c r="I221" i="8"/>
  <c r="L220" i="8"/>
  <c r="O220" i="8" s="1"/>
  <c r="I220" i="8"/>
  <c r="L219" i="8"/>
  <c r="I219" i="8"/>
  <c r="L218" i="8"/>
  <c r="I218" i="8"/>
  <c r="L217" i="8"/>
  <c r="I217" i="8"/>
  <c r="I223" i="8" s="1"/>
  <c r="L214" i="8"/>
  <c r="O214" i="8" s="1"/>
  <c r="I214" i="8"/>
  <c r="L207" i="8"/>
  <c r="I207" i="8"/>
  <c r="O207" i="8" s="1"/>
  <c r="L206" i="8"/>
  <c r="I206" i="8"/>
  <c r="L205" i="8"/>
  <c r="I205" i="8"/>
  <c r="L204" i="8"/>
  <c r="I204" i="8"/>
  <c r="O204" i="8" s="1"/>
  <c r="O203" i="8"/>
  <c r="L203" i="8"/>
  <c r="I203" i="8"/>
  <c r="L202" i="8"/>
  <c r="I202" i="8"/>
  <c r="L201" i="8"/>
  <c r="I201" i="8"/>
  <c r="L200" i="8"/>
  <c r="I200" i="8"/>
  <c r="O200" i="8" s="1"/>
  <c r="O199" i="8"/>
  <c r="L199" i="8"/>
  <c r="I199" i="8"/>
  <c r="L198" i="8"/>
  <c r="O198" i="8" s="1"/>
  <c r="I198" i="8"/>
  <c r="L197" i="8"/>
  <c r="I197" i="8"/>
  <c r="O197" i="8" s="1"/>
  <c r="L196" i="8"/>
  <c r="L208" i="8" s="1"/>
  <c r="I196" i="8"/>
  <c r="Q189" i="8"/>
  <c r="G186" i="8"/>
  <c r="G185" i="8"/>
  <c r="H184" i="8"/>
  <c r="A184" i="8"/>
  <c r="L180" i="8"/>
  <c r="I180" i="8"/>
  <c r="O180" i="8" s="1"/>
  <c r="L179" i="8"/>
  <c r="I179" i="8"/>
  <c r="O179" i="8" s="1"/>
  <c r="L178" i="8"/>
  <c r="I178" i="8"/>
  <c r="O178" i="8" s="1"/>
  <c r="L177" i="8"/>
  <c r="I177" i="8"/>
  <c r="I181" i="8" s="1"/>
  <c r="L173" i="8"/>
  <c r="I173" i="8"/>
  <c r="O173" i="8" s="1"/>
  <c r="L172" i="8"/>
  <c r="I172" i="8"/>
  <c r="O172" i="8" s="1"/>
  <c r="L171" i="8"/>
  <c r="I171" i="8"/>
  <c r="L170" i="8"/>
  <c r="I170" i="8"/>
  <c r="L166" i="8"/>
  <c r="I166" i="8"/>
  <c r="O166" i="8" s="1"/>
  <c r="L165" i="8"/>
  <c r="O165" i="8" s="1"/>
  <c r="I165" i="8"/>
  <c r="L164" i="8"/>
  <c r="I164" i="8"/>
  <c r="O164" i="8" s="1"/>
  <c r="L163" i="8"/>
  <c r="I163" i="8"/>
  <c r="L162" i="8"/>
  <c r="I162" i="8"/>
  <c r="O162" i="8" s="1"/>
  <c r="L157" i="8"/>
  <c r="I157" i="8"/>
  <c r="O157" i="8" s="1"/>
  <c r="O156" i="8"/>
  <c r="L156" i="8"/>
  <c r="I156" i="8"/>
  <c r="L155" i="8"/>
  <c r="O155" i="8" s="1"/>
  <c r="I155" i="8"/>
  <c r="L154" i="8"/>
  <c r="I154" i="8"/>
  <c r="O154" i="8" s="1"/>
  <c r="L153" i="8"/>
  <c r="I153" i="8"/>
  <c r="L152" i="8"/>
  <c r="I152" i="8"/>
  <c r="L151" i="8"/>
  <c r="O151" i="8" s="1"/>
  <c r="I151" i="8"/>
  <c r="L150" i="8"/>
  <c r="I150" i="8"/>
  <c r="O150" i="8" s="1"/>
  <c r="L149" i="8"/>
  <c r="I149" i="8"/>
  <c r="O149" i="8" s="1"/>
  <c r="L146" i="8"/>
  <c r="I146" i="8"/>
  <c r="L145" i="8"/>
  <c r="I145" i="8"/>
  <c r="L144" i="8"/>
  <c r="I144" i="8"/>
  <c r="O144" i="8" s="1"/>
  <c r="O143" i="8"/>
  <c r="L143" i="8"/>
  <c r="I143" i="8"/>
  <c r="L142" i="8"/>
  <c r="O142" i="8" s="1"/>
  <c r="I142" i="8"/>
  <c r="L141" i="8"/>
  <c r="I141" i="8"/>
  <c r="L140" i="8"/>
  <c r="I140" i="8"/>
  <c r="L139" i="8"/>
  <c r="I139" i="8"/>
  <c r="O139" i="8" s="1"/>
  <c r="L138" i="8"/>
  <c r="O138" i="8" s="1"/>
  <c r="I138" i="8"/>
  <c r="L137" i="8"/>
  <c r="I137" i="8"/>
  <c r="Q128" i="8"/>
  <c r="G125" i="8"/>
  <c r="G124" i="8"/>
  <c r="H123" i="8"/>
  <c r="A123" i="8"/>
  <c r="L106" i="8"/>
  <c r="I106" i="8"/>
  <c r="O106" i="8" s="1"/>
  <c r="O105" i="8"/>
  <c r="L105" i="8"/>
  <c r="I105" i="8"/>
  <c r="L104" i="8"/>
  <c r="I104" i="8"/>
  <c r="L103" i="8"/>
  <c r="L107" i="8" s="1"/>
  <c r="I103" i="8"/>
  <c r="L102" i="8"/>
  <c r="I102" i="8"/>
  <c r="O102" i="8" s="1"/>
  <c r="O101" i="8"/>
  <c r="L101" i="8"/>
  <c r="I101" i="8"/>
  <c r="L97" i="8"/>
  <c r="I97" i="8"/>
  <c r="O97" i="8" s="1"/>
  <c r="L96" i="8"/>
  <c r="I96" i="8"/>
  <c r="O95" i="8"/>
  <c r="L95" i="8"/>
  <c r="I95" i="8"/>
  <c r="L94" i="8"/>
  <c r="I94" i="8"/>
  <c r="O94" i="8" s="1"/>
  <c r="L93" i="8"/>
  <c r="I93" i="8"/>
  <c r="O93" i="8" s="1"/>
  <c r="L92" i="8"/>
  <c r="I92" i="8"/>
  <c r="L91" i="8"/>
  <c r="I91" i="8"/>
  <c r="O90" i="8"/>
  <c r="L90" i="8"/>
  <c r="I90" i="8"/>
  <c r="L84" i="8"/>
  <c r="I84" i="8"/>
  <c r="O84" i="8" s="1"/>
  <c r="L83" i="8"/>
  <c r="I83" i="8"/>
  <c r="L82" i="8"/>
  <c r="I82" i="8"/>
  <c r="L81" i="8"/>
  <c r="I81" i="8"/>
  <c r="O81" i="8" s="1"/>
  <c r="L80" i="8"/>
  <c r="I80" i="8"/>
  <c r="O80" i="8" s="1"/>
  <c r="O79" i="8"/>
  <c r="L79" i="8"/>
  <c r="I79" i="8"/>
  <c r="L78" i="8"/>
  <c r="I78" i="8"/>
  <c r="L77" i="8"/>
  <c r="I77" i="8"/>
  <c r="O77" i="8" s="1"/>
  <c r="L76" i="8"/>
  <c r="I76" i="8"/>
  <c r="O76" i="8" s="1"/>
  <c r="L75" i="8"/>
  <c r="I75" i="8"/>
  <c r="O75" i="8" s="1"/>
  <c r="Q67" i="8"/>
  <c r="G64" i="8"/>
  <c r="G63" i="8"/>
  <c r="H62" i="8"/>
  <c r="A62" i="8"/>
  <c r="Q61" i="8"/>
  <c r="A61" i="8"/>
  <c r="O51" i="8"/>
  <c r="L51" i="8"/>
  <c r="I51" i="8"/>
  <c r="L50" i="8"/>
  <c r="I50" i="8"/>
  <c r="O50" i="8" s="1"/>
  <c r="L49" i="8"/>
  <c r="I49" i="8"/>
  <c r="L48" i="8"/>
  <c r="I48" i="8"/>
  <c r="L47" i="8"/>
  <c r="I47" i="8"/>
  <c r="O46" i="8"/>
  <c r="L46" i="8"/>
  <c r="I46" i="8"/>
  <c r="L45" i="8"/>
  <c r="I45" i="8"/>
  <c r="L42" i="8"/>
  <c r="I42" i="8"/>
  <c r="O42" i="8" s="1"/>
  <c r="L41" i="8"/>
  <c r="O41" i="8" s="1"/>
  <c r="I41" i="8"/>
  <c r="L40" i="8"/>
  <c r="I40" i="8"/>
  <c r="L39" i="8"/>
  <c r="I39" i="8"/>
  <c r="L38" i="8"/>
  <c r="I38" i="8"/>
  <c r="O38" i="8" s="1"/>
  <c r="L33" i="8"/>
  <c r="I33" i="8"/>
  <c r="O33" i="8" s="1"/>
  <c r="L32" i="8"/>
  <c r="I32" i="8"/>
  <c r="L31" i="8"/>
  <c r="I31" i="8"/>
  <c r="O31" i="8" s="1"/>
  <c r="L30" i="8"/>
  <c r="I30" i="8"/>
  <c r="O30" i="8" s="1"/>
  <c r="L29" i="8"/>
  <c r="L34" i="8" s="1"/>
  <c r="I29" i="8"/>
  <c r="L26" i="8"/>
  <c r="I26" i="8"/>
  <c r="O26" i="8" s="1"/>
  <c r="L25" i="8"/>
  <c r="I25" i="8"/>
  <c r="O25" i="8" s="1"/>
  <c r="L24" i="8"/>
  <c r="I24" i="8"/>
  <c r="L23" i="8"/>
  <c r="I23" i="8"/>
  <c r="O23" i="8" s="1"/>
  <c r="O22" i="8"/>
  <c r="L22" i="8"/>
  <c r="I22" i="8"/>
  <c r="L21" i="8"/>
  <c r="O21" i="8" s="1"/>
  <c r="I21" i="8"/>
  <c r="L20" i="8"/>
  <c r="I20" i="8"/>
  <c r="L19" i="8"/>
  <c r="I19" i="8"/>
  <c r="L13" i="8"/>
  <c r="I13" i="8"/>
  <c r="O13" i="8" s="1"/>
  <c r="Q106" i="1"/>
  <c r="A67" i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J65" i="1"/>
  <c r="H65" i="1"/>
  <c r="J32" i="1"/>
  <c r="H32" i="1"/>
  <c r="L32" i="1" s="1"/>
  <c r="N32" i="1" s="1"/>
  <c r="J30" i="1"/>
  <c r="H30" i="1"/>
  <c r="J28" i="1"/>
  <c r="H28" i="1"/>
  <c r="J26" i="1"/>
  <c r="H26" i="1"/>
  <c r="J24" i="1"/>
  <c r="H24" i="1"/>
  <c r="J22" i="1"/>
  <c r="J20" i="1"/>
  <c r="J18" i="1"/>
  <c r="H18" i="1"/>
  <c r="J16" i="1"/>
  <c r="H16" i="1"/>
  <c r="J14" i="1"/>
  <c r="E14" i="1"/>
  <c r="L16" i="1" l="1"/>
  <c r="N16" i="1" s="1"/>
  <c r="L30" i="1"/>
  <c r="N30" i="1" s="1"/>
  <c r="L22" i="10"/>
  <c r="N22" i="10" s="1"/>
  <c r="L18" i="1"/>
  <c r="N18" i="1" s="1"/>
  <c r="L24" i="1"/>
  <c r="N24" i="1" s="1"/>
  <c r="L28" i="1"/>
  <c r="N28" i="1" s="1"/>
  <c r="L26" i="1"/>
  <c r="N26" i="1" s="1"/>
  <c r="L58" i="10"/>
  <c r="N58" i="10" s="1"/>
  <c r="L56" i="10"/>
  <c r="N56" i="10" s="1"/>
  <c r="L54" i="10"/>
  <c r="N54" i="10" s="1"/>
  <c r="O32" i="8"/>
  <c r="O39" i="8"/>
  <c r="O47" i="8"/>
  <c r="O82" i="8"/>
  <c r="L98" i="8"/>
  <c r="L108" i="8" s="1"/>
  <c r="O91" i="8"/>
  <c r="O145" i="8"/>
  <c r="O152" i="8"/>
  <c r="I158" i="8"/>
  <c r="O158" i="8" s="1"/>
  <c r="O163" i="8"/>
  <c r="O171" i="8"/>
  <c r="O177" i="8"/>
  <c r="O201" i="8"/>
  <c r="O206" i="8"/>
  <c r="O217" i="8"/>
  <c r="L223" i="8"/>
  <c r="O19" i="8"/>
  <c r="L43" i="8"/>
  <c r="O45" i="8"/>
  <c r="O48" i="8"/>
  <c r="O92" i="8"/>
  <c r="O140" i="8"/>
  <c r="O153" i="8"/>
  <c r="L167" i="8"/>
  <c r="O196" i="8"/>
  <c r="O205" i="8"/>
  <c r="O218" i="8"/>
  <c r="L85" i="8"/>
  <c r="O83" i="8"/>
  <c r="I98" i="8"/>
  <c r="I108" i="8" s="1"/>
  <c r="O96" i="8"/>
  <c r="O104" i="8"/>
  <c r="O141" i="8"/>
  <c r="O146" i="8"/>
  <c r="L181" i="8"/>
  <c r="O202" i="8"/>
  <c r="O219" i="8"/>
  <c r="O49" i="8"/>
  <c r="I52" i="8"/>
  <c r="O78" i="8"/>
  <c r="H14" i="1"/>
  <c r="L14" i="1" s="1"/>
  <c r="N14" i="1" s="1"/>
  <c r="H20" i="1"/>
  <c r="L20" i="1" s="1"/>
  <c r="N20" i="1" s="1"/>
  <c r="H22" i="1"/>
  <c r="L22" i="1" s="1"/>
  <c r="N22" i="1" s="1"/>
  <c r="I147" i="8"/>
  <c r="O137" i="8"/>
  <c r="O103" i="8"/>
  <c r="I107" i="8"/>
  <c r="O107" i="8" s="1"/>
  <c r="O24" i="8"/>
  <c r="I27" i="8"/>
  <c r="O40" i="8"/>
  <c r="I43" i="8"/>
  <c r="O43" i="8" s="1"/>
  <c r="A183" i="8"/>
  <c r="A122" i="8"/>
  <c r="L147" i="8"/>
  <c r="O170" i="8"/>
  <c r="L229" i="8"/>
  <c r="O226" i="8"/>
  <c r="L27" i="8"/>
  <c r="I34" i="8"/>
  <c r="O34" i="8" s="1"/>
  <c r="O29" i="8"/>
  <c r="Q183" i="8"/>
  <c r="Q122" i="8"/>
  <c r="I85" i="8"/>
  <c r="L158" i="8"/>
  <c r="L174" i="8"/>
  <c r="I174" i="8"/>
  <c r="O174" i="8" s="1"/>
  <c r="O20" i="8"/>
  <c r="L52" i="8"/>
  <c r="L86" i="8" s="1"/>
  <c r="O181" i="8"/>
  <c r="O223" i="8"/>
  <c r="O229" i="8"/>
  <c r="I167" i="8"/>
  <c r="I208" i="8"/>
  <c r="O98" i="8" l="1"/>
  <c r="O167" i="8"/>
  <c r="O85" i="8"/>
  <c r="I86" i="8"/>
  <c r="O86" i="8" s="1"/>
  <c r="L159" i="8"/>
  <c r="L212" i="8" s="1"/>
  <c r="L233" i="8" s="1"/>
  <c r="L235" i="8" s="1"/>
  <c r="O208" i="8"/>
  <c r="O27" i="8"/>
  <c r="I159" i="8"/>
  <c r="O159" i="8" s="1"/>
  <c r="O147" i="8"/>
  <c r="O52" i="8"/>
  <c r="I212" i="8" l="1"/>
  <c r="O212" i="8" s="1"/>
  <c r="I233" i="8" l="1"/>
  <c r="O233" i="8" s="1"/>
  <c r="I235" i="8"/>
  <c r="O235" i="8" s="1"/>
  <c r="P65" i="1" l="1"/>
  <c r="P1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Djak, Sarah L.</author>
  </authors>
  <commentList>
    <comment ref="I233" authorId="0" shapeId="0" xr:uid="{6649C638-C516-4225-ACE9-6330D74723AA}">
      <text>
        <r>
          <rPr>
            <b/>
            <sz val="9"/>
            <color indexed="81"/>
            <rFont val="Tahoma"/>
            <family val="2"/>
          </rPr>
          <t>Djak, Sarah L.:</t>
        </r>
        <r>
          <rPr>
            <sz val="9"/>
            <color indexed="81"/>
            <rFont val="Tahoma"/>
            <family val="2"/>
          </rPr>
          <t xml:space="preserve">
This number should tie to the surv. Report schedule 2 2 of 3</t>
        </r>
      </text>
    </comment>
  </commentList>
</comments>
</file>

<file path=xl/sharedStrings.xml><?xml version="1.0" encoding="utf-8"?>
<sst xmlns="http://schemas.openxmlformats.org/spreadsheetml/2006/main" count="13158" uniqueCount="3676">
  <si>
    <t>SCHEDULE C-8</t>
  </si>
  <si>
    <t>DETAIL OF CHANGES IN EXPENSES</t>
  </si>
  <si>
    <t>Page 1 of 2</t>
  </si>
  <si>
    <t>FLORIDA PUBLIC SERVICE COMMISSION</t>
  </si>
  <si>
    <t>EXPLANATION:</t>
  </si>
  <si>
    <t>Provide the changes in primary accounts that exceed 1/20th of one percent (.0005) of total operating expenses</t>
  </si>
  <si>
    <t xml:space="preserve">       Type of data shown:</t>
  </si>
  <si>
    <t>and ten percent from the prior year to the test year.  Quantify each  reason for the change.</t>
  </si>
  <si>
    <t>XX</t>
  </si>
  <si>
    <t>Projected Test Year Ended 12/31/2022</t>
  </si>
  <si>
    <t>COMPANY: TAMPA ELECTRIC COMPANY</t>
  </si>
  <si>
    <t/>
  </si>
  <si>
    <t>Projected Prior Year Ended 12/31/2021</t>
  </si>
  <si>
    <t>Historical Prior Year Ended 12/31/2020</t>
  </si>
  <si>
    <t>Witness: A.S. Lewis /D. Pickles/ R.B. Haines/</t>
  </si>
  <si>
    <t>DOCKET No. 20210034-EI</t>
  </si>
  <si>
    <t>(Dollars in 000's)</t>
  </si>
  <si>
    <t xml:space="preserve">                J. C. Heisey/ M. C. Cacciatore</t>
  </si>
  <si>
    <t>(1)</t>
  </si>
  <si>
    <t>(2)</t>
  </si>
  <si>
    <t>(3)</t>
  </si>
  <si>
    <t>(4)</t>
  </si>
  <si>
    <t>(5)</t>
  </si>
  <si>
    <t>(6)</t>
  </si>
  <si>
    <t>(7)</t>
  </si>
  <si>
    <t>(8)</t>
  </si>
  <si>
    <t>Increase / (Decrease)</t>
  </si>
  <si>
    <t>&gt;10% and Exceeds</t>
  </si>
  <si>
    <t>Test Year</t>
  </si>
  <si>
    <t>Prior Year</t>
  </si>
  <si>
    <t>Dollars</t>
  </si>
  <si>
    <t>Percent</t>
  </si>
  <si>
    <t xml:space="preserve">0.0005 of </t>
  </si>
  <si>
    <t>Line</t>
  </si>
  <si>
    <t>Account</t>
  </si>
  <si>
    <t>Ended</t>
  </si>
  <si>
    <t>(3)-(4)</t>
  </si>
  <si>
    <t>(5)/(4)</t>
  </si>
  <si>
    <t>Total Expense</t>
  </si>
  <si>
    <t>No.</t>
  </si>
  <si>
    <t>Number</t>
  </si>
  <si>
    <t>12/31/2022</t>
  </si>
  <si>
    <t>12/31/2021</t>
  </si>
  <si>
    <t>($)</t>
  </si>
  <si>
    <t>(%)</t>
  </si>
  <si>
    <t>Reason(s) for Change</t>
  </si>
  <si>
    <t>Yes</t>
  </si>
  <si>
    <t>See Note 1</t>
  </si>
  <si>
    <t>Accounts were picked based on work in tab "C-4 (2022)" in columns U-AC</t>
  </si>
  <si>
    <t>Purchased Power</t>
  </si>
  <si>
    <t>Deferred Clause</t>
  </si>
  <si>
    <t>Fuel</t>
  </si>
  <si>
    <t>Amortization Deferred Fuel</t>
  </si>
  <si>
    <t>ECCR</t>
  </si>
  <si>
    <t>Amortization Deferred ECCR</t>
  </si>
  <si>
    <t>SPPCRC</t>
  </si>
  <si>
    <t>Amortization Deferred SPPCRC</t>
  </si>
  <si>
    <t>Capacity</t>
  </si>
  <si>
    <t>Credit Deferred Capacity</t>
  </si>
  <si>
    <t>Environmental</t>
  </si>
  <si>
    <t>Credit Deferred Environmental</t>
  </si>
  <si>
    <t>Credit Deferred SPPCRC</t>
  </si>
  <si>
    <t>Uncollectible Accts</t>
  </si>
  <si>
    <t>Property Insurance</t>
  </si>
  <si>
    <t>Note:  The FERC accounts exclude recoverable clause.</t>
  </si>
  <si>
    <t>Supporting Schedules:</t>
  </si>
  <si>
    <t>Recap Schedules: C-4</t>
  </si>
  <si>
    <t>Page 2 of 2</t>
  </si>
  <si>
    <t>Witness: A.S. Lewis/D. Pickles/R.B. Haines/</t>
  </si>
  <si>
    <t>Note 1:</t>
  </si>
  <si>
    <t>More fuel costs are allocated to 547 because steam unit Big Bend 2 will be replaced by CT 5 and 6 in October 2021, reducing 2022 501 charges.</t>
  </si>
  <si>
    <t>Decreased charges are due to reduced projected power purchases in 2022, due to the increased generation from natural gas and solar units.</t>
  </si>
  <si>
    <t>Reduced amortization of projected under-recovery in the Fuel Clause is due to lower projected year end balances for 2020 and 2021.</t>
  </si>
  <si>
    <t>No amortization of prior period under-recovery in 2022 due to projected over-recovery balance for prior period (2021).</t>
  </si>
  <si>
    <t xml:space="preserve">Increased monthly under-recovery in Capacity clause is caused by the projection of high Firm Purchases in January and February 2021. </t>
  </si>
  <si>
    <t>Decrease in under-recovery was primarily due to higher revenues offsetting higher capital investment costs.</t>
  </si>
  <si>
    <t>Increase in under-recovery was primarily due to greater capital investment costs, not fully offset by higher revenues.</t>
  </si>
  <si>
    <r>
      <t>Due to the impacts of COVID, the 2021 projects higher Bad Debt expenses. This is driven by the agile resume dunning efforts through 1</t>
    </r>
    <r>
      <rPr>
        <i/>
        <vertAlign val="superscript"/>
        <sz val="8"/>
        <rFont val="Arial"/>
        <family val="2"/>
      </rPr>
      <t>st</t>
    </r>
    <r>
      <rPr>
        <i/>
        <sz val="8"/>
        <rFont val="Arial"/>
        <family val="2"/>
      </rPr>
      <t xml:space="preserve"> Quarter 2021. </t>
    </r>
  </si>
  <si>
    <t>The year is projected to stabilize to historical trend and position us to see 2022 more in line with the company average.</t>
  </si>
  <si>
    <t>Primarily driven by the Property Damage policy that’s 2.1M higher in 2022, offset by lower expected solar policies in 2022 by 542k [this is due to the fact 2021 solar had</t>
  </si>
  <si>
    <t>a $2M challenge and 2022 had a $4M challenge]. The challenge is offsetting the $1.5 expected higher costs related to the solar policies in 2022.</t>
  </si>
  <si>
    <t>Projected Test Year Ended 12/31/2025</t>
  </si>
  <si>
    <t>Projected Prior Year Ended 12/31/2024</t>
  </si>
  <si>
    <t>Historical Prior Year Ended 12/31/2023</t>
  </si>
  <si>
    <t>DOCKET No.</t>
  </si>
  <si>
    <t>12/31/2025</t>
  </si>
  <si>
    <t>12/31/2024</t>
  </si>
  <si>
    <t xml:space="preserve">Boiler Plant </t>
  </si>
  <si>
    <t>Maint. Generating &amp; Electric Equip</t>
  </si>
  <si>
    <t>System Control and Load Dispatching</t>
  </si>
  <si>
    <t>Transmission Maint of overhead lines</t>
  </si>
  <si>
    <t>Misc Distribution Expenses</t>
  </si>
  <si>
    <t xml:space="preserve">Distribution Maint of Underground lines </t>
  </si>
  <si>
    <t>Customer Assistance Expenses</t>
  </si>
  <si>
    <t xml:space="preserve">Cust. Svc Informational &amp; Instructional Advertising </t>
  </si>
  <si>
    <t>Office Supplies Expense</t>
  </si>
  <si>
    <t xml:space="preserve">Property Insurance </t>
  </si>
  <si>
    <t xml:space="preserve">Regulatory Commission Expenses </t>
  </si>
  <si>
    <t>Defd Fuel and Purchase Power</t>
  </si>
  <si>
    <t>Defd Fuel and Purchase Power Amort.</t>
  </si>
  <si>
    <t>Defd Capacity - Amort</t>
  </si>
  <si>
    <t>Defd conservation Electric</t>
  </si>
  <si>
    <t>Defd SPPCRC</t>
  </si>
  <si>
    <t>Tax Reform</t>
  </si>
  <si>
    <t xml:space="preserve">Depreciation Expense </t>
  </si>
  <si>
    <t>Amortization of Limited-Term Electric Plan</t>
  </si>
  <si>
    <t xml:space="preserve">Amortiz Elec Prop Loss Unrecv Plant </t>
  </si>
  <si>
    <t>Income Taxes - Utility operating Income</t>
  </si>
  <si>
    <t xml:space="preserve">Provision for Defd Income taxes </t>
  </si>
  <si>
    <t xml:space="preserve">Investment Tax Credit Adjustment </t>
  </si>
  <si>
    <t>This variance is not part of FPSC Adjusted Operating Expenses - Recovery Clause.</t>
  </si>
  <si>
    <t>The variance Is mainly driven by the Big Bend 4 Major Outage in 2025.</t>
  </si>
  <si>
    <t>The variance Is mainly driven by Polk 2 and Bayside 1 Major Outages in 2025.</t>
  </si>
  <si>
    <t>The variance is mainly driven by a transmission System Operations budget adjustment intended for FERC 571 accounted for in FERC 556.</t>
  </si>
  <si>
    <t>The variance is mainly driven by a transmission System Operations budget adjustment accounted in FERC 556 intended for FERC 571.</t>
  </si>
  <si>
    <t xml:space="preserve">The variance is mainly driven by the budget process within distribution expenses.  In 2024 costs were assigned to multiple accounts within distribution operations. </t>
  </si>
  <si>
    <t xml:space="preserve"> In 2025 those costs were accounted for in 588 which is consistent with the budgets provided in MFR C-06. </t>
  </si>
  <si>
    <t>The variance is mainly driven by the budget process within distribution expenses.  In 2024 costs were assigned to multiple accounts within</t>
  </si>
  <si>
    <t xml:space="preserve"> distribution operations and maintenance.  In 2025 those costs were accounted for in 588 which is consistent with the budgets provided in MFR C-06. </t>
  </si>
  <si>
    <t>The variance is mainly driven by the new conservation DSM program which does not impact net operating expenses as it is adjusted out for FPSC purposes.</t>
  </si>
  <si>
    <t>The variance is mainly driven by increased customer education expense and instructional advertising.</t>
  </si>
  <si>
    <t xml:space="preserve">The variance is mainly driven by expected cost control within the administrative and general function. </t>
  </si>
  <si>
    <t>The variance is mainly driven by the storm recovery expenses embedded in 2024 which are offset in operating revenues.</t>
  </si>
  <si>
    <t>The variance  is due to the additional rate case expenses related to the 2024 rate case.</t>
  </si>
  <si>
    <t>Defd Fuel and Pruchase Power</t>
  </si>
  <si>
    <t>The variance is mainly driven by the deferral of the PTC benefit in 2024 with 10 year amortization beginning in 2025.</t>
  </si>
  <si>
    <t>The variance is mainly driven by the implementation of new depreciation rates coupled with additional assets in service as we continue to grow rate base.</t>
  </si>
  <si>
    <t>The variance is mainly driven by additional assets in service as we continue to grow rate base.</t>
  </si>
  <si>
    <t>This variance is not part of FPSC Adjusted Operating Expenses - Recovery Mechanism.</t>
  </si>
  <si>
    <t xml:space="preserve">The variance is mainly driven by  a decrease in pre-tax book income, reduction in unfavorable temporary book-tax differences, and ability to utilize net operating losses in 2025. </t>
  </si>
  <si>
    <t>The variance is mainly driven by the reduction in unfavorable temporary book-tax differences.</t>
  </si>
  <si>
    <t>The variance is mainly driven by additional investment tax credits and deferred ITCs generated in 2025 related to battery storage projects.</t>
  </si>
  <si>
    <t>Select Category&gt;&gt;&gt;</t>
  </si>
  <si>
    <t>FCST_0_12</t>
  </si>
  <si>
    <t>Select Entity&gt;&gt;&gt;</t>
  </si>
  <si>
    <t>E_2201</t>
  </si>
  <si>
    <t>Select Time&gt;&gt;&gt;</t>
  </si>
  <si>
    <t>2024.TOTAL</t>
  </si>
  <si>
    <t>Suppres Zeros&gt;&gt;&gt;</t>
  </si>
  <si>
    <t>NO</t>
  </si>
  <si>
    <t>TRIAL BALANCE BASE ACCOUNTS</t>
  </si>
  <si>
    <t>COST/PROFIT</t>
  </si>
  <si>
    <t>COST</t>
  </si>
  <si>
    <t>Archived 0+12 For</t>
  </si>
  <si>
    <t>CENTER</t>
  </si>
  <si>
    <t>ELEMENT</t>
  </si>
  <si>
    <t>ACCOUNT ID</t>
  </si>
  <si>
    <t>ACCOUNT DESCRIPTION</t>
  </si>
  <si>
    <t>2023 DEC</t>
  </si>
  <si>
    <t>2024 JAN</t>
  </si>
  <si>
    <t>2024 FEB</t>
  </si>
  <si>
    <t>2024 MAR</t>
  </si>
  <si>
    <t>2024 APR</t>
  </si>
  <si>
    <t>2024 MAY</t>
  </si>
  <si>
    <t>2024 JUN</t>
  </si>
  <si>
    <t>2024 JUL</t>
  </si>
  <si>
    <t>2024 AUG</t>
  </si>
  <si>
    <t>2024 SEP</t>
  </si>
  <si>
    <t>2024 OCT</t>
  </si>
  <si>
    <t>2024 NOV</t>
  </si>
  <si>
    <t>2024 DEC</t>
  </si>
  <si>
    <t>2024 TOTAL</t>
  </si>
  <si>
    <t>1001</t>
  </si>
  <si>
    <t>All Resources</t>
  </si>
  <si>
    <t>A_9101000</t>
  </si>
  <si>
    <t>Utility Plant in Service</t>
  </si>
  <si>
    <t>A_9101100</t>
  </si>
  <si>
    <t>Property Under Capital Leases</t>
  </si>
  <si>
    <t>A_9102000</t>
  </si>
  <si>
    <t>Plant Purchased or Sold</t>
  </si>
  <si>
    <t>A_9103000</t>
  </si>
  <si>
    <t>Experimental Plant Unclassified</t>
  </si>
  <si>
    <t>A_9103100</t>
  </si>
  <si>
    <t>Plant in Process of Reclassification</t>
  </si>
  <si>
    <t>A_9104000</t>
  </si>
  <si>
    <t>Plant Leased to Others</t>
  </si>
  <si>
    <t>A_9105000</t>
  </si>
  <si>
    <t>Plant Held for Future Use</t>
  </si>
  <si>
    <t>A_9105100</t>
  </si>
  <si>
    <t>Production Properties Held for Future Use</t>
  </si>
  <si>
    <t>A_9106000</t>
  </si>
  <si>
    <t>Completed Construction Not Classified</t>
  </si>
  <si>
    <t>A_9107000</t>
  </si>
  <si>
    <t>Construction Work in Progress</t>
  </si>
  <si>
    <t>A_9108000</t>
  </si>
  <si>
    <t>Accumulated Provision for Depreciation</t>
  </si>
  <si>
    <t>A_9111000</t>
  </si>
  <si>
    <t>Accumulated Provision For Amortization</t>
  </si>
  <si>
    <t>A_9114000</t>
  </si>
  <si>
    <t>Plant Acquisition Adjustments</t>
  </si>
  <si>
    <t>A_9115000</t>
  </si>
  <si>
    <t>Accum Provision Amort Plant Acquisition Adjustment</t>
  </si>
  <si>
    <t>A_9116000</t>
  </si>
  <si>
    <t>Other Plant Adjustments</t>
  </si>
  <si>
    <t>A_9117100</t>
  </si>
  <si>
    <t>Gas Stored - Base Gas</t>
  </si>
  <si>
    <t>A_9117200</t>
  </si>
  <si>
    <t>System Balancing Gas</t>
  </si>
  <si>
    <t>A_9117300</t>
  </si>
  <si>
    <t>Gas Stored in Reservoirs and Pipelines-Noncurrent</t>
  </si>
  <si>
    <t>A_9117400</t>
  </si>
  <si>
    <t>Gas Owed to System Gas</t>
  </si>
  <si>
    <t>A_9118000</t>
  </si>
  <si>
    <t>Other Utility Plant</t>
  </si>
  <si>
    <t>A_9119000</t>
  </si>
  <si>
    <t>Accum Provision Depr Amort Other Utility Plant</t>
  </si>
  <si>
    <t>A_9121000</t>
  </si>
  <si>
    <t>Nonutility Property</t>
  </si>
  <si>
    <t>A_9122000</t>
  </si>
  <si>
    <t>Accum Provision Depr Amortiz Nonutility Property</t>
  </si>
  <si>
    <t>A_9123000</t>
  </si>
  <si>
    <t>Investment in Associated Companies</t>
  </si>
  <si>
    <t>A_9123100</t>
  </si>
  <si>
    <t>Investment in Subsidiary Companies</t>
  </si>
  <si>
    <t>A_9124000</t>
  </si>
  <si>
    <t>Other Investments</t>
  </si>
  <si>
    <t>A_9125000</t>
  </si>
  <si>
    <t>Sinking Funds</t>
  </si>
  <si>
    <t>A_9126000</t>
  </si>
  <si>
    <t>Depreciation Fund</t>
  </si>
  <si>
    <t>A_9127000</t>
  </si>
  <si>
    <t>Amortization Fund - Federal</t>
  </si>
  <si>
    <t>A_9128000</t>
  </si>
  <si>
    <t>Other Special Funds</t>
  </si>
  <si>
    <t>A_9131000</t>
  </si>
  <si>
    <t>Cash</t>
  </si>
  <si>
    <t>A_9132000</t>
  </si>
  <si>
    <t>Interest Special Deposits</t>
  </si>
  <si>
    <t>A_9133000</t>
  </si>
  <si>
    <t>Dividend Special Deposits</t>
  </si>
  <si>
    <t>A_9134000</t>
  </si>
  <si>
    <t>Other Special Deposits</t>
  </si>
  <si>
    <t>A_9135000</t>
  </si>
  <si>
    <t>Working Funds</t>
  </si>
  <si>
    <t>A_9136000</t>
  </si>
  <si>
    <t>Temporary Cash Investments</t>
  </si>
  <si>
    <t>A_9141000</t>
  </si>
  <si>
    <t>Notes Receivable</t>
  </si>
  <si>
    <t>A_9142000</t>
  </si>
  <si>
    <t>Customer Accounts Receivable</t>
  </si>
  <si>
    <t>A_9143000</t>
  </si>
  <si>
    <t>Other Accounts Receivable</t>
  </si>
  <si>
    <t>A_9144000</t>
  </si>
  <si>
    <t>Accumulated Provision Uncollectible Accounts-Cr</t>
  </si>
  <si>
    <t>A_9145000</t>
  </si>
  <si>
    <t>Notes Receivable from Associated Companies</t>
  </si>
  <si>
    <t>A_9146000</t>
  </si>
  <si>
    <t>Accounts Receivable from Associated Companies</t>
  </si>
  <si>
    <t>A_9151000</t>
  </si>
  <si>
    <t>Fuel Stock</t>
  </si>
  <si>
    <t>A_9152000</t>
  </si>
  <si>
    <t>Fuel Stock Expenses Undistributed</t>
  </si>
  <si>
    <t>A_9153000</t>
  </si>
  <si>
    <t>Residuals and Extracted Products</t>
  </si>
  <si>
    <t>A_9154000</t>
  </si>
  <si>
    <t>Plant Materials and Operating Supplies</t>
  </si>
  <si>
    <t>A_9155000</t>
  </si>
  <si>
    <t>Merchandise</t>
  </si>
  <si>
    <t>A_9156000</t>
  </si>
  <si>
    <t>Other Materials and Supplies</t>
  </si>
  <si>
    <t>A_9158100</t>
  </si>
  <si>
    <t>Allowance Inventory</t>
  </si>
  <si>
    <t>A_9158200</t>
  </si>
  <si>
    <t>Allowances Withheld</t>
  </si>
  <si>
    <t>A_9163000</t>
  </si>
  <si>
    <t>Stores Expense Undistributed</t>
  </si>
  <si>
    <t>A_9164100</t>
  </si>
  <si>
    <t>Gas Stored - Current</t>
  </si>
  <si>
    <t>A_9164200</t>
  </si>
  <si>
    <t>Liquefied Natural Gas Stored</t>
  </si>
  <si>
    <t>A_9164300</t>
  </si>
  <si>
    <t>Liquefied Natural Gas Held For Processing</t>
  </si>
  <si>
    <t>A_9165000</t>
  </si>
  <si>
    <t>Prepayments</t>
  </si>
  <si>
    <t>A_9171000</t>
  </si>
  <si>
    <t>Interest and Dividends Receivable</t>
  </si>
  <si>
    <t>A_9172000</t>
  </si>
  <si>
    <t>Rents Receivable</t>
  </si>
  <si>
    <t>A_9173000</t>
  </si>
  <si>
    <t>Accrued Utility Revenues</t>
  </si>
  <si>
    <t>A_9174000</t>
  </si>
  <si>
    <t>Miscellaneous Current and Accrued Assets</t>
  </si>
  <si>
    <t>A_9176000</t>
  </si>
  <si>
    <t>Derivative Instrument Assets - Hedges</t>
  </si>
  <si>
    <t>A_9181000</t>
  </si>
  <si>
    <t>Unamortized Debt Expense</t>
  </si>
  <si>
    <t>A_9182100</t>
  </si>
  <si>
    <t>Extraordinary Property Losses</t>
  </si>
  <si>
    <t>A_9182200</t>
  </si>
  <si>
    <t>Unrecovered Plant and Regulatory Study Costs</t>
  </si>
  <si>
    <t>A_9182300</t>
  </si>
  <si>
    <t>Other Regulatory Assets</t>
  </si>
  <si>
    <t>A_9183000</t>
  </si>
  <si>
    <t>Preliminary Survey and Investigation Charges</t>
  </si>
  <si>
    <t>A_9183100</t>
  </si>
  <si>
    <t>Prelim Natural Gas Survey &amp; Investigation Charges</t>
  </si>
  <si>
    <t>A_9183200</t>
  </si>
  <si>
    <t>Other Preliminary Survey and Investigation Charges</t>
  </si>
  <si>
    <t>A_9184000</t>
  </si>
  <si>
    <t>Clearing Accounts</t>
  </si>
  <si>
    <t>A_9184100</t>
  </si>
  <si>
    <t>FERC Balance Sheet Clearing</t>
  </si>
  <si>
    <t>A_9186000</t>
  </si>
  <si>
    <t>Miscellaneous Deferred Debits</t>
  </si>
  <si>
    <t>A_9187000</t>
  </si>
  <si>
    <t>Deferred Losses from Disposition of Utility Plant</t>
  </si>
  <si>
    <t>A_9188000</t>
  </si>
  <si>
    <t>Research Development &amp; Demonstration Expenditures</t>
  </si>
  <si>
    <t>A_9189000</t>
  </si>
  <si>
    <t>Unamortized Loss on Reacquired Debt</t>
  </si>
  <si>
    <t>A_9190000</t>
  </si>
  <si>
    <t>Accumulated Deferred Income Taxes</t>
  </si>
  <si>
    <t>A_9191000</t>
  </si>
  <si>
    <t>Unrecovered Purchased Gas Costs</t>
  </si>
  <si>
    <t>A_9201000</t>
  </si>
  <si>
    <t>Common Stock Issued</t>
  </si>
  <si>
    <t>A_9207000</t>
  </si>
  <si>
    <t>Premium on Capital Stock</t>
  </si>
  <si>
    <t>A_9208000</t>
  </si>
  <si>
    <t>Donations Received from Stockholders</t>
  </si>
  <si>
    <t>A_9211000</t>
  </si>
  <si>
    <t>Miscellaneous Paid-in Capital</t>
  </si>
  <si>
    <t>A_9214000</t>
  </si>
  <si>
    <t>Capital Stock Expense</t>
  </si>
  <si>
    <t>A_9215000</t>
  </si>
  <si>
    <t>Appropriated Retained Earnings</t>
  </si>
  <si>
    <t>A_9215100</t>
  </si>
  <si>
    <t>Appropriated Retained Earn-Amortiz Reserve Federal</t>
  </si>
  <si>
    <t>A_9216000</t>
  </si>
  <si>
    <t>Unappropriated Retained Earnings</t>
  </si>
  <si>
    <t>A_9216100</t>
  </si>
  <si>
    <t>Unappropriated Undistributed Subsidiary Earnings</t>
  </si>
  <si>
    <t>A_9219000</t>
  </si>
  <si>
    <t>Accumulated Other Comprehensive Income</t>
  </si>
  <si>
    <t>A_9221000</t>
  </si>
  <si>
    <t>Bonds</t>
  </si>
  <si>
    <t>A_9223000</t>
  </si>
  <si>
    <t>Advances from Associated Companies</t>
  </si>
  <si>
    <t>A_9224000</t>
  </si>
  <si>
    <t>Other Long-Term Debt</t>
  </si>
  <si>
    <t>A_9225000</t>
  </si>
  <si>
    <t>Unamortized Premium on Long-Term Debt</t>
  </si>
  <si>
    <t>A_9226000</t>
  </si>
  <si>
    <t>Unamortized Discount on Long-Term Debt</t>
  </si>
  <si>
    <t>A_9227000</t>
  </si>
  <si>
    <t>Obligations Under Capital Leases - Noncurrent</t>
  </si>
  <si>
    <t>A_9228100</t>
  </si>
  <si>
    <t>Accumulated Provision for Property Insurance</t>
  </si>
  <si>
    <t>A_9228200</t>
  </si>
  <si>
    <t>Accumulated Provision for Injuries and Damages</t>
  </si>
  <si>
    <t>A_9228300</t>
  </si>
  <si>
    <t>Accumulated Provision for Pension and Benefits</t>
  </si>
  <si>
    <t>A_9228400</t>
  </si>
  <si>
    <t>Accumulated Miscellaneous Operating Provisions</t>
  </si>
  <si>
    <t>A_9229000</t>
  </si>
  <si>
    <t>Accumulated Provision for Rate Refunds</t>
  </si>
  <si>
    <t>A_9230000</t>
  </si>
  <si>
    <t>Asset Retirement Obligations</t>
  </si>
  <si>
    <t>A_9231000</t>
  </si>
  <si>
    <t>Notes Payable (Borrowings &lt; 1 Year Duration)</t>
  </si>
  <si>
    <t>A_9232000</t>
  </si>
  <si>
    <t>Accounts Payable</t>
  </si>
  <si>
    <t>A_9233000</t>
  </si>
  <si>
    <t>Notes Payable to Associated Companies</t>
  </si>
  <si>
    <t>A_9234000</t>
  </si>
  <si>
    <t>Accounts Payable to Associated Companies</t>
  </si>
  <si>
    <t>A_9235000</t>
  </si>
  <si>
    <t>Customer Deposits</t>
  </si>
  <si>
    <t>A_9236000</t>
  </si>
  <si>
    <t>Taxes Accrued</t>
  </si>
  <si>
    <t>A_9237000</t>
  </si>
  <si>
    <t>Interest Accrued</t>
  </si>
  <si>
    <t>A_9238000</t>
  </si>
  <si>
    <t>Dividends Declared</t>
  </si>
  <si>
    <t>A_9241000</t>
  </si>
  <si>
    <t>Tax Collections Payable</t>
  </si>
  <si>
    <t>A_9242000</t>
  </si>
  <si>
    <t>Miscellaneous Current and Accrued Liabilities</t>
  </si>
  <si>
    <t>A_9243000</t>
  </si>
  <si>
    <t>Obligations Under Capital Leases - Current</t>
  </si>
  <si>
    <t>A_9245000</t>
  </si>
  <si>
    <t>Derivative Instrument Liabilities - Hedges</t>
  </si>
  <si>
    <t>A_9252000</t>
  </si>
  <si>
    <t>Customer Advances for Construction</t>
  </si>
  <si>
    <t>A_9253000</t>
  </si>
  <si>
    <t>Other Deferred Credits</t>
  </si>
  <si>
    <t>A_9254000</t>
  </si>
  <si>
    <t>Other Regulatory Liabilities</t>
  </si>
  <si>
    <t>A_9255000</t>
  </si>
  <si>
    <t>Accumulated Deferred Investment Tax Credits</t>
  </si>
  <si>
    <t>A_9256000</t>
  </si>
  <si>
    <t>Deferred Gains from Disposition of Utility Plant</t>
  </si>
  <si>
    <t>A_9257000</t>
  </si>
  <si>
    <t>Unamortized Gain on Reacquired Debt</t>
  </si>
  <si>
    <t>A_9281000</t>
  </si>
  <si>
    <t>Accum Defd Inc Taxes-Accelerated Amortiz Property</t>
  </si>
  <si>
    <t>A_9282000</t>
  </si>
  <si>
    <t>Accumulated Deferred Income Taxes-Other Property</t>
  </si>
  <si>
    <t>A_9283000</t>
  </si>
  <si>
    <t>Accumulated Deferred Income Taxes-Other</t>
  </si>
  <si>
    <t>A_9403000</t>
  </si>
  <si>
    <t>Depreciation Expense</t>
  </si>
  <si>
    <t>A_9403100</t>
  </si>
  <si>
    <t>Depreciation Expense for Asset Retirement Costs</t>
  </si>
  <si>
    <t>A_9404000</t>
  </si>
  <si>
    <t>Amortization of Limited-Term Electric Plant</t>
  </si>
  <si>
    <t>A_9404100</t>
  </si>
  <si>
    <t>Amort Deplet Producing Nat Gas Land &amp; Land Rights</t>
  </si>
  <si>
    <t>A_9404200</t>
  </si>
  <si>
    <t>Amort of Underground Storage Land &amp; Land Rights</t>
  </si>
  <si>
    <t>A_9404300</t>
  </si>
  <si>
    <t>Amortization of Other Limited-Term Gas Plant</t>
  </si>
  <si>
    <t>A_9405000</t>
  </si>
  <si>
    <t>Amortization of Other Electric/Gas Plant</t>
  </si>
  <si>
    <t>A_9406000</t>
  </si>
  <si>
    <t>Amortization of Plant Acquisition Adjustment</t>
  </si>
  <si>
    <t>A_9407000</t>
  </si>
  <si>
    <t>Amortiz Ele Prop Loss Unrecv Plant RegulStudy Cost</t>
  </si>
  <si>
    <t>A_9407100</t>
  </si>
  <si>
    <t>Amortiz Gas Prop Loss Unrecv Plant RegulStudy Cost</t>
  </si>
  <si>
    <t>A_9407200</t>
  </si>
  <si>
    <t>Amortization of Conversion Expenses</t>
  </si>
  <si>
    <t>A_9407300</t>
  </si>
  <si>
    <t>Regulatory Debits</t>
  </si>
  <si>
    <t>A_9407400</t>
  </si>
  <si>
    <t>Regulatory Credits</t>
  </si>
  <si>
    <t>A_9408100</t>
  </si>
  <si>
    <t>Taxes Other Than Inc Taxes-Utility Operating Inc</t>
  </si>
  <si>
    <t>A_9408200</t>
  </si>
  <si>
    <t>Taxes Other Than Inc Taxes-Other Income &amp; Deduct</t>
  </si>
  <si>
    <t>A_9409100</t>
  </si>
  <si>
    <t>Income Taxes - Utility Operating Income</t>
  </si>
  <si>
    <t>A_9409200</t>
  </si>
  <si>
    <t>Income Taxes - Other Income and Deductions</t>
  </si>
  <si>
    <t>A_9409300</t>
  </si>
  <si>
    <t>Income Taxes - Extraordinary Items</t>
  </si>
  <si>
    <t>A_9410100</t>
  </si>
  <si>
    <t>Provision for Defd Inc Tax - Utility Operating Inc</t>
  </si>
  <si>
    <t>A_9410200</t>
  </si>
  <si>
    <t>Provision for Defd Inc Tax - Other Inc and Deduct</t>
  </si>
  <si>
    <t>A_9411100</t>
  </si>
  <si>
    <t>Provision for Defd Inc Taxes-CR Utility Oper Inc</t>
  </si>
  <si>
    <t>A_9411200</t>
  </si>
  <si>
    <t>Provision for Defd Inc Taxes-CR Other Inc &amp; Deduct</t>
  </si>
  <si>
    <t>A_9411400</t>
  </si>
  <si>
    <t>Investment Tax Credit Adjustm-Utility Operations</t>
  </si>
  <si>
    <t>A_9411500</t>
  </si>
  <si>
    <t>Investment Tax Credit Adj - Nonutility Operations</t>
  </si>
  <si>
    <t>A_9411600</t>
  </si>
  <si>
    <t>Gains From Disposition of Utility Plant</t>
  </si>
  <si>
    <t>A_9411700</t>
  </si>
  <si>
    <t>Losses From Disposition of Utility Plant</t>
  </si>
  <si>
    <t>A_9411800</t>
  </si>
  <si>
    <t>Gains From Disposition of Allowances</t>
  </si>
  <si>
    <t>A_9411900</t>
  </si>
  <si>
    <t>Losses From Disposition of Allowances</t>
  </si>
  <si>
    <t>A_9412000</t>
  </si>
  <si>
    <t>Revenues from Gas Plant Leased to Others</t>
  </si>
  <si>
    <t>A_9413000</t>
  </si>
  <si>
    <t>Expense of Util Plant leased to Others</t>
  </si>
  <si>
    <t>A_9414000</t>
  </si>
  <si>
    <t>Other Utility Operating Income</t>
  </si>
  <si>
    <t>A_9415000</t>
  </si>
  <si>
    <t>Revenues frm Merchandising Jobbing &amp; Contract Work</t>
  </si>
  <si>
    <t>A_9416000</t>
  </si>
  <si>
    <t>Costs of Merchandising Jobbing and Contract Work</t>
  </si>
  <si>
    <t>A_9417000</t>
  </si>
  <si>
    <t>Revenues from Nonutility Operations</t>
  </si>
  <si>
    <t>A_9417100</t>
  </si>
  <si>
    <t>Expenses of Nonutility Operations</t>
  </si>
  <si>
    <t>A_9418000</t>
  </si>
  <si>
    <t>Nonoperating Rental Income</t>
  </si>
  <si>
    <t>A_9418100</t>
  </si>
  <si>
    <t>Equity in Earnings of Subsidiary Companies</t>
  </si>
  <si>
    <t>A_9419000</t>
  </si>
  <si>
    <t>Interest and Dividend Income</t>
  </si>
  <si>
    <t>A_9419100</t>
  </si>
  <si>
    <t>Allowance for Other Funds Used During Construction</t>
  </si>
  <si>
    <t>A_9420000</t>
  </si>
  <si>
    <t>Investment Tax Credits Oth Inc and Deduct</t>
  </si>
  <si>
    <t>A_9421000</t>
  </si>
  <si>
    <t>Miscellaneous Nonoperating Income</t>
  </si>
  <si>
    <t>A_9421100</t>
  </si>
  <si>
    <t>Gain on Disposition of Property</t>
  </si>
  <si>
    <t>A_9421200</t>
  </si>
  <si>
    <t>Loss on Disposition of Property</t>
  </si>
  <si>
    <t>A_9425000</t>
  </si>
  <si>
    <t>Miscellaneous Amortization</t>
  </si>
  <si>
    <t>A_9426100</t>
  </si>
  <si>
    <t>Other Expense - Donations</t>
  </si>
  <si>
    <t>A_9426200</t>
  </si>
  <si>
    <t>Other Expense - Life Insurance</t>
  </si>
  <si>
    <t>A_9426300</t>
  </si>
  <si>
    <t>Other Expense - Penalties</t>
  </si>
  <si>
    <t>A_9426400</t>
  </si>
  <si>
    <t>Exp Certain Civic Political &amp; Related Activities</t>
  </si>
  <si>
    <t>A_9426500</t>
  </si>
  <si>
    <t>Other Deductions</t>
  </si>
  <si>
    <t>A_9427000</t>
  </si>
  <si>
    <t>Interest on Long-Term Debt</t>
  </si>
  <si>
    <t>A_9428000</t>
  </si>
  <si>
    <t>Amortization of Debt Discount and Expense</t>
  </si>
  <si>
    <t>A_9428100</t>
  </si>
  <si>
    <t>Amortization of Loss on Reacquired Debt</t>
  </si>
  <si>
    <t>A_9429000</t>
  </si>
  <si>
    <t>Amortization of Premium on Debt - Credit</t>
  </si>
  <si>
    <t>A_9429100</t>
  </si>
  <si>
    <t>Amortization of Gain on Reacquired Debt - Credit</t>
  </si>
  <si>
    <t>A_9430000</t>
  </si>
  <si>
    <t>Interest on Debt to Associated Companies</t>
  </si>
  <si>
    <t>A_9431000</t>
  </si>
  <si>
    <t>Other Interest Expense</t>
  </si>
  <si>
    <t>A_9432000</t>
  </si>
  <si>
    <t>Allow Borrowed Funds Used During Construct-Credit</t>
  </si>
  <si>
    <t>A_9433000</t>
  </si>
  <si>
    <t>Balance Transferred from Income</t>
  </si>
  <si>
    <t>A_9434000</t>
  </si>
  <si>
    <t>Extraordinary Income</t>
  </si>
  <si>
    <t>A_9435000</t>
  </si>
  <si>
    <t>Extraordinary Deductions</t>
  </si>
  <si>
    <t>A_9438000</t>
  </si>
  <si>
    <t>Dividends Declared - Common Stock</t>
  </si>
  <si>
    <t>A_9440000</t>
  </si>
  <si>
    <t>Electric Residential Sales</t>
  </si>
  <si>
    <t>A_9442000</t>
  </si>
  <si>
    <t>Electric Commercial and Industrial Sales</t>
  </si>
  <si>
    <t>A_9444000</t>
  </si>
  <si>
    <t>Electric Public Street and Highway Lighting</t>
  </si>
  <si>
    <t>A_9445000</t>
  </si>
  <si>
    <t>Electric Other Sales to Public Authorities</t>
  </si>
  <si>
    <t>A_9446000</t>
  </si>
  <si>
    <t>Electric Sales to Railroads And Railways</t>
  </si>
  <si>
    <t>A_9447000</t>
  </si>
  <si>
    <t>Electric Sales For Resale</t>
  </si>
  <si>
    <t>A_9448000</t>
  </si>
  <si>
    <t>Electric Interdepartmental Sales</t>
  </si>
  <si>
    <t>A_9449100</t>
  </si>
  <si>
    <t>Electric Provision for Rate Refunds</t>
  </si>
  <si>
    <t>A_9450000</t>
  </si>
  <si>
    <t>Electric Forfeited Discounts</t>
  </si>
  <si>
    <t>A_9451000</t>
  </si>
  <si>
    <t>Electric Miscellaneous Service Revenues</t>
  </si>
  <si>
    <t>A_9453000</t>
  </si>
  <si>
    <t>Sales of Water and Water Power</t>
  </si>
  <si>
    <t>A_9454000</t>
  </si>
  <si>
    <t>Electric Rent from Electric Property</t>
  </si>
  <si>
    <t>A_9455000</t>
  </si>
  <si>
    <t>Electric Interdepartmental Rents</t>
  </si>
  <si>
    <t>A_9456000</t>
  </si>
  <si>
    <t>Electric Other Electric Revenues</t>
  </si>
  <si>
    <t>A_9456100</t>
  </si>
  <si>
    <t>Revenues frm Transmission of Electricity of Others</t>
  </si>
  <si>
    <t>A_9457100</t>
  </si>
  <si>
    <t>Interco Svc Company Revenue-Direct Costs</t>
  </si>
  <si>
    <t>A_9457200</t>
  </si>
  <si>
    <t>Interco Svc Company Revenue-Indirect Costs</t>
  </si>
  <si>
    <t>A_9458100</t>
  </si>
  <si>
    <t>Svc Company Revenue - Non-Assoc Co - Direct Costs</t>
  </si>
  <si>
    <t>A_9480000</t>
  </si>
  <si>
    <t>Gas Residential Sales</t>
  </si>
  <si>
    <t>A_9481000</t>
  </si>
  <si>
    <t>Gas Commercial and Industrial Sales</t>
  </si>
  <si>
    <t>A_9482000</t>
  </si>
  <si>
    <t>Gas Other Sales to Public Authorities</t>
  </si>
  <si>
    <t>A_9483000</t>
  </si>
  <si>
    <t>Gas Sales For Resale</t>
  </si>
  <si>
    <t>A_9484000</t>
  </si>
  <si>
    <t>Gas Interdepartmental Sales</t>
  </si>
  <si>
    <t>A_9485000</t>
  </si>
  <si>
    <t>Gas Intracompany Transfers</t>
  </si>
  <si>
    <t>A_9487000</t>
  </si>
  <si>
    <t>Gas Forfeited Discounts</t>
  </si>
  <si>
    <t>A_9488000</t>
  </si>
  <si>
    <t>Gas Miscellaneous Service Revenues</t>
  </si>
  <si>
    <t>A_9489100</t>
  </si>
  <si>
    <t>Gas Rev Transport Gas of Others Gathering Facility</t>
  </si>
  <si>
    <t>A_9489200</t>
  </si>
  <si>
    <t>Gas Rev Transport Gas of Others Transm Facility</t>
  </si>
  <si>
    <t>A_9489300</t>
  </si>
  <si>
    <t>Gas Rev Transport Gas of Others Distrib Facility</t>
  </si>
  <si>
    <t>A_9489400</t>
  </si>
  <si>
    <t>Gas Revenues from Storing Gas of Others</t>
  </si>
  <si>
    <t>A_9490000</t>
  </si>
  <si>
    <t>Gas Sales of Products Extracted from Natural Gas</t>
  </si>
  <si>
    <t>A_9491000</t>
  </si>
  <si>
    <t>Gas Revenues from Natural Gas Processed by Others</t>
  </si>
  <si>
    <t>A_9492000</t>
  </si>
  <si>
    <t>Gas Incidental Gasoline and Oil Sales</t>
  </si>
  <si>
    <t>A_9493000</t>
  </si>
  <si>
    <t>Gas Rent from Gas Property</t>
  </si>
  <si>
    <t>A_9494000</t>
  </si>
  <si>
    <t>Gas Interdepartmental Rents</t>
  </si>
  <si>
    <t>A_9495000</t>
  </si>
  <si>
    <t>Gas Other Gas Revenues</t>
  </si>
  <si>
    <t>A_9496000</t>
  </si>
  <si>
    <t>Gas Provision For Rate Refunds</t>
  </si>
  <si>
    <t>A_9500000</t>
  </si>
  <si>
    <t>Steam Operation Supervision And Engineering</t>
  </si>
  <si>
    <t>A_9501000</t>
  </si>
  <si>
    <t>Steam Fuel</t>
  </si>
  <si>
    <t>A_9502000</t>
  </si>
  <si>
    <t>Steam Expenses</t>
  </si>
  <si>
    <t>A_9503000</t>
  </si>
  <si>
    <t>Steam From Other Sources</t>
  </si>
  <si>
    <t>A_9504000</t>
  </si>
  <si>
    <t>Steam Transferred - Credit</t>
  </si>
  <si>
    <t>A_9505000</t>
  </si>
  <si>
    <t>Steam Electric Expenses</t>
  </si>
  <si>
    <t>A_9506000</t>
  </si>
  <si>
    <t>Miscellaneous Steam Power Expenses</t>
  </si>
  <si>
    <t>A_9507000</t>
  </si>
  <si>
    <t>Steam Rents</t>
  </si>
  <si>
    <t>A_9509000</t>
  </si>
  <si>
    <t>Steam Allowances</t>
  </si>
  <si>
    <t>A_9510000</t>
  </si>
  <si>
    <t>Steam Maintenance Supervision and Engineering</t>
  </si>
  <si>
    <t>A_9511000</t>
  </si>
  <si>
    <t>Steam Maintenance of Structures</t>
  </si>
  <si>
    <t>A_9512000</t>
  </si>
  <si>
    <t>Steam Maintenance of Boiler Plant</t>
  </si>
  <si>
    <t>A_9513000</t>
  </si>
  <si>
    <t>Steam Maintenance of Electric Plant</t>
  </si>
  <si>
    <t>A_9514000</t>
  </si>
  <si>
    <t>Maintenance of Miscellaneous Steam Plant</t>
  </si>
  <si>
    <t>A_9517000</t>
  </si>
  <si>
    <t>Nuclear Operation Supervision And Engineering</t>
  </si>
  <si>
    <t>A_9518000</t>
  </si>
  <si>
    <t>Nuclear Fuel Expense</t>
  </si>
  <si>
    <t>A_9519000</t>
  </si>
  <si>
    <t>Nuclear Coolants and Water</t>
  </si>
  <si>
    <t>A_9520000</t>
  </si>
  <si>
    <t>Nuclear Steam Expenses</t>
  </si>
  <si>
    <t>A_9521000</t>
  </si>
  <si>
    <t>Nuclear Steam from Other Sources</t>
  </si>
  <si>
    <t>A_9522000</t>
  </si>
  <si>
    <t>Nuclear Steam Transferred - Credit</t>
  </si>
  <si>
    <t>A_9523000</t>
  </si>
  <si>
    <t>Nuclear Electric Expenses</t>
  </si>
  <si>
    <t>A_9524000</t>
  </si>
  <si>
    <t>Miscellaneous Nuclear Power Expenses</t>
  </si>
  <si>
    <t>A_9525000</t>
  </si>
  <si>
    <t>Nuclear Rents</t>
  </si>
  <si>
    <t>A_9528000</t>
  </si>
  <si>
    <t>Nuclear Maintenance Supervision and Engineering</t>
  </si>
  <si>
    <t>A_9529000</t>
  </si>
  <si>
    <t>Nuclear Maintenance of Structures</t>
  </si>
  <si>
    <t>A_9530000</t>
  </si>
  <si>
    <t>Nuclear Maintenance of Reactor Plant Equipment</t>
  </si>
  <si>
    <t>A_9531000</t>
  </si>
  <si>
    <t>Nuclear Maintenance of Electric Plant</t>
  </si>
  <si>
    <t>A_9532000</t>
  </si>
  <si>
    <t>Maintenance of Miscellaneous Nuclear Plant</t>
  </si>
  <si>
    <t>A_9535000</t>
  </si>
  <si>
    <t>Hydraulic Operation Supervision and Engineering</t>
  </si>
  <si>
    <t>A_9536000</t>
  </si>
  <si>
    <t>Hydraulic Water For Power</t>
  </si>
  <si>
    <t>A_9537000</t>
  </si>
  <si>
    <t>Hydraulic Expenses</t>
  </si>
  <si>
    <t>A_9538000</t>
  </si>
  <si>
    <t>Hydraulic Electric Expenses</t>
  </si>
  <si>
    <t>A_9539000</t>
  </si>
  <si>
    <t>Miscellaneous Hydraulic Power Generation Expenses</t>
  </si>
  <si>
    <t>A_9540000</t>
  </si>
  <si>
    <t>Hydraulic Rents</t>
  </si>
  <si>
    <t>A_9541000</t>
  </si>
  <si>
    <t>Hydraulic Maintenance Supervision and Engineering</t>
  </si>
  <si>
    <t>A_9542000</t>
  </si>
  <si>
    <t>Hydraulic Maintenance of Structures</t>
  </si>
  <si>
    <t>A_9543000</t>
  </si>
  <si>
    <t>Hydraulic Maintenance Reservoirs Dams &amp; Waterways</t>
  </si>
  <si>
    <t>A_9544000</t>
  </si>
  <si>
    <t>Hydraulic Maintenance of Electric Plant</t>
  </si>
  <si>
    <t>A_9545000</t>
  </si>
  <si>
    <t>Maintenance of Miscellaneous Hydraulic Plant</t>
  </si>
  <si>
    <t>A_9546000</t>
  </si>
  <si>
    <t>Other Power Operation Supervision and Engineering</t>
  </si>
  <si>
    <t>A_9547000</t>
  </si>
  <si>
    <t>Other Power Fuel</t>
  </si>
  <si>
    <t>A_9548000</t>
  </si>
  <si>
    <t>Other Power Generation Expenses</t>
  </si>
  <si>
    <t>A_9548100</t>
  </si>
  <si>
    <t>Operation of Energy Storage Equipment</t>
  </si>
  <si>
    <t>A_9549000</t>
  </si>
  <si>
    <t>Miscellaneous Other Power Generation Expenses</t>
  </si>
  <si>
    <t>A_9550000</t>
  </si>
  <si>
    <t>Other Power Rents</t>
  </si>
  <si>
    <t>A_9551000</t>
  </si>
  <si>
    <t>Other Power Maintenance Supervision &amp; Engineering</t>
  </si>
  <si>
    <t>A_9552000</t>
  </si>
  <si>
    <t>Other Power Maintenance of Structures</t>
  </si>
  <si>
    <t>A_9553000</t>
  </si>
  <si>
    <t>Other Power Maint Generating &amp; Electric Equipment</t>
  </si>
  <si>
    <t>A_9553100</t>
  </si>
  <si>
    <t>Maintenance of Energy Storage Equipment</t>
  </si>
  <si>
    <t>A_9554000</t>
  </si>
  <si>
    <t>Maintenance of Misc Other Power Generation Plant</t>
  </si>
  <si>
    <t>A_9555000</t>
  </si>
  <si>
    <t>Other Supply Purchased Power</t>
  </si>
  <si>
    <t>A_9556000</t>
  </si>
  <si>
    <t>Other Supply System Control and Load Dispatching</t>
  </si>
  <si>
    <t>A_9557000</t>
  </si>
  <si>
    <t>Other Supply Other Expenses</t>
  </si>
  <si>
    <t>A_9560000</t>
  </si>
  <si>
    <t>Transmission Operation Supervision And Engineering</t>
  </si>
  <si>
    <t>A_9561000</t>
  </si>
  <si>
    <t>Transmission Load Dispatch</t>
  </si>
  <si>
    <t>A_9561100</t>
  </si>
  <si>
    <t>Transmission Load Dispatch - Reliability</t>
  </si>
  <si>
    <t>A_9561200</t>
  </si>
  <si>
    <t>Transm Load Dispatch-Monitor Operate Transm System</t>
  </si>
  <si>
    <t>A_9561300</t>
  </si>
  <si>
    <t>Transm Load Dispatch-Transmission Svc &amp; Scheduling</t>
  </si>
  <si>
    <t>A_9561400</t>
  </si>
  <si>
    <t>Transmission Scheduling Sys Control &amp; Dispatch Svc</t>
  </si>
  <si>
    <t>A_9561500</t>
  </si>
  <si>
    <t>Transm Reliability Planning &amp; Standards Devlpmt</t>
  </si>
  <si>
    <t>A_9561600</t>
  </si>
  <si>
    <t>Transmission Service Studies</t>
  </si>
  <si>
    <t>A_9561700</t>
  </si>
  <si>
    <t>Transmission Generation Interconnection Studies</t>
  </si>
  <si>
    <t>A_9561800</t>
  </si>
  <si>
    <t>Transm Billed Reliability Planning Stnrds Dev Svcs</t>
  </si>
  <si>
    <t>A_9562000</t>
  </si>
  <si>
    <t>Transmission Station Expenses</t>
  </si>
  <si>
    <t>A_9563000</t>
  </si>
  <si>
    <t>Transmission Overhead Line Expenses</t>
  </si>
  <si>
    <t>A_9564000</t>
  </si>
  <si>
    <t>Transmission Underground Line Expenses</t>
  </si>
  <si>
    <t>A_9565000</t>
  </si>
  <si>
    <t>Transmission of Electricity by Others</t>
  </si>
  <si>
    <t>A_9566000</t>
  </si>
  <si>
    <t>Miscellaneous Transmission Expenses</t>
  </si>
  <si>
    <t>A_9567000</t>
  </si>
  <si>
    <t>Transmission Rents</t>
  </si>
  <si>
    <t>A_9568000</t>
  </si>
  <si>
    <t>Transmission Maintenance Supervision &amp; Engineering</t>
  </si>
  <si>
    <t>A_9569000</t>
  </si>
  <si>
    <t>Transmission Maintenance of Structures</t>
  </si>
  <si>
    <t>A_9569100</t>
  </si>
  <si>
    <t>Transmission Maintenance of Computer Hardware</t>
  </si>
  <si>
    <t>A_9569200</t>
  </si>
  <si>
    <t>Transmission Maintenance of Computer Software</t>
  </si>
  <si>
    <t>A_9569300</t>
  </si>
  <si>
    <t>Transmission Maintenance Communication Equipment</t>
  </si>
  <si>
    <t>A_9569400</t>
  </si>
  <si>
    <t>Transmisison Maint Msc Regional Transmission Plant</t>
  </si>
  <si>
    <t>A_9570000</t>
  </si>
  <si>
    <t>Transmission Maintenance of Station Equipment</t>
  </si>
  <si>
    <t>A_9571000</t>
  </si>
  <si>
    <t>Transmission Maintenance of Overhead Lines</t>
  </si>
  <si>
    <t>A_9572000</t>
  </si>
  <si>
    <t>Transmission Maintenance of Underground Lines</t>
  </si>
  <si>
    <t>A_9573000</t>
  </si>
  <si>
    <t>Maintenance of Miscellaneous Transmission Plant</t>
  </si>
  <si>
    <t>A_9575100</t>
  </si>
  <si>
    <t>Regional Market Operation Supervision</t>
  </si>
  <si>
    <t>A_9575200</t>
  </si>
  <si>
    <t>Regional Day-Ahead &amp; Real-Time Market Facilitation</t>
  </si>
  <si>
    <t>A_9575300</t>
  </si>
  <si>
    <t>Regional Transmission Rights Market Facilitation</t>
  </si>
  <si>
    <t>A_9575400</t>
  </si>
  <si>
    <t>Regional Capacity Market Facilitation</t>
  </si>
  <si>
    <t>A_9575500</t>
  </si>
  <si>
    <t>Regional Ancillary Services Market Facilitation</t>
  </si>
  <si>
    <t>A_9575600</t>
  </si>
  <si>
    <t>Regional Market Monitoring And Compliance</t>
  </si>
  <si>
    <t>A_9575700</t>
  </si>
  <si>
    <t>Regional Market Admin Monitoring &amp; Compliance Svcs</t>
  </si>
  <si>
    <t>A_9575800</t>
  </si>
  <si>
    <t>Regional Market Rents</t>
  </si>
  <si>
    <t>A_9576100</t>
  </si>
  <si>
    <t>Regional Market Maintenance Structures &amp; Improvm</t>
  </si>
  <si>
    <t>A_9576200</t>
  </si>
  <si>
    <t>Regional Market Maintenance of Computer Hardware</t>
  </si>
  <si>
    <t>A_9576300</t>
  </si>
  <si>
    <t>Regional Market Maintenance of Computer Software</t>
  </si>
  <si>
    <t>A_9576400</t>
  </si>
  <si>
    <t>Regional Market Maintenance of Communication Equip</t>
  </si>
  <si>
    <t>A_9576500</t>
  </si>
  <si>
    <t>Regional Maintenance Misc Market Operation Plant</t>
  </si>
  <si>
    <t>A_9580000</t>
  </si>
  <si>
    <t>Distribution Operation Supervision And Engineering</t>
  </si>
  <si>
    <t>A_9581000</t>
  </si>
  <si>
    <t>Distribution Load Dispatching</t>
  </si>
  <si>
    <t>A_9581100</t>
  </si>
  <si>
    <t>Distribution Line and Station Supplies &amp; Expenses</t>
  </si>
  <si>
    <t>A_9582000</t>
  </si>
  <si>
    <t>Distribution Station Expenses</t>
  </si>
  <si>
    <t>A_9583000</t>
  </si>
  <si>
    <t>Distribution Overhead Line Expenses</t>
  </si>
  <si>
    <t>A_9584000</t>
  </si>
  <si>
    <t>Distribution Underground Line Expenses</t>
  </si>
  <si>
    <t>A_9585000</t>
  </si>
  <si>
    <t>Distribution Street Lighting and Signal System Exp</t>
  </si>
  <si>
    <t>A_9586000</t>
  </si>
  <si>
    <t>Distribution Meter Expenses</t>
  </si>
  <si>
    <t>A_9587000</t>
  </si>
  <si>
    <t>Distribution Customer Installations Expenses</t>
  </si>
  <si>
    <t>A_9588000</t>
  </si>
  <si>
    <t>Miscellaneous Distribution Expenses</t>
  </si>
  <si>
    <t>A_9589000</t>
  </si>
  <si>
    <t>Distribution Rents</t>
  </si>
  <si>
    <t>A_9590000</t>
  </si>
  <si>
    <t>Distribution Maintenance Supervision &amp; Engineering</t>
  </si>
  <si>
    <t>A_9591000</t>
  </si>
  <si>
    <t>Distribution Maintenance of Structures</t>
  </si>
  <si>
    <t>A_9592000</t>
  </si>
  <si>
    <t>Distribution Maintenance of Station Equipment</t>
  </si>
  <si>
    <t>A_9592100</t>
  </si>
  <si>
    <t>Distribution Maintenance of Structures &amp; Equipment</t>
  </si>
  <si>
    <t>A_9593000</t>
  </si>
  <si>
    <t>Distribution Maintenance of Overhead Lines</t>
  </si>
  <si>
    <t>A_9594000</t>
  </si>
  <si>
    <t>Distribution Maintenance of Underground Lines</t>
  </si>
  <si>
    <t>A_9595000</t>
  </si>
  <si>
    <t>Distribution Maintenance of Line Transformers</t>
  </si>
  <si>
    <t>A_9596000</t>
  </si>
  <si>
    <t>Distribution Maint Street Lighting &amp; Signal System</t>
  </si>
  <si>
    <t>A_9597000</t>
  </si>
  <si>
    <t>Distribution Maintenance of Meters</t>
  </si>
  <si>
    <t>A_9598000</t>
  </si>
  <si>
    <t>Maintenance of Miscellaneous Distribution Plant</t>
  </si>
  <si>
    <t>A_9800000</t>
  </si>
  <si>
    <t>Natural Gas Well Head Purchases</t>
  </si>
  <si>
    <t>A_9800100</t>
  </si>
  <si>
    <t>Natural Gas Well Head Purch Intracompany Transfers</t>
  </si>
  <si>
    <t>A_9801000</t>
  </si>
  <si>
    <t>Natural Gas Field Line Purchases</t>
  </si>
  <si>
    <t>A_9802000</t>
  </si>
  <si>
    <t>Natural Gas Gasoline Plant Outlet Purchases</t>
  </si>
  <si>
    <t>A_9803000</t>
  </si>
  <si>
    <t>Natural Gas Transmission Line Purchases</t>
  </si>
  <si>
    <t>A_9804000</t>
  </si>
  <si>
    <t>Natural Gas City Gate Purchases</t>
  </si>
  <si>
    <t>A_9804100</t>
  </si>
  <si>
    <t>Liquefied Natural Gas Purchases</t>
  </si>
  <si>
    <t>A_9805000</t>
  </si>
  <si>
    <t>Other Gas Purchases</t>
  </si>
  <si>
    <t>A_9805100</t>
  </si>
  <si>
    <t>Purchased Gas Cost Adjustments</t>
  </si>
  <si>
    <t>A_9806000</t>
  </si>
  <si>
    <t>Exchange Gas</t>
  </si>
  <si>
    <t>A_9807100</t>
  </si>
  <si>
    <t>Well Expenses - Purchased Gas</t>
  </si>
  <si>
    <t>A_9807200</t>
  </si>
  <si>
    <t>Operation of Purchased Gas Measuring Stations</t>
  </si>
  <si>
    <t>A_9807300</t>
  </si>
  <si>
    <t>Maintenance of Purchased Gas Measuring Stations</t>
  </si>
  <si>
    <t>A_9807400</t>
  </si>
  <si>
    <t>Purchased Gas Calculations Expenses</t>
  </si>
  <si>
    <t>A_9807500</t>
  </si>
  <si>
    <t>Other Purchased Gas Expenses</t>
  </si>
  <si>
    <t>A_9808100</t>
  </si>
  <si>
    <t>Gas Withdrawn From Storage - Debit</t>
  </si>
  <si>
    <t>A_9808200</t>
  </si>
  <si>
    <t>Gas Delivered To Storage - Credit</t>
  </si>
  <si>
    <t>A_9809100</t>
  </si>
  <si>
    <t>Withdrawals Liquefied Natural Gas Processing-Debit</t>
  </si>
  <si>
    <t>A_9809200</t>
  </si>
  <si>
    <t>Deliveries of Natural Gas for Processing - Credit</t>
  </si>
  <si>
    <t>A_9810000</t>
  </si>
  <si>
    <t>Gas Used For Compressor Station Fuel - Credit</t>
  </si>
  <si>
    <t>A_9811000</t>
  </si>
  <si>
    <t>Gas Used For Products Extraction - Credit</t>
  </si>
  <si>
    <t>A_9812000</t>
  </si>
  <si>
    <t>Gas Used For Other Utility Operations - Credit</t>
  </si>
  <si>
    <t>A_9813000</t>
  </si>
  <si>
    <t>Other Gas Supply Expenses</t>
  </si>
  <si>
    <t>A_9826000</t>
  </si>
  <si>
    <t>Rents</t>
  </si>
  <si>
    <t>A_9850000</t>
  </si>
  <si>
    <t>Gas Transm Operation Supervison and Engineering</t>
  </si>
  <si>
    <t>A_9851000</t>
  </si>
  <si>
    <t>Gas Transm Oper System Control and Load Dispatch</t>
  </si>
  <si>
    <t>A_9852000</t>
  </si>
  <si>
    <t>Gas Transm Operation Communication System</t>
  </si>
  <si>
    <t>A_9853000</t>
  </si>
  <si>
    <t>Gas Transm Operation Compressor Station</t>
  </si>
  <si>
    <t>A_9854000</t>
  </si>
  <si>
    <t>Gas Transm Operation Gas Compressor Station Fuel</t>
  </si>
  <si>
    <t>A_9855000</t>
  </si>
  <si>
    <t>Gas Transm Oper Oth Fuel Power Compresor Station</t>
  </si>
  <si>
    <t>A_9856000</t>
  </si>
  <si>
    <t>Gas Transm Operation Mains</t>
  </si>
  <si>
    <t>A_9857000</t>
  </si>
  <si>
    <t>Gas Transm Oper Measuring and Regulating Station</t>
  </si>
  <si>
    <t>A_9858000</t>
  </si>
  <si>
    <t>Gas Transm Operation Transm Compres Gas by Other</t>
  </si>
  <si>
    <t>A_9859000</t>
  </si>
  <si>
    <t>Gas Transm Operation Other Expenses</t>
  </si>
  <si>
    <t>A_9860000</t>
  </si>
  <si>
    <t>Gas Transm Operation Rents</t>
  </si>
  <si>
    <t>A_9861000</t>
  </si>
  <si>
    <t>Gas Transm Maintenance Supervision &amp; Engineering</t>
  </si>
  <si>
    <t>A_9862000</t>
  </si>
  <si>
    <t>Gas Transm Maintenance Structures n Improvements</t>
  </si>
  <si>
    <t>A_9863000</t>
  </si>
  <si>
    <t>Gas Transm Maintenance Mains</t>
  </si>
  <si>
    <t>A_9864000</t>
  </si>
  <si>
    <t>Gas Transm Maintenance Compressor Station Equip</t>
  </si>
  <si>
    <t>A_9865000</t>
  </si>
  <si>
    <t>Gas Transm Maint Measuring Regulating Stn Equip</t>
  </si>
  <si>
    <t>A_9866000</t>
  </si>
  <si>
    <t>Gas Transm Maintenance Communication Equipment</t>
  </si>
  <si>
    <t>A_9867000</t>
  </si>
  <si>
    <t>Gas Transm Maintenance Other Equipment</t>
  </si>
  <si>
    <t>A_9870000</t>
  </si>
  <si>
    <t>Gas Distribution Oper Supervision &amp; Engineering</t>
  </si>
  <si>
    <t>A_9871000</t>
  </si>
  <si>
    <t>Gas Distribution Load Dispatching</t>
  </si>
  <si>
    <t>A_9872000</t>
  </si>
  <si>
    <t>Gas Compressor Station Labor and Expenses</t>
  </si>
  <si>
    <t>A_9873000</t>
  </si>
  <si>
    <t>Gas Compressor Station Fuel and Power</t>
  </si>
  <si>
    <t>A_9874000</t>
  </si>
  <si>
    <t>Gas Mains and Services Expenses</t>
  </si>
  <si>
    <t>A_9875000</t>
  </si>
  <si>
    <t>Gas Measuring &amp; Regulating Station Exp-General</t>
  </si>
  <si>
    <t>A_9876000</t>
  </si>
  <si>
    <t>Gas Measuring &amp; Regulating Station Exp-Industrial</t>
  </si>
  <si>
    <t>A_9877000</t>
  </si>
  <si>
    <t>Gas Measuring &amp; Regulating Exp-City Gate Chk Statn</t>
  </si>
  <si>
    <t>A_9878000</t>
  </si>
  <si>
    <t>Gas Meter and House Regulator Expenses</t>
  </si>
  <si>
    <t>A_9879000</t>
  </si>
  <si>
    <t>Gas Distribution Customer Installations Expenses</t>
  </si>
  <si>
    <t>A_9880000</t>
  </si>
  <si>
    <t>Gas Distribution Other Expenses</t>
  </si>
  <si>
    <t>A_9881000</t>
  </si>
  <si>
    <t>Gas Distribution Rents</t>
  </si>
  <si>
    <t>A_9885000</t>
  </si>
  <si>
    <t>Gas Distribution Maint Supervision &amp; Engineering</t>
  </si>
  <si>
    <t>A_9886000</t>
  </si>
  <si>
    <t>Gas Distrib Maintenance Structures &amp; Improvements</t>
  </si>
  <si>
    <t>A_9887000</t>
  </si>
  <si>
    <t>Gas Distribution Maintenance of Mains</t>
  </si>
  <si>
    <t>A_9888000</t>
  </si>
  <si>
    <t>Gas Distrib Maintenance Compressor Station Equip</t>
  </si>
  <si>
    <t>A_9889000</t>
  </si>
  <si>
    <t>Gas Distrib Maint Meas Reg Station Exp-General</t>
  </si>
  <si>
    <t>A_9890000</t>
  </si>
  <si>
    <t>Gas Distrib Maint Meas Reg Station Exp-Industrial</t>
  </si>
  <si>
    <t>A_9891000</t>
  </si>
  <si>
    <t>Gas Distrib Maint Meas Reg Exp-City Gate Chk Statn</t>
  </si>
  <si>
    <t>A_9892000</t>
  </si>
  <si>
    <t>Gas Distribution Maintenance of Services</t>
  </si>
  <si>
    <t>A_9893000</t>
  </si>
  <si>
    <t>Gas Distribution Maint Meters and House Regulators</t>
  </si>
  <si>
    <t>A_9894000</t>
  </si>
  <si>
    <t>Gas Distribution Maintenance of Other Equipment</t>
  </si>
  <si>
    <t>A_9901000</t>
  </si>
  <si>
    <t>Customer Accts Supervision</t>
  </si>
  <si>
    <t>A_9902000</t>
  </si>
  <si>
    <t>Customer Accts Meter Reading Expenses</t>
  </si>
  <si>
    <t>A_9903000</t>
  </si>
  <si>
    <t>Customer Accts Customer Records and Collection Exp</t>
  </si>
  <si>
    <t>A_9904000</t>
  </si>
  <si>
    <t>Customer Uncollectible Accounts</t>
  </si>
  <si>
    <t>A_9905000</t>
  </si>
  <si>
    <t>Miscellaneous Customer Accounts Expense</t>
  </si>
  <si>
    <t>A_9907000</t>
  </si>
  <si>
    <t>Customer Service Supervision</t>
  </si>
  <si>
    <t>A_9908000</t>
  </si>
  <si>
    <t>A_9909000</t>
  </si>
  <si>
    <t>Cust Svc Informational &amp; Instructional Advertising</t>
  </si>
  <si>
    <t>A_9910000</t>
  </si>
  <si>
    <t>Misc Customer Service and Informational Expenses</t>
  </si>
  <si>
    <t>A_9911000</t>
  </si>
  <si>
    <t>Sales Exp Supervision</t>
  </si>
  <si>
    <t>A_9912000</t>
  </si>
  <si>
    <t>Sales Demonstrating and Selling Expenses</t>
  </si>
  <si>
    <t>A_9913000</t>
  </si>
  <si>
    <t>Sales Advertising Expenses</t>
  </si>
  <si>
    <t>A_9916000</t>
  </si>
  <si>
    <t>Miscellaneous Sales Expenses</t>
  </si>
  <si>
    <t>A_9920000</t>
  </si>
  <si>
    <t>Administrative and General Salaries</t>
  </si>
  <si>
    <t>A_9921000</t>
  </si>
  <si>
    <t>Office Supplies and Expenses</t>
  </si>
  <si>
    <t>A_9922000</t>
  </si>
  <si>
    <t>Administrative Expenses Transferred - Credit</t>
  </si>
  <si>
    <t>A_9923000</t>
  </si>
  <si>
    <t>Outside Services Employed</t>
  </si>
  <si>
    <t>A_9924000</t>
  </si>
  <si>
    <t>A_9925000</t>
  </si>
  <si>
    <t>Injuries and Damages</t>
  </si>
  <si>
    <t>A_9926000</t>
  </si>
  <si>
    <t>Employee Pensions and Benefits</t>
  </si>
  <si>
    <t>A_9927000</t>
  </si>
  <si>
    <t>Franchise Requirements</t>
  </si>
  <si>
    <t>A_9928000</t>
  </si>
  <si>
    <t>Regulatory Commission Expenses</t>
  </si>
  <si>
    <t>A_9929000</t>
  </si>
  <si>
    <t>Duplicate Charges - Credit</t>
  </si>
  <si>
    <t>A_9930100</t>
  </si>
  <si>
    <t>General Advertising Expenses</t>
  </si>
  <si>
    <t>A_9930200</t>
  </si>
  <si>
    <t>Miscellaneous General Expenses</t>
  </si>
  <si>
    <t>A_9931000</t>
  </si>
  <si>
    <t>Admin &amp; General Rents</t>
  </si>
  <si>
    <t>A_9932000</t>
  </si>
  <si>
    <t>Admin &amp; General Gas Maintenance of General Plant</t>
  </si>
  <si>
    <t>A_9935000</t>
  </si>
  <si>
    <t>Admin &amp; General Elec Maintenance of General Plant</t>
  </si>
  <si>
    <t>_16</t>
  </si>
  <si>
    <t>AFG_166_167</t>
  </si>
  <si>
    <t>Advances for Gas (166-167)</t>
  </si>
  <si>
    <t>FNM</t>
  </si>
  <si>
    <t>CAWFNMO_130</t>
  </si>
  <si>
    <t>Cash and Working Funds (Non-major only) (130)</t>
  </si>
  <si>
    <t>_20</t>
  </si>
  <si>
    <t>CSS_202</t>
  </si>
  <si>
    <t>Capital Stock Subscribed (202,205)</t>
  </si>
  <si>
    <t>_17</t>
  </si>
  <si>
    <t>DIA_175</t>
  </si>
  <si>
    <t>Derivative Instrument Assets (175)</t>
  </si>
  <si>
    <t>_24</t>
  </si>
  <si>
    <t>DIL_244</t>
  </si>
  <si>
    <t>Derivative Instrument Liabilities (244)</t>
  </si>
  <si>
    <t>CS_</t>
  </si>
  <si>
    <t>IROCS_212</t>
  </si>
  <si>
    <t>Installments Received on Capital Stock (212)</t>
  </si>
  <si>
    <t>_40</t>
  </si>
  <si>
    <t>ITO_409.1</t>
  </si>
  <si>
    <t>Income Taxes - Other (409.1)</t>
  </si>
  <si>
    <t>ITO_409.2</t>
  </si>
  <si>
    <t>Income Taxes - Otherl (409.2)</t>
  </si>
  <si>
    <t>FA</t>
  </si>
  <si>
    <t>LAPFA</t>
  </si>
  <si>
    <t>(Less) Accumulated Provision for Amortization</t>
  </si>
  <si>
    <t>LDOCS_213</t>
  </si>
  <si>
    <t>(Less) Discount on Capital Stock (213)</t>
  </si>
  <si>
    <t>POD</t>
  </si>
  <si>
    <t>LLTPODI</t>
  </si>
  <si>
    <t>(Less) Long-Term Portion of Derivative Instru</t>
  </si>
  <si>
    <t>LLTPODI_L</t>
  </si>
  <si>
    <t>OA</t>
  </si>
  <si>
    <t>LNPOA</t>
  </si>
  <si>
    <t>(Less) Noncurrent Portion of Allowances</t>
  </si>
  <si>
    <t>_22</t>
  </si>
  <si>
    <t>LRB_222</t>
  </si>
  <si>
    <t>(Less) Reaquired Bonds (222)</t>
  </si>
  <si>
    <t>S_2</t>
  </si>
  <si>
    <t>LRCS_217</t>
  </si>
  <si>
    <t>(Less) Reaquired Capital Stock (217)</t>
  </si>
  <si>
    <t>ODA</t>
  </si>
  <si>
    <t>LTPODA_175</t>
  </si>
  <si>
    <t>Long-Term Portion of Derivative Assets (175)</t>
  </si>
  <si>
    <t>LTPODAH</t>
  </si>
  <si>
    <t>Long-Term Portion of Derivative Assets - Hedg</t>
  </si>
  <si>
    <t>ODI</t>
  </si>
  <si>
    <t>LTPODIL</t>
  </si>
  <si>
    <t>Long-Term Portion of Derivative Instrument Li</t>
  </si>
  <si>
    <t>URE</t>
  </si>
  <si>
    <t>MATURED_INT_240</t>
  </si>
  <si>
    <t>Matured Interest (240)</t>
  </si>
  <si>
    <t>D_2</t>
  </si>
  <si>
    <t>MLTD_239</t>
  </si>
  <si>
    <t>Matured Long-Term Debt (239)</t>
  </si>
  <si>
    <t>IR_</t>
  </si>
  <si>
    <t>NFAIR_120.3</t>
  </si>
  <si>
    <t>Nuclear Fuel Assemblies in Reactor (120.3)</t>
  </si>
  <si>
    <t>POR</t>
  </si>
  <si>
    <t>NFIPORCE</t>
  </si>
  <si>
    <t>Nuclear Fuel in Process of Ref., Conv., Enric</t>
  </si>
  <si>
    <t>AAS</t>
  </si>
  <si>
    <t>NFMAAS</t>
  </si>
  <si>
    <t>Nuclear Fuel Materials and Assemblies - Stock</t>
  </si>
  <si>
    <t>CL_</t>
  </si>
  <si>
    <t>NFUCL_120.6</t>
  </si>
  <si>
    <t>Nuclear Fuel Under Capital Leases (120.6)</t>
  </si>
  <si>
    <t>FS_</t>
  </si>
  <si>
    <t>NMHFS_157</t>
  </si>
  <si>
    <t>Nuclear Materiald Held for Sale (157)</t>
  </si>
  <si>
    <t>MO</t>
  </si>
  <si>
    <t>NPNMO</t>
  </si>
  <si>
    <t>Noncorporate Proprietorship (Non-major only)</t>
  </si>
  <si>
    <t>A</t>
  </si>
  <si>
    <t>NPOA</t>
  </si>
  <si>
    <t>Noncurrent Portion of Allowances</t>
  </si>
  <si>
    <t>PSI_204</t>
  </si>
  <si>
    <t>Preferred Stock Issued (204)</t>
  </si>
  <si>
    <t>MO_</t>
  </si>
  <si>
    <t>SFNMO_129</t>
  </si>
  <si>
    <t>Special Funds (Non Major Only) (129)</t>
  </si>
  <si>
    <t>C_2</t>
  </si>
  <si>
    <t>SLFC_203</t>
  </si>
  <si>
    <t>Stock Liability for Conversion (203,206)</t>
  </si>
  <si>
    <t>_12</t>
  </si>
  <si>
    <t>SNF_120.4</t>
  </si>
  <si>
    <t>Spent Nuclear Fuel (120.4)</t>
  </si>
  <si>
    <t>P_F</t>
  </si>
  <si>
    <t>TEMP_FACILITIES_185</t>
  </si>
  <si>
    <t>Temporary Facilities (185)</t>
  </si>
  <si>
    <t>WKG_BUDGET</t>
  </si>
  <si>
    <t>2025.TOTAL</t>
  </si>
  <si>
    <t xml:space="preserve"> COST/PROFIT </t>
  </si>
  <si>
    <t xml:space="preserve"> COST </t>
  </si>
  <si>
    <t xml:space="preserve">  </t>
  </si>
  <si>
    <t xml:space="preserve"> WORKING BUDGET </t>
  </si>
  <si>
    <t xml:space="preserve"> CENTER </t>
  </si>
  <si>
    <t xml:space="preserve"> ELEMENT </t>
  </si>
  <si>
    <t xml:space="preserve"> ACCOUNT ID </t>
  </si>
  <si>
    <t xml:space="preserve"> ACCOUNT DESCRIPTION </t>
  </si>
  <si>
    <t xml:space="preserve"> 2025 JAN </t>
  </si>
  <si>
    <t xml:space="preserve"> 2025 FEB </t>
  </si>
  <si>
    <t xml:space="preserve"> 2025 MAR </t>
  </si>
  <si>
    <t xml:space="preserve"> 2025 APR </t>
  </si>
  <si>
    <t xml:space="preserve"> 2025 MAY </t>
  </si>
  <si>
    <t xml:space="preserve"> 2025 JUN </t>
  </si>
  <si>
    <t xml:space="preserve"> 2025 JUL </t>
  </si>
  <si>
    <t xml:space="preserve"> 2025 AUG </t>
  </si>
  <si>
    <t xml:space="preserve"> 2025 SEP </t>
  </si>
  <si>
    <t xml:space="preserve"> 2025 OCT </t>
  </si>
  <si>
    <t xml:space="preserve"> 2025 NOV </t>
  </si>
  <si>
    <t xml:space="preserve"> 2025 DEC </t>
  </si>
  <si>
    <t xml:space="preserve"> 2025 TOTAL </t>
  </si>
  <si>
    <t xml:space="preserve"> Utility Plant in Service </t>
  </si>
  <si>
    <t xml:space="preserve"> Property Under Capital Leases </t>
  </si>
  <si>
    <t xml:space="preserve"> Plant Purchased or Sold </t>
  </si>
  <si>
    <t xml:space="preserve"> Experimental Plant Unclassified </t>
  </si>
  <si>
    <t xml:space="preserve"> Plant in Process of Reclassification </t>
  </si>
  <si>
    <t xml:space="preserve"> Plant Leased to Others </t>
  </si>
  <si>
    <t xml:space="preserve"> Plant Held for Future Use </t>
  </si>
  <si>
    <t xml:space="preserve"> Production Properties Held for Future Use </t>
  </si>
  <si>
    <t xml:space="preserve"> Completed Construction Not Classified </t>
  </si>
  <si>
    <t xml:space="preserve"> Construction Work in Progress </t>
  </si>
  <si>
    <t xml:space="preserve"> Accumulated Provision for Depreciation </t>
  </si>
  <si>
    <t xml:space="preserve"> Accumulated Provision For Amortization </t>
  </si>
  <si>
    <t xml:space="preserve"> Plant Acquisition Adjustments </t>
  </si>
  <si>
    <t xml:space="preserve"> Accum Provision Amort Plant Acquisition Adjustment </t>
  </si>
  <si>
    <t xml:space="preserve"> Other Plant Adjustments </t>
  </si>
  <si>
    <t xml:space="preserve"> Gas Stored - Base Gas </t>
  </si>
  <si>
    <t xml:space="preserve"> System Balancing Gas </t>
  </si>
  <si>
    <t xml:space="preserve"> Gas Stored in Reservoirs and Pipelines-Noncurrent </t>
  </si>
  <si>
    <t xml:space="preserve"> Gas Owed to System Gas </t>
  </si>
  <si>
    <t xml:space="preserve"> Other Utility Plant </t>
  </si>
  <si>
    <t xml:space="preserve"> Accum Provision Depr Amort Other Utility Plant </t>
  </si>
  <si>
    <t xml:space="preserve"> Nonutility Property </t>
  </si>
  <si>
    <t xml:space="preserve"> Accum Provision Depr Amortiz Nonutility Property </t>
  </si>
  <si>
    <t xml:space="preserve"> Investment in Associated Companies </t>
  </si>
  <si>
    <t xml:space="preserve"> Investment in Subsidiary Companies </t>
  </si>
  <si>
    <t xml:space="preserve"> Other Investments </t>
  </si>
  <si>
    <t xml:space="preserve"> Sinking Funds </t>
  </si>
  <si>
    <t xml:space="preserve"> Depreciation Fund </t>
  </si>
  <si>
    <t xml:space="preserve"> Amortization Fund - Federal </t>
  </si>
  <si>
    <t xml:space="preserve"> Other Special Funds </t>
  </si>
  <si>
    <t xml:space="preserve"> Cash </t>
  </si>
  <si>
    <t xml:space="preserve"> Interest Special Deposits </t>
  </si>
  <si>
    <t xml:space="preserve"> Dividend Special Deposits </t>
  </si>
  <si>
    <t xml:space="preserve"> Other Special Deposits </t>
  </si>
  <si>
    <t xml:space="preserve"> Working Funds </t>
  </si>
  <si>
    <t xml:space="preserve"> Temporary Cash Investments </t>
  </si>
  <si>
    <t xml:space="preserve"> Notes Receivable </t>
  </si>
  <si>
    <t xml:space="preserve"> Customer Accounts Receivable </t>
  </si>
  <si>
    <t xml:space="preserve"> Other Accounts Receivable </t>
  </si>
  <si>
    <t xml:space="preserve"> Accumulated Provision Uncollectible Accounts-Cr </t>
  </si>
  <si>
    <t xml:space="preserve"> Notes Receivable from Associated Companies </t>
  </si>
  <si>
    <t xml:space="preserve"> Accounts Receivable from Associated Companies </t>
  </si>
  <si>
    <t xml:space="preserve"> Fuel Stock </t>
  </si>
  <si>
    <t xml:space="preserve"> Fuel Stock Expenses Undistributed </t>
  </si>
  <si>
    <t xml:space="preserve"> Residuals and Extracted Products </t>
  </si>
  <si>
    <t xml:space="preserve"> Plant Materials and Operating Supplies </t>
  </si>
  <si>
    <t xml:space="preserve"> Merchandise </t>
  </si>
  <si>
    <t xml:space="preserve"> Other Materials and Supplies </t>
  </si>
  <si>
    <t xml:space="preserve"> Allowance Inventory </t>
  </si>
  <si>
    <t xml:space="preserve"> Allowances Withheld </t>
  </si>
  <si>
    <t xml:space="preserve"> Stores Expense Undistributed </t>
  </si>
  <si>
    <t xml:space="preserve"> Gas Stored - Current </t>
  </si>
  <si>
    <t xml:space="preserve"> Liquefied Natural Gas Stored </t>
  </si>
  <si>
    <t xml:space="preserve"> Liquefied Natural Gas Held For Processing </t>
  </si>
  <si>
    <t xml:space="preserve"> Prepayments </t>
  </si>
  <si>
    <t xml:space="preserve"> Interest and Dividends Receivable </t>
  </si>
  <si>
    <t xml:space="preserve"> Rents Receivable </t>
  </si>
  <si>
    <t xml:space="preserve"> Accrued Utility Revenues </t>
  </si>
  <si>
    <t xml:space="preserve"> Miscellaneous Current and Accrued Assets </t>
  </si>
  <si>
    <t xml:space="preserve"> Derivative Instrument Assets - Hedges </t>
  </si>
  <si>
    <t xml:space="preserve"> Unamortized Debt Expense </t>
  </si>
  <si>
    <t xml:space="preserve"> Extraordinary Property Losses </t>
  </si>
  <si>
    <t xml:space="preserve"> Unrecovered Plant and Regulatory Study Costs </t>
  </si>
  <si>
    <t xml:space="preserve"> Other Regulatory Assets </t>
  </si>
  <si>
    <t xml:space="preserve"> Preliminary Survey and Investigation Charges </t>
  </si>
  <si>
    <t xml:space="preserve"> Prelim Natural Gas Survey &amp; Investigation Charges </t>
  </si>
  <si>
    <t xml:space="preserve"> Other Preliminary Survey and Investigation Charges </t>
  </si>
  <si>
    <t xml:space="preserve"> Clearing Accounts </t>
  </si>
  <si>
    <t xml:space="preserve"> FERC Balance Sheet Clearing </t>
  </si>
  <si>
    <t xml:space="preserve"> Miscellaneous Deferred Debits </t>
  </si>
  <si>
    <t xml:space="preserve"> Deferred Losses from Disposition of Utility Plant </t>
  </si>
  <si>
    <t xml:space="preserve"> Research Development &amp; Demonstration Expenditures </t>
  </si>
  <si>
    <t xml:space="preserve"> Unamortized Loss on Reacquired Debt </t>
  </si>
  <si>
    <t xml:space="preserve"> Accumulated Deferred Income Taxes </t>
  </si>
  <si>
    <t xml:space="preserve"> Unrecovered Purchased Gas Costs </t>
  </si>
  <si>
    <t xml:space="preserve"> Common Stock Issued </t>
  </si>
  <si>
    <t xml:space="preserve"> Premium on Capital Stock </t>
  </si>
  <si>
    <t xml:space="preserve"> Donations Received from Stockholders </t>
  </si>
  <si>
    <t xml:space="preserve"> Miscellaneous Paid-in Capital </t>
  </si>
  <si>
    <t xml:space="preserve"> Capital Stock Expense </t>
  </si>
  <si>
    <t xml:space="preserve"> Appropriated Retained Earnings </t>
  </si>
  <si>
    <t xml:space="preserve"> Appropriated Retained Earn-Amortiz Reserve Federal </t>
  </si>
  <si>
    <t xml:space="preserve"> Unappropriated Retained Earnings </t>
  </si>
  <si>
    <t xml:space="preserve"> Unappropriated Undistributed Subsidiary Earnings </t>
  </si>
  <si>
    <t xml:space="preserve"> Accumulated Other Comprehensive Income </t>
  </si>
  <si>
    <t xml:space="preserve"> Bonds </t>
  </si>
  <si>
    <t xml:space="preserve"> Advances from Associated Companies </t>
  </si>
  <si>
    <t xml:space="preserve"> Other Long-Term Debt </t>
  </si>
  <si>
    <t xml:space="preserve"> Unamortized Premium on Long-Term Debt </t>
  </si>
  <si>
    <t xml:space="preserve"> Unamortized Discount on Long-Term Debt </t>
  </si>
  <si>
    <t xml:space="preserve"> Obligations Under Capital Leases - Noncurrent </t>
  </si>
  <si>
    <t xml:space="preserve"> Accumulated Provision for Property Insurance </t>
  </si>
  <si>
    <t xml:space="preserve"> Accumulated Provision for Injuries and Damages </t>
  </si>
  <si>
    <t xml:space="preserve"> Accumulated Provision for Pension and Benefits </t>
  </si>
  <si>
    <t xml:space="preserve"> Accumulated Miscellaneous Operating Provisions </t>
  </si>
  <si>
    <t xml:space="preserve"> Accumulated Provision for Rate Refunds </t>
  </si>
  <si>
    <t xml:space="preserve"> Asset Retirement Obligations </t>
  </si>
  <si>
    <t xml:space="preserve"> Notes Payable (Borrowings &lt; 1 Year Duration) </t>
  </si>
  <si>
    <t xml:space="preserve"> Accounts Payable </t>
  </si>
  <si>
    <t xml:space="preserve"> Notes Payable to Associated Companies </t>
  </si>
  <si>
    <t xml:space="preserve"> Accounts Payable to Associated Companies </t>
  </si>
  <si>
    <t xml:space="preserve"> Customer Deposits </t>
  </si>
  <si>
    <t xml:space="preserve"> Taxes Accrued </t>
  </si>
  <si>
    <t xml:space="preserve"> Interest Accrued </t>
  </si>
  <si>
    <t xml:space="preserve"> Dividends Declared </t>
  </si>
  <si>
    <t xml:space="preserve"> Tax Collections Payable </t>
  </si>
  <si>
    <t xml:space="preserve"> Miscellaneous Current and Accrued Liabilities </t>
  </si>
  <si>
    <t xml:space="preserve"> Obligations Under Capital Leases - Current </t>
  </si>
  <si>
    <t xml:space="preserve"> Derivative Instrument Liabilities - Hedges </t>
  </si>
  <si>
    <t xml:space="preserve"> Customer Advances for Construction </t>
  </si>
  <si>
    <t xml:space="preserve"> Other Deferred Credits </t>
  </si>
  <si>
    <t xml:space="preserve"> Other Regulatory Liabilities </t>
  </si>
  <si>
    <t xml:space="preserve"> Accumulated Deferred Investment Tax Credits </t>
  </si>
  <si>
    <t xml:space="preserve"> Deferred Gains from Disposition of Utility Plant </t>
  </si>
  <si>
    <t xml:space="preserve"> Unamortized Gain on Reacquired Debt </t>
  </si>
  <si>
    <t xml:space="preserve"> Accum Defd Inc Taxes-Accelerated Amortiz Property </t>
  </si>
  <si>
    <t xml:space="preserve"> Accumulated Deferred Income Taxes-Other Property </t>
  </si>
  <si>
    <t xml:space="preserve"> Accumulated Deferred Income Taxes-Other </t>
  </si>
  <si>
    <t xml:space="preserve"> Depreciation Expense </t>
  </si>
  <si>
    <t xml:space="preserve"> Depreciation Expense for Asset Retirement Costs </t>
  </si>
  <si>
    <t xml:space="preserve"> Amortization of Limited-Term Electric Plant </t>
  </si>
  <si>
    <t xml:space="preserve"> Amort Deplet Producing Nat Gas Land &amp; Land Rights </t>
  </si>
  <si>
    <t xml:space="preserve"> Amort of Underground Storage Land &amp; Land Rights </t>
  </si>
  <si>
    <t xml:space="preserve"> Amortization of Other Limited-Term Gas Plant </t>
  </si>
  <si>
    <t xml:space="preserve"> Amortization of Other Electric/Gas Plant </t>
  </si>
  <si>
    <t xml:space="preserve"> Amortization of Plant Acquisition Adjustment </t>
  </si>
  <si>
    <t xml:space="preserve"> Amortiz Ele Prop Loss Unrecv Plant RegulStudy Cost </t>
  </si>
  <si>
    <t xml:space="preserve"> Amortiz Gas Prop Loss Unrecv Plant RegulStudy Cost </t>
  </si>
  <si>
    <t xml:space="preserve"> Amortization of Conversion Expenses </t>
  </si>
  <si>
    <t xml:space="preserve"> Regulatory Debits </t>
  </si>
  <si>
    <t xml:space="preserve"> Regulatory Credits </t>
  </si>
  <si>
    <t xml:space="preserve"> Taxes Other Than Inc Taxes-Utility Operating Inc </t>
  </si>
  <si>
    <t xml:space="preserve"> Taxes Other Than Inc Taxes-Other Income &amp; Deduct </t>
  </si>
  <si>
    <t xml:space="preserve"> Income Taxes - Utility Operating Income </t>
  </si>
  <si>
    <t xml:space="preserve"> Income Taxes - Other Income and Deductions </t>
  </si>
  <si>
    <t xml:space="preserve"> Income Taxes - Extraordinary Items </t>
  </si>
  <si>
    <t xml:space="preserve"> Provision for Defd Inc Tax - Utility Operating Inc </t>
  </si>
  <si>
    <t xml:space="preserve"> Provision for Defd Inc Tax - Other Inc and Deduct </t>
  </si>
  <si>
    <t xml:space="preserve"> Provision for Defd Inc Taxes-CR Utility Oper Inc </t>
  </si>
  <si>
    <t xml:space="preserve"> Provision for Defd Inc Taxes-CR Other Inc &amp; Deduct </t>
  </si>
  <si>
    <t xml:space="preserve"> Investment Tax Credit Adjustm-Utility Operations </t>
  </si>
  <si>
    <t xml:space="preserve"> Investment Tax Credit Adj - Nonutility Operations </t>
  </si>
  <si>
    <t xml:space="preserve"> Gains From Disposition of Utility Plant </t>
  </si>
  <si>
    <t xml:space="preserve"> Losses From Disposition of Utility Plant </t>
  </si>
  <si>
    <t xml:space="preserve"> Gains From Disposition of Allowances </t>
  </si>
  <si>
    <t xml:space="preserve"> Losses From Disposition of Allowances </t>
  </si>
  <si>
    <t xml:space="preserve"> Revenues from Gas Plant Leased to Others </t>
  </si>
  <si>
    <t xml:space="preserve"> Expense of Util Plant leased to Others </t>
  </si>
  <si>
    <t xml:space="preserve"> Other Utility Operating Income </t>
  </si>
  <si>
    <t xml:space="preserve"> Revenues frm Merchandising Jobbing &amp; Contract Work </t>
  </si>
  <si>
    <t xml:space="preserve"> Costs of Merchandising Jobbing and Contract Work </t>
  </si>
  <si>
    <t xml:space="preserve"> Revenues from Nonutility Operations </t>
  </si>
  <si>
    <t xml:space="preserve"> Expenses of Nonutility Operations </t>
  </si>
  <si>
    <t xml:space="preserve"> Nonoperating Rental Income </t>
  </si>
  <si>
    <t xml:space="preserve"> Equity in Earnings of Subsidiary Companies </t>
  </si>
  <si>
    <t xml:space="preserve"> Interest and Dividend Income </t>
  </si>
  <si>
    <t xml:space="preserve"> Allowance for Other Funds Used During Construction </t>
  </si>
  <si>
    <t xml:space="preserve"> Investment Tax Credits Oth Inc and Deduct </t>
  </si>
  <si>
    <t xml:space="preserve"> Miscellaneous Nonoperating Income </t>
  </si>
  <si>
    <t xml:space="preserve"> Gain on Disposition of Property </t>
  </si>
  <si>
    <t xml:space="preserve"> Loss on Disposition of Property </t>
  </si>
  <si>
    <t xml:space="preserve"> Miscellaneous Amortization </t>
  </si>
  <si>
    <t xml:space="preserve"> Other Expense - Donations </t>
  </si>
  <si>
    <t xml:space="preserve"> Other Expense - Life Insurance </t>
  </si>
  <si>
    <t xml:space="preserve"> Other Expense - Penalties </t>
  </si>
  <si>
    <t xml:space="preserve"> Exp Certain Civic Political &amp; Related Activities </t>
  </si>
  <si>
    <t xml:space="preserve"> Other Deductions </t>
  </si>
  <si>
    <t xml:space="preserve"> Interest on Long-Term Debt </t>
  </si>
  <si>
    <t xml:space="preserve"> Amortization of Debt Discount and Expense </t>
  </si>
  <si>
    <t xml:space="preserve"> Amortization of Loss on Reacquired Debt </t>
  </si>
  <si>
    <t xml:space="preserve"> Amortization of Premium on Debt - Credit </t>
  </si>
  <si>
    <t xml:space="preserve"> Amortization of Gain on Reacquired Debt - Credit </t>
  </si>
  <si>
    <t xml:space="preserve"> Interest on Debt to Associated Companies </t>
  </si>
  <si>
    <t xml:space="preserve"> Other Interest Expense </t>
  </si>
  <si>
    <t xml:space="preserve"> Allow Borrowed Funds Used During Construct-Credit </t>
  </si>
  <si>
    <t xml:space="preserve"> Balance Transferred from Income </t>
  </si>
  <si>
    <t xml:space="preserve"> Extraordinary Income </t>
  </si>
  <si>
    <t xml:space="preserve"> Extraordinary Deductions </t>
  </si>
  <si>
    <t xml:space="preserve"> Dividends Declared - Common Stock </t>
  </si>
  <si>
    <t xml:space="preserve"> Electric Residential Sales </t>
  </si>
  <si>
    <t xml:space="preserve"> Electric Commercial and Industrial Sales </t>
  </si>
  <si>
    <t xml:space="preserve"> Electric Public Street and Highway Lighting </t>
  </si>
  <si>
    <t xml:space="preserve"> Electric Other Sales to Public Authorities </t>
  </si>
  <si>
    <t xml:space="preserve"> Electric Sales to Railroads And Railways </t>
  </si>
  <si>
    <t xml:space="preserve"> Electric Sales For Resale </t>
  </si>
  <si>
    <t xml:space="preserve"> Electric Interdepartmental Sales </t>
  </si>
  <si>
    <t xml:space="preserve"> Electric Provision for Rate Refunds </t>
  </si>
  <si>
    <t xml:space="preserve"> Electric Forfeited Discounts </t>
  </si>
  <si>
    <t xml:space="preserve"> Electric Miscellaneous Service Revenues </t>
  </si>
  <si>
    <t xml:space="preserve"> Sales of Water and Water Power </t>
  </si>
  <si>
    <t xml:space="preserve"> Electric Rent from Electric Property </t>
  </si>
  <si>
    <t xml:space="preserve"> Electric Interdepartmental Rents </t>
  </si>
  <si>
    <t xml:space="preserve"> Electric Other Electric Revenues </t>
  </si>
  <si>
    <t xml:space="preserve"> Revenues frm Transmission of Electricity of Others </t>
  </si>
  <si>
    <t xml:space="preserve"> Interco Svc Company Revenue-Direct Costs </t>
  </si>
  <si>
    <t xml:space="preserve"> Interco Svc Company Revenue-Indirect Costs </t>
  </si>
  <si>
    <t xml:space="preserve"> Svc Company Revenue - Non-Assoc Co - Direct Costs </t>
  </si>
  <si>
    <t xml:space="preserve"> Gas Residential Sales </t>
  </si>
  <si>
    <t xml:space="preserve"> Gas Commercial and Industrial Sales </t>
  </si>
  <si>
    <t xml:space="preserve"> Gas Other Sales to Public Authorities </t>
  </si>
  <si>
    <t xml:space="preserve"> Gas Sales For Resale </t>
  </si>
  <si>
    <t xml:space="preserve"> Gas Interdepartmental Sales </t>
  </si>
  <si>
    <t xml:space="preserve"> Gas Intracompany Transfers </t>
  </si>
  <si>
    <t xml:space="preserve"> Gas Forfeited Discounts </t>
  </si>
  <si>
    <t xml:space="preserve"> Gas Miscellaneous Service Revenues </t>
  </si>
  <si>
    <t xml:space="preserve"> Gas Rev Transport Gas of Others Gathering Facility </t>
  </si>
  <si>
    <t xml:space="preserve"> Gas Rev Transport Gas of Others Transm Facility </t>
  </si>
  <si>
    <t xml:space="preserve"> Gas Rev Transport Gas of Others Distrib Facility </t>
  </si>
  <si>
    <t xml:space="preserve"> Gas Revenues from Storing Gas of Others </t>
  </si>
  <si>
    <t xml:space="preserve"> Gas Sales of Products Extracted from Natural Gas </t>
  </si>
  <si>
    <t xml:space="preserve"> Gas Revenues from Natural Gas Processed by Others </t>
  </si>
  <si>
    <t xml:space="preserve"> Gas Incidental Gasoline and Oil Sales </t>
  </si>
  <si>
    <t xml:space="preserve"> Gas Rent from Gas Property </t>
  </si>
  <si>
    <t xml:space="preserve"> Gas Interdepartmental Rents </t>
  </si>
  <si>
    <t xml:space="preserve"> Gas Other Gas Revenues </t>
  </si>
  <si>
    <t xml:space="preserve"> Gas Provision For Rate Refunds </t>
  </si>
  <si>
    <t xml:space="preserve"> Steam Operation Supervision And Engineering </t>
  </si>
  <si>
    <t xml:space="preserve"> Steam Fuel </t>
  </si>
  <si>
    <t xml:space="preserve"> Steam Expenses </t>
  </si>
  <si>
    <t xml:space="preserve"> Steam From Other Sources </t>
  </si>
  <si>
    <t xml:space="preserve"> Steam Transferred - Credit </t>
  </si>
  <si>
    <t xml:space="preserve"> Steam Electric Expenses </t>
  </si>
  <si>
    <t xml:space="preserve"> Miscellaneous Steam Power Expenses </t>
  </si>
  <si>
    <t xml:space="preserve"> Steam Rents </t>
  </si>
  <si>
    <t xml:space="preserve"> Steam Allowances </t>
  </si>
  <si>
    <t xml:space="preserve"> Steam Maintenance Supervision and Engineering </t>
  </si>
  <si>
    <t xml:space="preserve"> Steam Maintenance of Structures </t>
  </si>
  <si>
    <t xml:space="preserve"> Steam Maintenance of Boiler Plant </t>
  </si>
  <si>
    <t xml:space="preserve"> Steam Maintenance of Electric Plant </t>
  </si>
  <si>
    <t xml:space="preserve"> Maintenance of Miscellaneous Steam Plant </t>
  </si>
  <si>
    <t xml:space="preserve"> Nuclear Operation Supervision And Engineering </t>
  </si>
  <si>
    <t xml:space="preserve"> Nuclear Fuel Expense </t>
  </si>
  <si>
    <t xml:space="preserve"> Nuclear Coolants and Water </t>
  </si>
  <si>
    <t xml:space="preserve"> Nuclear Steam Expenses </t>
  </si>
  <si>
    <t xml:space="preserve"> Nuclear Steam from Other Sources </t>
  </si>
  <si>
    <t xml:space="preserve"> Nuclear Steam Transferred - Credit </t>
  </si>
  <si>
    <t xml:space="preserve"> Nuclear Electric Expenses </t>
  </si>
  <si>
    <t xml:space="preserve"> Miscellaneous Nuclear Power Expenses </t>
  </si>
  <si>
    <t xml:space="preserve"> Nuclear Rents </t>
  </si>
  <si>
    <t xml:space="preserve"> Nuclear Maintenance Supervision and Engineering </t>
  </si>
  <si>
    <t xml:space="preserve"> Nuclear Maintenance of Structures </t>
  </si>
  <si>
    <t xml:space="preserve"> Nuclear Maintenance of Reactor Plant Equipment </t>
  </si>
  <si>
    <t xml:space="preserve"> Nuclear Maintenance of Electric Plant </t>
  </si>
  <si>
    <t xml:space="preserve"> Maintenance of Miscellaneous Nuclear Plant </t>
  </si>
  <si>
    <t xml:space="preserve"> Hydraulic Operation Supervision and Engineering </t>
  </si>
  <si>
    <t xml:space="preserve"> Hydraulic Water For Power </t>
  </si>
  <si>
    <t xml:space="preserve"> Hydraulic Expenses </t>
  </si>
  <si>
    <t xml:space="preserve"> Hydraulic Electric Expenses </t>
  </si>
  <si>
    <t xml:space="preserve"> Miscellaneous Hydraulic Power Generation Expenses </t>
  </si>
  <si>
    <t xml:space="preserve"> Hydraulic Rents </t>
  </si>
  <si>
    <t xml:space="preserve"> Hydraulic Maintenance Supervision and Engineering </t>
  </si>
  <si>
    <t xml:space="preserve"> Hydraulic Maintenance of Structures </t>
  </si>
  <si>
    <t xml:space="preserve"> Hydraulic Maintenance Reservoirs Dams &amp; Waterways </t>
  </si>
  <si>
    <t xml:space="preserve"> Hydraulic Maintenance of Electric Plant </t>
  </si>
  <si>
    <t xml:space="preserve"> Maintenance of Miscellaneous Hydraulic Plant </t>
  </si>
  <si>
    <t xml:space="preserve"> Other Power Operation Supervision and Engineering </t>
  </si>
  <si>
    <t xml:space="preserve"> Other Power Fuel </t>
  </si>
  <si>
    <t xml:space="preserve"> Other Power Generation Expenses </t>
  </si>
  <si>
    <t xml:space="preserve"> Operation of Energy Storage Equipment </t>
  </si>
  <si>
    <t xml:space="preserve"> Miscellaneous Other Power Generation Expenses </t>
  </si>
  <si>
    <t xml:space="preserve"> Other Power Rents </t>
  </si>
  <si>
    <t xml:space="preserve"> Other Power Maintenance Supervision &amp; Engineering </t>
  </si>
  <si>
    <t xml:space="preserve"> Other Power Maintenance of Structures </t>
  </si>
  <si>
    <t xml:space="preserve"> Other Power Maint Generating &amp; Electric Equipment </t>
  </si>
  <si>
    <t xml:space="preserve"> Maintenance of Energy Storage Equipment </t>
  </si>
  <si>
    <t xml:space="preserve"> Maintenance of Misc Other Power Generation Plant </t>
  </si>
  <si>
    <t xml:space="preserve"> Other Supply Purchased Power </t>
  </si>
  <si>
    <t xml:space="preserve"> Other Supply System Control and Load Dispatching </t>
  </si>
  <si>
    <t xml:space="preserve"> Other Supply Other Expenses </t>
  </si>
  <si>
    <t xml:space="preserve"> Transmission Operation Supervision And Engineering </t>
  </si>
  <si>
    <t xml:space="preserve"> Transmission Load Dispatch </t>
  </si>
  <si>
    <t xml:space="preserve"> Transmission Load Dispatch - Reliability </t>
  </si>
  <si>
    <t xml:space="preserve"> Transm Load Dispatch-Monitor Operate Transm System </t>
  </si>
  <si>
    <t xml:space="preserve"> Transm Load Dispatch-Transmission Svc &amp; Scheduling </t>
  </si>
  <si>
    <t xml:space="preserve"> Transmission Scheduling Sys Control &amp; Dispatch Svc </t>
  </si>
  <si>
    <t xml:space="preserve"> Transm Reliability Planning &amp; Standards Devlpmt </t>
  </si>
  <si>
    <t xml:space="preserve"> Transmission Service Studies </t>
  </si>
  <si>
    <t xml:space="preserve"> Transmission Generation Interconnection Studies </t>
  </si>
  <si>
    <t xml:space="preserve"> Transm Billed Reliability Planning Stnrds Dev Svcs </t>
  </si>
  <si>
    <t xml:space="preserve"> Transmission Station Expenses </t>
  </si>
  <si>
    <t xml:space="preserve"> Transmission Overhead Line Expenses </t>
  </si>
  <si>
    <t xml:space="preserve"> Transmission Underground Line Expenses </t>
  </si>
  <si>
    <t xml:space="preserve"> Transmission of Electricity by Others </t>
  </si>
  <si>
    <t xml:space="preserve"> Miscellaneous Transmission Expenses </t>
  </si>
  <si>
    <t xml:space="preserve"> Transmission Rents </t>
  </si>
  <si>
    <t xml:space="preserve"> Transmission Maintenance Supervision &amp; Engineering </t>
  </si>
  <si>
    <t xml:space="preserve"> Transmission Maintenance of Structures </t>
  </si>
  <si>
    <t xml:space="preserve"> Transmission Maintenance of Computer Hardware </t>
  </si>
  <si>
    <t xml:space="preserve"> Transmission Maintenance of Computer Software </t>
  </si>
  <si>
    <t xml:space="preserve"> Transmission Maintenance Communication Equipment </t>
  </si>
  <si>
    <t xml:space="preserve"> Transmisison Maint Msc Regional Transmission Plant </t>
  </si>
  <si>
    <t xml:space="preserve"> Transmission Maintenance of Station Equipment </t>
  </si>
  <si>
    <t xml:space="preserve"> Transmission Maintenance of Overhead Lines </t>
  </si>
  <si>
    <t xml:space="preserve"> Transmission Maintenance of Underground Lines </t>
  </si>
  <si>
    <t xml:space="preserve"> Maintenance of Miscellaneous Transmission Plant </t>
  </si>
  <si>
    <t xml:space="preserve"> Regional Market Operation Supervision </t>
  </si>
  <si>
    <t xml:space="preserve"> Regional Day-Ahead &amp; Real-Time Market Facilitation </t>
  </si>
  <si>
    <t xml:space="preserve"> Regional Transmission Rights Market Facilitation </t>
  </si>
  <si>
    <t xml:space="preserve"> Regional Capacity Market Facilitation </t>
  </si>
  <si>
    <t xml:space="preserve"> Regional Ancillary Services Market Facilitation </t>
  </si>
  <si>
    <t xml:space="preserve"> Regional Market Monitoring And Compliance </t>
  </si>
  <si>
    <t xml:space="preserve"> Regional Market Admin Monitoring &amp; Compliance Svcs </t>
  </si>
  <si>
    <t xml:space="preserve"> Regional Market Rents </t>
  </si>
  <si>
    <t xml:space="preserve"> Regional Market Maintenance Structures &amp; Improvm </t>
  </si>
  <si>
    <t xml:space="preserve"> Regional Market Maintenance of Computer Hardware </t>
  </si>
  <si>
    <t xml:space="preserve"> Regional Market Maintenance of Computer Software </t>
  </si>
  <si>
    <t xml:space="preserve"> Regional Market Maintenance of Communication Equip </t>
  </si>
  <si>
    <t xml:space="preserve"> Regional Maintenance Misc Market Operation Plant </t>
  </si>
  <si>
    <t xml:space="preserve"> Distribution Operation Supervision And Engineering </t>
  </si>
  <si>
    <t xml:space="preserve"> Distribution Load Dispatching </t>
  </si>
  <si>
    <t xml:space="preserve"> Distribution Line and Station Supplies &amp; Expenses </t>
  </si>
  <si>
    <t xml:space="preserve"> Distribution Station Expenses </t>
  </si>
  <si>
    <t xml:space="preserve"> Distribution Overhead Line Expenses </t>
  </si>
  <si>
    <t xml:space="preserve"> Distribution Underground Line Expenses </t>
  </si>
  <si>
    <t xml:space="preserve"> Distribution Street Lighting and Signal System Exp </t>
  </si>
  <si>
    <t xml:space="preserve"> Distribution Meter Expenses </t>
  </si>
  <si>
    <t xml:space="preserve"> Distribution Customer Installations Expenses </t>
  </si>
  <si>
    <t xml:space="preserve"> Miscellaneous Distribution Expenses </t>
  </si>
  <si>
    <t xml:space="preserve"> Distribution Rents </t>
  </si>
  <si>
    <t xml:space="preserve"> Distribution Maintenance Supervision &amp; Engineering </t>
  </si>
  <si>
    <t xml:space="preserve"> Distribution Maintenance of Structures </t>
  </si>
  <si>
    <t xml:space="preserve"> Distribution Maintenance of Station Equipment </t>
  </si>
  <si>
    <t xml:space="preserve"> Distribution Maintenance of Structures &amp; Equipment </t>
  </si>
  <si>
    <t xml:space="preserve"> Distribution Maintenance of Overhead Lines </t>
  </si>
  <si>
    <t xml:space="preserve"> Distribution Maintenance of Underground Lines </t>
  </si>
  <si>
    <t xml:space="preserve"> Distribution Maintenance of Line Transformers </t>
  </si>
  <si>
    <t xml:space="preserve"> Distribution Maint Street Lighting &amp; Signal System </t>
  </si>
  <si>
    <t xml:space="preserve"> Distribution Maintenance of Meters </t>
  </si>
  <si>
    <t xml:space="preserve"> Maintenance of Miscellaneous Distribution Plant </t>
  </si>
  <si>
    <t xml:space="preserve"> Natural Gas Well Head Purchases </t>
  </si>
  <si>
    <t xml:space="preserve"> Natural Gas Well Head Purch Intracompany Transfers </t>
  </si>
  <si>
    <t xml:space="preserve"> Natural Gas Field Line Purchases </t>
  </si>
  <si>
    <t xml:space="preserve"> Natural Gas Gasoline Plant Outlet Purchases </t>
  </si>
  <si>
    <t xml:space="preserve"> Natural Gas Transmission Line Purchases </t>
  </si>
  <si>
    <t xml:space="preserve"> Natural Gas City Gate Purchases </t>
  </si>
  <si>
    <t xml:space="preserve"> Liquefied Natural Gas Purchases </t>
  </si>
  <si>
    <t xml:space="preserve"> Other Gas Purchases </t>
  </si>
  <si>
    <t xml:space="preserve"> Purchased Gas Cost Adjustments </t>
  </si>
  <si>
    <t xml:space="preserve"> Exchange Gas </t>
  </si>
  <si>
    <t xml:space="preserve"> Well Expenses - Purchased Gas </t>
  </si>
  <si>
    <t xml:space="preserve"> Operation of Purchased Gas Measuring Stations </t>
  </si>
  <si>
    <t xml:space="preserve"> Maintenance of Purchased Gas Measuring Stations </t>
  </si>
  <si>
    <t xml:space="preserve"> Purchased Gas Calculations Expenses </t>
  </si>
  <si>
    <t xml:space="preserve"> Other Purchased Gas Expenses </t>
  </si>
  <si>
    <t xml:space="preserve"> Gas Withdrawn From Storage - Debit </t>
  </si>
  <si>
    <t xml:space="preserve"> Gas Delivered To Storage - Credit </t>
  </si>
  <si>
    <t xml:space="preserve"> Withdrawals Liquefied Natural Gas Processing-Debit </t>
  </si>
  <si>
    <t xml:space="preserve"> Deliveries of Natural Gas for Processing - Credit </t>
  </si>
  <si>
    <t xml:space="preserve"> Gas Used For Compressor Station Fuel - Credit </t>
  </si>
  <si>
    <t xml:space="preserve"> Gas Used For Products Extraction - Credit </t>
  </si>
  <si>
    <t xml:space="preserve"> Gas Used For Other Utility Operations - Credit </t>
  </si>
  <si>
    <t xml:space="preserve"> Other Gas Supply Expenses </t>
  </si>
  <si>
    <t xml:space="preserve"> Rents </t>
  </si>
  <si>
    <t xml:space="preserve"> Gas Transm Operation Supervison and Engineering </t>
  </si>
  <si>
    <t xml:space="preserve"> Gas Transm Oper System Control and Load Dispatch </t>
  </si>
  <si>
    <t xml:space="preserve"> Gas Transm Operation Communication System </t>
  </si>
  <si>
    <t xml:space="preserve"> Gas Transm Operation Compressor Station </t>
  </si>
  <si>
    <t xml:space="preserve"> Gas Transm Operation Gas Compressor Station Fuel </t>
  </si>
  <si>
    <t xml:space="preserve"> Gas Transm Oper Oth Fuel Power Compresor Station </t>
  </si>
  <si>
    <t xml:space="preserve"> Gas Transm Operation Mains </t>
  </si>
  <si>
    <t xml:space="preserve"> Gas Transm Oper Measuring and Regulating Station </t>
  </si>
  <si>
    <t xml:space="preserve"> Gas Transm Operation Transm Compres Gas by Other </t>
  </si>
  <si>
    <t xml:space="preserve"> Gas Transm Operation Other Expenses </t>
  </si>
  <si>
    <t xml:space="preserve"> Gas Transm Operation Rents </t>
  </si>
  <si>
    <t xml:space="preserve"> Gas Transm Maintenance Supervision &amp; Engineering </t>
  </si>
  <si>
    <t xml:space="preserve"> Gas Transm Maintenance Structures n Improvements </t>
  </si>
  <si>
    <t xml:space="preserve"> Gas Transm Maintenance Mains </t>
  </si>
  <si>
    <t xml:space="preserve"> Gas Transm Maintenance Compressor Station Equip </t>
  </si>
  <si>
    <t xml:space="preserve"> Gas Transm Maint Measuring Regulating Stn Equip </t>
  </si>
  <si>
    <t xml:space="preserve"> Gas Transm Maintenance Communication Equipment </t>
  </si>
  <si>
    <t xml:space="preserve"> Gas Transm Maintenance Other Equipment </t>
  </si>
  <si>
    <t xml:space="preserve"> Gas Distribution Oper Supervision &amp; Engineering </t>
  </si>
  <si>
    <t xml:space="preserve"> Gas Distribution Load Dispatching </t>
  </si>
  <si>
    <t xml:space="preserve"> Gas Compressor Station Labor and Expenses </t>
  </si>
  <si>
    <t xml:space="preserve"> Gas Compressor Station Fuel and Power </t>
  </si>
  <si>
    <t xml:space="preserve"> Gas Mains and Services Expenses </t>
  </si>
  <si>
    <t xml:space="preserve"> Gas Measuring &amp; Regulating Station Exp-General </t>
  </si>
  <si>
    <t xml:space="preserve"> Gas Measuring &amp; Regulating Station Exp-Industrial </t>
  </si>
  <si>
    <t xml:space="preserve"> Gas Measuring &amp; Regulating Exp-City Gate Chk Statn </t>
  </si>
  <si>
    <t xml:space="preserve"> Gas Meter and House Regulator Expenses </t>
  </si>
  <si>
    <t xml:space="preserve"> Gas Distribution Customer Installations Expenses </t>
  </si>
  <si>
    <t xml:space="preserve"> Gas Distribution Other Expenses </t>
  </si>
  <si>
    <t xml:space="preserve"> Gas Distribution Rents </t>
  </si>
  <si>
    <t xml:space="preserve"> Gas Distribution Maint Supervision &amp; Engineering </t>
  </si>
  <si>
    <t xml:space="preserve"> Gas Distrib Maintenance Structures &amp; Improvements </t>
  </si>
  <si>
    <t xml:space="preserve"> Gas Distribution Maintenance of Mains </t>
  </si>
  <si>
    <t xml:space="preserve"> Gas Distrib Maintenance Compressor Station Equip </t>
  </si>
  <si>
    <t xml:space="preserve"> Gas Distrib Maint Meas Reg Station Exp-General </t>
  </si>
  <si>
    <t xml:space="preserve"> Gas Distrib Maint Meas Reg Station Exp-Industrial </t>
  </si>
  <si>
    <t xml:space="preserve"> Gas Distrib Maint Meas Reg Exp-City Gate Chk Statn </t>
  </si>
  <si>
    <t xml:space="preserve"> Gas Distribution Maintenance of Services </t>
  </si>
  <si>
    <t xml:space="preserve"> Gas Distribution Maint Meters and House Regulators </t>
  </si>
  <si>
    <t xml:space="preserve"> Gas Distribution Maintenance of Other Equipment </t>
  </si>
  <si>
    <t xml:space="preserve"> Customer Accts Supervision </t>
  </si>
  <si>
    <t xml:space="preserve"> Customer Accts Meter Reading Expenses </t>
  </si>
  <si>
    <t xml:space="preserve"> Customer Accts Customer Records and Collection Exp </t>
  </si>
  <si>
    <t xml:space="preserve"> Customer Uncollectible Accounts </t>
  </si>
  <si>
    <t xml:space="preserve"> Miscellaneous Customer Accounts Expense </t>
  </si>
  <si>
    <t xml:space="preserve"> Customer Service Supervision </t>
  </si>
  <si>
    <t xml:space="preserve"> Customer Assistance Expenses </t>
  </si>
  <si>
    <t xml:space="preserve"> Cust Svc Informational &amp; Instructional Advertising </t>
  </si>
  <si>
    <t xml:space="preserve"> Misc Customer Service and Informational Expenses </t>
  </si>
  <si>
    <t xml:space="preserve"> Sales Exp Supervision </t>
  </si>
  <si>
    <t xml:space="preserve"> Sales Demonstrating and Selling Expenses </t>
  </si>
  <si>
    <t xml:space="preserve"> Sales Advertising Expenses </t>
  </si>
  <si>
    <t xml:space="preserve"> Miscellaneous Sales Expenses </t>
  </si>
  <si>
    <t xml:space="preserve"> Administrative and General Salaries </t>
  </si>
  <si>
    <t xml:space="preserve"> Office Supplies and Expenses </t>
  </si>
  <si>
    <t xml:space="preserve"> Administrative Expenses Transferred - Credit </t>
  </si>
  <si>
    <t xml:space="preserve"> Outside Services Employed </t>
  </si>
  <si>
    <t xml:space="preserve"> Property Insurance </t>
  </si>
  <si>
    <t xml:space="preserve"> Injuries and Damages </t>
  </si>
  <si>
    <t xml:space="preserve"> Employee Pensions and Benefits </t>
  </si>
  <si>
    <t xml:space="preserve"> Franchise Requirements </t>
  </si>
  <si>
    <t xml:space="preserve"> Regulatory Commission Expenses </t>
  </si>
  <si>
    <t xml:space="preserve"> Duplicate Charges - Credit </t>
  </si>
  <si>
    <t xml:space="preserve"> General Advertising Expenses </t>
  </si>
  <si>
    <t xml:space="preserve"> Miscellaneous General Expenses </t>
  </si>
  <si>
    <t xml:space="preserve"> Admin &amp; General Rents </t>
  </si>
  <si>
    <t xml:space="preserve"> Admin &amp; General Gas Maintenance of General Plant </t>
  </si>
  <si>
    <t xml:space="preserve"> Admin &amp; General Elec Maintenance of General Plant </t>
  </si>
  <si>
    <t xml:space="preserve"> Advances for Gas (166-167) </t>
  </si>
  <si>
    <t xml:space="preserve"> Cash and Working Funds (Non-major only) (130) </t>
  </si>
  <si>
    <t xml:space="preserve"> Capital Stock Subscribed (202,205) </t>
  </si>
  <si>
    <t xml:space="preserve"> Derivative Instrument Assets (175) </t>
  </si>
  <si>
    <t xml:space="preserve"> Derivative Instrument Liabilities (244) </t>
  </si>
  <si>
    <t xml:space="preserve"> Installments Received on Capital Stock (212) </t>
  </si>
  <si>
    <t xml:space="preserve"> Income Taxes - Other (409.1) </t>
  </si>
  <si>
    <t xml:space="preserve"> Income Taxes - Otherl (409.2) </t>
  </si>
  <si>
    <t xml:space="preserve"> (Less) Accumulated Provision for Amortization </t>
  </si>
  <si>
    <t xml:space="preserve"> (Less) Discount on Capital Stock (213) </t>
  </si>
  <si>
    <t xml:space="preserve"> (Less) Long-Term Portion of Derivative Instru </t>
  </si>
  <si>
    <t xml:space="preserve"> (Less) Noncurrent Portion of Allowances </t>
  </si>
  <si>
    <t xml:space="preserve"> (Less) Reaquired Bonds (222) </t>
  </si>
  <si>
    <t xml:space="preserve"> (Less) Reaquired Capital Stock (217) </t>
  </si>
  <si>
    <t xml:space="preserve"> Long-Term Portion of Derivative Assets (175) </t>
  </si>
  <si>
    <t xml:space="preserve"> Long-Term Portion of Derivative Assets - Hedg </t>
  </si>
  <si>
    <t xml:space="preserve"> Long-Term Portion of Derivative Instrument Li </t>
  </si>
  <si>
    <t xml:space="preserve"> Matured Interest (240) </t>
  </si>
  <si>
    <t xml:space="preserve"> Matured Long-Term Debt (239) </t>
  </si>
  <si>
    <t xml:space="preserve"> Nuclear Fuel Assemblies in Reactor (120.3) </t>
  </si>
  <si>
    <t xml:space="preserve"> Nuclear Fuel in Process of Ref., Conv., Enric </t>
  </si>
  <si>
    <t xml:space="preserve"> Nuclear Fuel Materials and Assemblies - Stock </t>
  </si>
  <si>
    <t xml:space="preserve"> Nuclear Fuel Under Capital Leases (120.6) </t>
  </si>
  <si>
    <t xml:space="preserve"> Nuclear Materiald Held for Sale (157) </t>
  </si>
  <si>
    <t xml:space="preserve"> Noncorporate Proprietorship (Non-major only) </t>
  </si>
  <si>
    <t xml:space="preserve"> Noncurrent Portion of Allowances </t>
  </si>
  <si>
    <t xml:space="preserve"> Preferred Stock Issued (204) </t>
  </si>
  <si>
    <t xml:space="preserve"> Special Funds (Non Major Only) (129) </t>
  </si>
  <si>
    <t xml:space="preserve"> Stock Liability for Conversion (203,206) </t>
  </si>
  <si>
    <t xml:space="preserve"> Spent Nuclear Fuel (120.4) </t>
  </si>
  <si>
    <t xml:space="preserve"> Temporary Facilities (185) </t>
  </si>
  <si>
    <t xml:space="preserve">Variance </t>
  </si>
  <si>
    <t>over 10%</t>
  </si>
  <si>
    <t>Responsible person</t>
  </si>
  <si>
    <t>explanation</t>
  </si>
  <si>
    <t>david and anthony</t>
  </si>
  <si>
    <t>Implementation of new depreciation rates</t>
  </si>
  <si>
    <t>clause</t>
  </si>
  <si>
    <t>liz and derrick</t>
  </si>
  <si>
    <t xml:space="preserve"> Decrease in current tax expense driven by decrease in pre-tax book income, reduction in unfavorable temporary book-tax differences, and ability to utilize net operating losses in 2025 </t>
  </si>
  <si>
    <t>income tax current v deferred</t>
  </si>
  <si>
    <t>primarily driven by the reduction in unfavorable temporary book-tax differences described in the first bullet below (driving less current expense, with an offsetting reduction in deferred benefit).</t>
  </si>
  <si>
    <t>Deferred ITC Amortization increased primarily due to ~$42M of additional investment tax credits / Deferred ITCs generated in 2025 (battery storage projects)</t>
  </si>
  <si>
    <t>joe</t>
  </si>
  <si>
    <t>The decrease is mainly driven by Reduced coal burn in 2025.</t>
  </si>
  <si>
    <t xml:space="preserve">The increase is mainly driven by BB4 Major Outage in 2025 </t>
  </si>
  <si>
    <t xml:space="preserve">The increase is mainly driven by Polk 2 and Bayside 1 Major Outages in 2025 </t>
  </si>
  <si>
    <t>dana and leo</t>
  </si>
  <si>
    <t>new ECCR program DSM</t>
  </si>
  <si>
    <t>theresa</t>
  </si>
  <si>
    <t>500k for customer education</t>
  </si>
  <si>
    <t>us</t>
  </si>
  <si>
    <t>storm recovery</t>
  </si>
  <si>
    <t>addit. Rate case exp</t>
  </si>
  <si>
    <t>Report Type&gt;&gt;&gt;</t>
  </si>
  <si>
    <t>TRIAL_BALANCE</t>
  </si>
  <si>
    <t>WORKING BUDGET</t>
  </si>
  <si>
    <t>Tampa Electric</t>
  </si>
  <si>
    <t>ADDITIONAL DETAIL Y/N&gt;&gt;&gt;</t>
  </si>
  <si>
    <t>FULL</t>
  </si>
  <si>
    <t>NOTE - PLEASE RUN A REFRESH IF YOU CHANGE THIS SETTING.</t>
  </si>
  <si>
    <t>TRIAL BALANCE SORT REPORT</t>
  </si>
  <si>
    <t>NOTE - BEFORE STARTING ANY WORK ON THIS TAB, PLEASE RUN A REFRESH</t>
  </si>
  <si>
    <t>ACTUAL</t>
  </si>
  <si>
    <t>2023.DEC</t>
  </si>
  <si>
    <t>A_1010000</t>
  </si>
  <si>
    <t>A_1011000</t>
  </si>
  <si>
    <t>A_1011200</t>
  </si>
  <si>
    <t>ROUS_OPT_LEASES</t>
  </si>
  <si>
    <t>A_1020000</t>
  </si>
  <si>
    <t>A_1050000</t>
  </si>
  <si>
    <t>A_1060000</t>
  </si>
  <si>
    <t>Completed Construction not Classified</t>
  </si>
  <si>
    <t>A_1070000</t>
  </si>
  <si>
    <t>A_1080000</t>
  </si>
  <si>
    <t>A_1080001</t>
  </si>
  <si>
    <t>Retirement Work in Progress</t>
  </si>
  <si>
    <t>A_1080100</t>
  </si>
  <si>
    <t>Accumulated Reserve Cost of Removal - Current</t>
  </si>
  <si>
    <t>A_1080110</t>
  </si>
  <si>
    <t>Accum Reserve Cost of Removal Contra- Current</t>
  </si>
  <si>
    <t>A_1080200</t>
  </si>
  <si>
    <t>Accumulated Reserve Cost of Removal - Non-Current</t>
  </si>
  <si>
    <t>A_1080210</t>
  </si>
  <si>
    <t>Accum Reserve Cost of Removal Contra- Non-Current</t>
  </si>
  <si>
    <t>A_1110000</t>
  </si>
  <si>
    <t>A_1140000</t>
  </si>
  <si>
    <t>A_1150000</t>
  </si>
  <si>
    <t>A_1210000</t>
  </si>
  <si>
    <t>A_1210100</t>
  </si>
  <si>
    <t>Intangible Asset - C</t>
  </si>
  <si>
    <t>A_1210200</t>
  </si>
  <si>
    <t>Intangible Asset - Non-Current</t>
  </si>
  <si>
    <t>A_1220000</t>
  </si>
  <si>
    <t>A_1310070</t>
  </si>
  <si>
    <t>JPM Tampa Electric Concentration</t>
  </si>
  <si>
    <t>A_1310085</t>
  </si>
  <si>
    <t>JPM Tampa Electric - Payroll - Outgoing Check</t>
  </si>
  <si>
    <t>A_1310095</t>
  </si>
  <si>
    <t>JPM Tampa Electric - CDA - Outgoing Check</t>
  </si>
  <si>
    <t>A_1310150</t>
  </si>
  <si>
    <t>SUN Tampa Electric Misc Deposit</t>
  </si>
  <si>
    <t>A_1310990</t>
  </si>
  <si>
    <t>Cash - Miscellaneous Adjustments</t>
  </si>
  <si>
    <t>A_1350000</t>
  </si>
  <si>
    <t>Petty Cash USD</t>
  </si>
  <si>
    <t>A_1420400</t>
  </si>
  <si>
    <t>AR - CRM (includes TEC-R) (RECON)</t>
  </si>
  <si>
    <t>A_1420401</t>
  </si>
  <si>
    <t>AR - CRM (includes TEC-R) (Posting)</t>
  </si>
  <si>
    <t>A_1430000</t>
  </si>
  <si>
    <t>AR Misc Other (RECON)</t>
  </si>
  <si>
    <t>A_1430001</t>
  </si>
  <si>
    <t>AR Misc Other (Posting)</t>
  </si>
  <si>
    <t>A_1430010</t>
  </si>
  <si>
    <t>AR - Taxes Receivable</t>
  </si>
  <si>
    <t>A_1430030</t>
  </si>
  <si>
    <t>AR - Employee Advances</t>
  </si>
  <si>
    <t>A_1430036</t>
  </si>
  <si>
    <t>AR - Employee Personal Reimbursement Pcard Charge</t>
  </si>
  <si>
    <t>A_1440000</t>
  </si>
  <si>
    <t>Accumulated Provision for Uncollectible Accounts</t>
  </si>
  <si>
    <t>A_1440001</t>
  </si>
  <si>
    <t>Accum Provision for Uncollectible Accts - CRM FF</t>
  </si>
  <si>
    <t>A_1440002</t>
  </si>
  <si>
    <t>Accum Provision for Uncollectible Accts - CRM GRT</t>
  </si>
  <si>
    <t>A_1440010</t>
  </si>
  <si>
    <t>Accum Provision for Uncollectible - Regular</t>
  </si>
  <si>
    <t>A_1440020</t>
  </si>
  <si>
    <t>Accum Provision for Uncollectible - Misc Billing</t>
  </si>
  <si>
    <t>A_1460700</t>
  </si>
  <si>
    <t>Trade Receivable-Intercompany (RECON)</t>
  </si>
  <si>
    <t>A_1460706</t>
  </si>
  <si>
    <t>Trade Receivable-Interco-Emera Inc. E009</t>
  </si>
  <si>
    <t>A_1460707</t>
  </si>
  <si>
    <t>Trade Receivable-Interco-Emera Energy E012</t>
  </si>
  <si>
    <t>A_1460708</t>
  </si>
  <si>
    <t>Trade Receivable-Interco-Grand Bahama PowerCo E851</t>
  </si>
  <si>
    <t>A_1460709</t>
  </si>
  <si>
    <t>Trade Receivable-Interco-Nova Scotia Power E001</t>
  </si>
  <si>
    <t>A_1460751</t>
  </si>
  <si>
    <t>Trade Receivable-Interco-Emera Caribbean Hlds Ltd  E033</t>
  </si>
  <si>
    <t>A_1460754</t>
  </si>
  <si>
    <t>Trade Rec-Interco-Emera US Sub 1 E017</t>
  </si>
  <si>
    <t>A_1460755</t>
  </si>
  <si>
    <t>Trade Rec-Interco-Emera Scotia Power E025</t>
  </si>
  <si>
    <t>A_1460760</t>
  </si>
  <si>
    <t>Trade Rec-Interco-Emera Caribbean Inc E855</t>
  </si>
  <si>
    <t>A_1460761</t>
  </si>
  <si>
    <t>Trade Rec-Interco-Emera Maine E393</t>
  </si>
  <si>
    <t>A_1460762</t>
  </si>
  <si>
    <t>Trade Rec-Interco-Emera Energy Services Inc. E016</t>
  </si>
  <si>
    <t>A_1460763</t>
  </si>
  <si>
    <t>Trade Rec-Interco-Emera Grand HVAC Leasing US E416</t>
  </si>
  <si>
    <t>A_1460764</t>
  </si>
  <si>
    <t>Trade Rec-Interco-Emera Technologies LLC E410</t>
  </si>
  <si>
    <t>A_1460780</t>
  </si>
  <si>
    <t>Trade Receivable-Emera Interco on SAP  E410 (RECON)</t>
  </si>
  <si>
    <t>A_1460791</t>
  </si>
  <si>
    <t>Trade Receivable-Emera Intercompany (Posting)</t>
  </si>
  <si>
    <t>A_1460799</t>
  </si>
  <si>
    <t>Trade Rec-Interco-Emera Energy Svc E016 Asset Mgmt</t>
  </si>
  <si>
    <t>A_1510020</t>
  </si>
  <si>
    <t>Fuel Stock - Coal</t>
  </si>
  <si>
    <t>A_1510030</t>
  </si>
  <si>
    <t>Fuel Stock - #2 Oil</t>
  </si>
  <si>
    <t>A_1510050</t>
  </si>
  <si>
    <t>Fuel Stock - Natural Gas</t>
  </si>
  <si>
    <t>A_1540000</t>
  </si>
  <si>
    <t>Plant Materials and Operating Supplies (RECON)</t>
  </si>
  <si>
    <t>A_1540001</t>
  </si>
  <si>
    <t>Plant Materials and Operating Supplies (Posting)</t>
  </si>
  <si>
    <t>A_1650005</t>
  </si>
  <si>
    <t>Prepaid Downpayment</t>
  </si>
  <si>
    <t>A_1650050</t>
  </si>
  <si>
    <t>Prepaid Short-term Debt Facility Fees</t>
  </si>
  <si>
    <t>A_1650051</t>
  </si>
  <si>
    <t>Prepaid Interest Expense</t>
  </si>
  <si>
    <t>A_1650401</t>
  </si>
  <si>
    <t>Prepaid LTSA - Polk Unit #1</t>
  </si>
  <si>
    <t>A_1650402</t>
  </si>
  <si>
    <t>Prepaid CSA - Polk Unit #2</t>
  </si>
  <si>
    <t>A_1650403</t>
  </si>
  <si>
    <t>Prepaid CSA - Polk Unit #3</t>
  </si>
  <si>
    <t>A_1650404</t>
  </si>
  <si>
    <t>Prepaid CSA - Polk Unit #4</t>
  </si>
  <si>
    <t>A_1650405</t>
  </si>
  <si>
    <t>Prepaid CSA - Polk Unit #5</t>
  </si>
  <si>
    <t>A_1650599</t>
  </si>
  <si>
    <t>Prepaid Insurance - Other</t>
  </si>
  <si>
    <t>A_1650800</t>
  </si>
  <si>
    <t>Prepaid Miscellaneous</t>
  </si>
  <si>
    <t>A_1650801</t>
  </si>
  <si>
    <t>Prepaid Miscellaneous - Other Shared Services</t>
  </si>
  <si>
    <t>A_1730100</t>
  </si>
  <si>
    <t>Accrued Utility Revenues - Current</t>
  </si>
  <si>
    <t>A_1760720</t>
  </si>
  <si>
    <t>Non-Current Deriv Asset-Intercompany</t>
  </si>
  <si>
    <t>A_1810100</t>
  </si>
  <si>
    <t>Unamortized Debt Expense - Short-term Loan</t>
  </si>
  <si>
    <t>A_1810200</t>
  </si>
  <si>
    <t>Unamortized Debt Expense - Recourse</t>
  </si>
  <si>
    <t>A_1822111</t>
  </si>
  <si>
    <t>Unrecov Plant - (CETM) Clean Energy Trans Mech Cur</t>
  </si>
  <si>
    <t>A_1822211</t>
  </si>
  <si>
    <t>Unrecov Plant - (CETM) Clean Energy Trans Mech NC</t>
  </si>
  <si>
    <t>A_1823020</t>
  </si>
  <si>
    <t>Oth Reg Asset-Fuel Clause</t>
  </si>
  <si>
    <t>A_1823030</t>
  </si>
  <si>
    <t>Oth Reg Asset-Capacity Clause</t>
  </si>
  <si>
    <t>A_1823090</t>
  </si>
  <si>
    <t>Oth Reg Asset-Storm Protection Clause</t>
  </si>
  <si>
    <t>A_1823102</t>
  </si>
  <si>
    <t>Oth Reg Asset-Rate Case Expense Current</t>
  </si>
  <si>
    <t>A_1823103</t>
  </si>
  <si>
    <t>Oth Reg Asset-Deferred Dredging Costs Current</t>
  </si>
  <si>
    <t>A_1823106</t>
  </si>
  <si>
    <t>Oth Reg Asset-Asset Optimization Gain Current</t>
  </si>
  <si>
    <t>A_1823113</t>
  </si>
  <si>
    <t>Accum Provision for Property Insurance-Debit-Curr</t>
  </si>
  <si>
    <t>A_1823200</t>
  </si>
  <si>
    <t>Oth Reg Asset-FAS 158 Benefit Non-Current</t>
  </si>
  <si>
    <t>A_1823201</t>
  </si>
  <si>
    <t>Oth Reg Asset-PBOP FAS 106 Non-Current</t>
  </si>
  <si>
    <t>A_1823202</t>
  </si>
  <si>
    <t>Oth Reg Asset-Rate Case Expense Non-Current</t>
  </si>
  <si>
    <t>A_1823204</t>
  </si>
  <si>
    <t>Oth Reg Asset-ARO Asset Non-Current</t>
  </si>
  <si>
    <t>A_1823206</t>
  </si>
  <si>
    <t>Oth Reg Asset-Asset Optimization Gain Non-Current</t>
  </si>
  <si>
    <t>A_1823322</t>
  </si>
  <si>
    <t>Oth Reg Asset-Price Responsive Load Management</t>
  </si>
  <si>
    <t>A_1823324</t>
  </si>
  <si>
    <t>Oth Reg Asset-Energy Education Awareness/Outreach</t>
  </si>
  <si>
    <t>A_1823327</t>
  </si>
  <si>
    <t>Oth Reg Asset-Prime Time Plus</t>
  </si>
  <si>
    <t>A_1823610</t>
  </si>
  <si>
    <t>Oth Reg Asset-FAS 109 Income Tax</t>
  </si>
  <si>
    <t>A_1823611</t>
  </si>
  <si>
    <t>Oth Reg Asset-Medicare Part D</t>
  </si>
  <si>
    <t>A_1830000</t>
  </si>
  <si>
    <t>A_1840010</t>
  </si>
  <si>
    <t>Clearing Account - Uniform Rental</t>
  </si>
  <si>
    <t>A_1860020</t>
  </si>
  <si>
    <t>Deferred Debits - SERP Trust</t>
  </si>
  <si>
    <t>A_1860800</t>
  </si>
  <si>
    <t>Deferred Debits - Other</t>
  </si>
  <si>
    <t>A_1890100</t>
  </si>
  <si>
    <t>Unamortized Loss on Reacquired Debt - Short-term</t>
  </si>
  <si>
    <t>A_1890200</t>
  </si>
  <si>
    <t>A_1900300</t>
  </si>
  <si>
    <t>Deferred Tax Asset - Federal</t>
  </si>
  <si>
    <t>A_1900303</t>
  </si>
  <si>
    <t>DTA Separate Company - Federal</t>
  </si>
  <si>
    <t>A_1900305</t>
  </si>
  <si>
    <t>Deferred Tax Asset - Federal Non Utility</t>
  </si>
  <si>
    <t>A_1900306</t>
  </si>
  <si>
    <t>Deferred Tax FIT - FAS 133</t>
  </si>
  <si>
    <t>A_1900307</t>
  </si>
  <si>
    <t>Deferred Tax FIT - FAS 133 Interest</t>
  </si>
  <si>
    <t>A_1900308</t>
  </si>
  <si>
    <t>Deferred Tax FIT - FAS 158</t>
  </si>
  <si>
    <t>A_1900310</t>
  </si>
  <si>
    <t>Deferred Tax FIT - Credits</t>
  </si>
  <si>
    <t>A_1900315</t>
  </si>
  <si>
    <t>Deferred Tax FIT - Production Tax Credits</t>
  </si>
  <si>
    <t>A_1900400</t>
  </si>
  <si>
    <t>Deferred Tax Asset - State</t>
  </si>
  <si>
    <t>A_1900403</t>
  </si>
  <si>
    <t>DTA Separate Company - State</t>
  </si>
  <si>
    <t>A_1900405</t>
  </si>
  <si>
    <t>Deferred Tax Asset - State Non Utility</t>
  </si>
  <si>
    <t>A_1900406</t>
  </si>
  <si>
    <t>Deferred Tax SIT - FAS 133</t>
  </si>
  <si>
    <t>A_1900407</t>
  </si>
  <si>
    <t>Deferred Tax SIT - FAS 133 Interest</t>
  </si>
  <si>
    <t>A_1900408</t>
  </si>
  <si>
    <t>Deferred Tax SIT - FAS 158</t>
  </si>
  <si>
    <t>A_1900610</t>
  </si>
  <si>
    <t>Deferred Tax Fd ITC - FAS109 Inc Tax</t>
  </si>
  <si>
    <t>A_2010000</t>
  </si>
  <si>
    <t>A_2110000</t>
  </si>
  <si>
    <t>A_2140000</t>
  </si>
  <si>
    <t>A_2160000</t>
  </si>
  <si>
    <t>Retained Earnings</t>
  </si>
  <si>
    <t>A_2190040</t>
  </si>
  <si>
    <t>Comprehensive Income - Cash Flow Hedges Pretax</t>
  </si>
  <si>
    <t>A_2190041</t>
  </si>
  <si>
    <t>Comprehensive Income - Cash Flow Hedges Taxes</t>
  </si>
  <si>
    <t>A_2210100</t>
  </si>
  <si>
    <t>Bonds - Recourse - Current</t>
  </si>
  <si>
    <t>A_2210200</t>
  </si>
  <si>
    <t>Bonds - Recourse - Non-Current</t>
  </si>
  <si>
    <t>A_2260200</t>
  </si>
  <si>
    <t>Unamortized Discount Long-term Debt - Recourse</t>
  </si>
  <si>
    <t>A_2270200</t>
  </si>
  <si>
    <t>Long-term Lease Liability - Operating Lease</t>
  </si>
  <si>
    <t>A_2270201</t>
  </si>
  <si>
    <t>Long-term Lease Liability - Financing Lease</t>
  </si>
  <si>
    <t>A_2281000</t>
  </si>
  <si>
    <t>A_2282010</t>
  </si>
  <si>
    <t>I&amp;D General Liability Reserve</t>
  </si>
  <si>
    <t>A_2282020</t>
  </si>
  <si>
    <t>I&amp;D Workers Compensation Reserve</t>
  </si>
  <si>
    <t>A_2282040</t>
  </si>
  <si>
    <t>I&amp;D Longshore Reserve</t>
  </si>
  <si>
    <t>A_2282210</t>
  </si>
  <si>
    <t>I&amp;D Gen Liab Expected Recoveries - Non-Current</t>
  </si>
  <si>
    <t>A_2283202</t>
  </si>
  <si>
    <t>Pension Asset - Non-Current</t>
  </si>
  <si>
    <t>A_2283203</t>
  </si>
  <si>
    <t>Pension Asset FAS158 - Non-Current</t>
  </si>
  <si>
    <t>A_2283210</t>
  </si>
  <si>
    <t>SERP Liability - Non-Current</t>
  </si>
  <si>
    <t>A_2283211</t>
  </si>
  <si>
    <t>SERP Liability FAS158 - Non-Current</t>
  </si>
  <si>
    <t>A_2283220</t>
  </si>
  <si>
    <t>Restoration Benefit Plan Liability - Non-Current</t>
  </si>
  <si>
    <t>A_2283221</t>
  </si>
  <si>
    <t>Restoration Benefit Plan Liab FAS158 - Non-Current</t>
  </si>
  <si>
    <t>A_2283231</t>
  </si>
  <si>
    <t>FAS106 Liability FAS158 - Non-Current</t>
  </si>
  <si>
    <t>A_2283232</t>
  </si>
  <si>
    <t>FAS106 Liability-Retired - Non-Current</t>
  </si>
  <si>
    <t>A_2283240</t>
  </si>
  <si>
    <t>FAS112 Liab for Long-term Disability - Non-Current</t>
  </si>
  <si>
    <t>A_2284020</t>
  </si>
  <si>
    <t>Accum Misc Provision - Other Litigation Reserve</t>
  </si>
  <si>
    <t>A_2300200</t>
  </si>
  <si>
    <t>Asset Retirement Obligations - Long-term</t>
  </si>
  <si>
    <t>A_2310000</t>
  </si>
  <si>
    <t>A_2320000</t>
  </si>
  <si>
    <t>AP Vouchers (Do not Post)</t>
  </si>
  <si>
    <t>A_2320001</t>
  </si>
  <si>
    <t>AP Manual Accruals</t>
  </si>
  <si>
    <t>A_2320002</t>
  </si>
  <si>
    <t>AP GR/IR Clearing</t>
  </si>
  <si>
    <t>A_2320003</t>
  </si>
  <si>
    <t>AP P-Card Clearing</t>
  </si>
  <si>
    <t>A_2320005</t>
  </si>
  <si>
    <t>AP Employee Expenses (RECON)</t>
  </si>
  <si>
    <t>A_2320006</t>
  </si>
  <si>
    <t>AP Energy Conservation Allowances</t>
  </si>
  <si>
    <t>A_2320007</t>
  </si>
  <si>
    <t>AP Payroll</t>
  </si>
  <si>
    <t>A_2320008</t>
  </si>
  <si>
    <t>AP 401K Fixed Match</t>
  </si>
  <si>
    <t>A_2320009</t>
  </si>
  <si>
    <t>AP 401K Performance Match</t>
  </si>
  <si>
    <t>A_2320010</t>
  </si>
  <si>
    <t>AP 401K Employee Contributions</t>
  </si>
  <si>
    <t>A_2320011</t>
  </si>
  <si>
    <t>AP Stock Purchase Employee Contributions</t>
  </si>
  <si>
    <t>A_2320012</t>
  </si>
  <si>
    <t>AP PSP / Incentive</t>
  </si>
  <si>
    <t>A_2320013</t>
  </si>
  <si>
    <t>AP Garnishments (Child Support. Levy. etc.)</t>
  </si>
  <si>
    <t>A_2320014</t>
  </si>
  <si>
    <t>AP TECO Benefit Association</t>
  </si>
  <si>
    <t>A_2320015</t>
  </si>
  <si>
    <t>AP Group Life Insurance</t>
  </si>
  <si>
    <t>A_2320016</t>
  </si>
  <si>
    <t>AP Long-term Care Insurance</t>
  </si>
  <si>
    <t>A_2320018</t>
  </si>
  <si>
    <t>AP TEPAC</t>
  </si>
  <si>
    <t>A_2320020</t>
  </si>
  <si>
    <t>AP HSA Employee Contribution</t>
  </si>
  <si>
    <t>A_2320021</t>
  </si>
  <si>
    <t>AP HSA Employer Contribution</t>
  </si>
  <si>
    <t>A_2320022</t>
  </si>
  <si>
    <t>AP Medical Insurance Reserve - Active Employees</t>
  </si>
  <si>
    <t>A_2320023</t>
  </si>
  <si>
    <t>AP IBEW Union Dues</t>
  </si>
  <si>
    <t>A_2320024</t>
  </si>
  <si>
    <t>AP OPEIU Union Dues</t>
  </si>
  <si>
    <t>A_2320025</t>
  </si>
  <si>
    <t>AP IAM/AU Union Dues</t>
  </si>
  <si>
    <t>A_2320027</t>
  </si>
  <si>
    <t>AP FSA - Medical</t>
  </si>
  <si>
    <t>A_2320028</t>
  </si>
  <si>
    <t>AP FSA - Dependent Care</t>
  </si>
  <si>
    <t>A_2320029</t>
  </si>
  <si>
    <t>AP FSA - Parking/Transit</t>
  </si>
  <si>
    <t>A_2320031</t>
  </si>
  <si>
    <t>AP Fuel Accrual</t>
  </si>
  <si>
    <t>A_2320035</t>
  </si>
  <si>
    <t>AP Interchange</t>
  </si>
  <si>
    <t>A_2320036</t>
  </si>
  <si>
    <t>AP Customer Assistance Program</t>
  </si>
  <si>
    <t>A_2320037</t>
  </si>
  <si>
    <t>AP Vision Benefit Plan</t>
  </si>
  <si>
    <t>A_2320039</t>
  </si>
  <si>
    <t>AP Consignment Liability</t>
  </si>
  <si>
    <t>A_2320403</t>
  </si>
  <si>
    <t>AP CSA - Polk Unit #3</t>
  </si>
  <si>
    <t>A_2320404</t>
  </si>
  <si>
    <t>AP CSA - Polk Unit #4</t>
  </si>
  <si>
    <t>A_2320405</t>
  </si>
  <si>
    <t>AP CSA - Polk Unit #5</t>
  </si>
  <si>
    <t>A_2320412</t>
  </si>
  <si>
    <t>AP CSA - Bayside #2</t>
  </si>
  <si>
    <t>A_2340700</t>
  </si>
  <si>
    <t>Trade Payable-Intercompany (RECON)</t>
  </si>
  <si>
    <t>A_2340701</t>
  </si>
  <si>
    <t>Trade Payable-Intercompany (Posting)</t>
  </si>
  <si>
    <t>A_2340711</t>
  </si>
  <si>
    <t>Trade Payable-Emera Intercompany (Posting)</t>
  </si>
  <si>
    <t>A_2340799</t>
  </si>
  <si>
    <t>Trade Payable-Emera Interco Accruals/Reversals</t>
  </si>
  <si>
    <t>A_2350100</t>
  </si>
  <si>
    <t>CIS Customer Deposits Short-term</t>
  </si>
  <si>
    <t>A_2360310</t>
  </si>
  <si>
    <t>Income Tax Pay - Federal Current Year</t>
  </si>
  <si>
    <t>A_2360410</t>
  </si>
  <si>
    <t>Income Tax Pay - State Current Year</t>
  </si>
  <si>
    <t>A_2360421</t>
  </si>
  <si>
    <t>Income Tax Pay - State FIN48 - Non-Current</t>
  </si>
  <si>
    <t>A_2360600</t>
  </si>
  <si>
    <t>Taxes Payable - Unemployment - Federal</t>
  </si>
  <si>
    <t>A_2360601</t>
  </si>
  <si>
    <t>Taxes Payable - Unemployment - State</t>
  </si>
  <si>
    <t>A_2360602</t>
  </si>
  <si>
    <t>Taxes Payable - Regulatory Assessment Fee</t>
  </si>
  <si>
    <t>A_2360603</t>
  </si>
  <si>
    <t>Taxes Payable - Gross Receipts Tax</t>
  </si>
  <si>
    <t>A_2360604</t>
  </si>
  <si>
    <t>Taxes Payable - Property Tax</t>
  </si>
  <si>
    <t>A_2360605</t>
  </si>
  <si>
    <t>Taxes Payable - Franchise Fees</t>
  </si>
  <si>
    <t>A_2360606</t>
  </si>
  <si>
    <t>Taxes Payable - Federal Excise Tax</t>
  </si>
  <si>
    <t>A_2360620</t>
  </si>
  <si>
    <t>Taxes Payable - FICA Employr</t>
  </si>
  <si>
    <t>A_2360800</t>
  </si>
  <si>
    <t>Taxes Payable - Other</t>
  </si>
  <si>
    <t>A_2370300</t>
  </si>
  <si>
    <t>Interest Accrued on Customer Deposits</t>
  </si>
  <si>
    <t>A_2370350</t>
  </si>
  <si>
    <t>Interest Accrued on Credit Facility</t>
  </si>
  <si>
    <t>A_2370400</t>
  </si>
  <si>
    <t>Interest Accrued Long Term Debt</t>
  </si>
  <si>
    <t>A_2370710</t>
  </si>
  <si>
    <t>Interest Payable-Intercompany (RECON)</t>
  </si>
  <si>
    <t>A_2410000</t>
  </si>
  <si>
    <t>Taxes Payable - Sales Use Tax (CIS)</t>
  </si>
  <si>
    <t>A_2410005</t>
  </si>
  <si>
    <t>Taxes Payable - Sales Surtax (CIS)</t>
  </si>
  <si>
    <t>A_2410300</t>
  </si>
  <si>
    <t>Taxes Payable - Sales and Use Tax (AP)</t>
  </si>
  <si>
    <t>A_2410305</t>
  </si>
  <si>
    <t>Taxes Payable - Sales Surtax (AP)</t>
  </si>
  <si>
    <t>A_2410310</t>
  </si>
  <si>
    <t>Taxes Payable - Utility Tax</t>
  </si>
  <si>
    <t>A_2410320</t>
  </si>
  <si>
    <t>Taxes Payable - FICA</t>
  </si>
  <si>
    <t>A_2410330</t>
  </si>
  <si>
    <t>Taxes Payable - FIT Withholding</t>
  </si>
  <si>
    <t>A_2410430</t>
  </si>
  <si>
    <t>Taxes Payable - SIT Withholding</t>
  </si>
  <si>
    <t>A_2420111</t>
  </si>
  <si>
    <t>SERP Liability FAS158 - Current</t>
  </si>
  <si>
    <t>A_2420121</t>
  </si>
  <si>
    <t>Resotration Benefit Plan Liability FAS158 - Current</t>
  </si>
  <si>
    <t>A_2420131</t>
  </si>
  <si>
    <t>FAS106 Liability FAS158 - Current</t>
  </si>
  <si>
    <t>A_2420191</t>
  </si>
  <si>
    <t>Long-Term Incentive - Current</t>
  </si>
  <si>
    <t>A_2420192</t>
  </si>
  <si>
    <t>Deferred Compensation - Current</t>
  </si>
  <si>
    <t>A_2420199</t>
  </si>
  <si>
    <t>Current Miscellaneous Liabilities</t>
  </si>
  <si>
    <t>A_2420300</t>
  </si>
  <si>
    <t>Misc Accru Liab-Vacation Liability</t>
  </si>
  <si>
    <t>A_2420310</t>
  </si>
  <si>
    <t>Misc Accru Liab-Cashier Over/Short</t>
  </si>
  <si>
    <t>A_2420320</t>
  </si>
  <si>
    <t>Misc Accru Liab-Unclaimed Funds</t>
  </si>
  <si>
    <t>A_2430100</t>
  </si>
  <si>
    <t>Short-term Lease Liability - Operating Lease</t>
  </si>
  <si>
    <t>A_2430101</t>
  </si>
  <si>
    <t>Short-term Lease Liability - Financing Lease</t>
  </si>
  <si>
    <t>A_2530120</t>
  </si>
  <si>
    <t>Deferred Revenue -Contract Liability - Current</t>
  </si>
  <si>
    <t>A_2530130</t>
  </si>
  <si>
    <t>Contract Retentions - Current (Posting)</t>
  </si>
  <si>
    <t>A_2530299</t>
  </si>
  <si>
    <t>Oth Defd CR-Contract Retentions (RECON)</t>
  </si>
  <si>
    <t>A_2530300</t>
  </si>
  <si>
    <t>Oth Defd CR-Contract Retentions (Posting)</t>
  </si>
  <si>
    <t>A_2530302</t>
  </si>
  <si>
    <t>Oth Defd CR-Renewable</t>
  </si>
  <si>
    <t>A_2530310</t>
  </si>
  <si>
    <t>Oth Defd CR-Unclaimed Items</t>
  </si>
  <si>
    <t>A_2530340</t>
  </si>
  <si>
    <t>Oth Defd CR Long-term incentive</t>
  </si>
  <si>
    <t>A_2530800</t>
  </si>
  <si>
    <t>Oth Defd CR-Miscellaneous</t>
  </si>
  <si>
    <t>A_2540020</t>
  </si>
  <si>
    <t>Oth Reg Liab-Fuel and Purchased Power Clause</t>
  </si>
  <si>
    <t>A_2540040</t>
  </si>
  <si>
    <t>Oth Reg Liab-Conservation Clause</t>
  </si>
  <si>
    <t>A_2540050</t>
  </si>
  <si>
    <t>Oth Reg Liab-Environmental Clause</t>
  </si>
  <si>
    <t>A_2540090</t>
  </si>
  <si>
    <t>Oth Reg Liability-Storm Protection Clause</t>
  </si>
  <si>
    <t>A_2540180</t>
  </si>
  <si>
    <t>Oth Reg Liab-Defd Gain Prop Sales-Current</t>
  </si>
  <si>
    <t>A_2540205</t>
  </si>
  <si>
    <t>Long-Term Derivative Liability - Regulatory</t>
  </si>
  <si>
    <t>A_2540210</t>
  </si>
  <si>
    <t>Oth Reg Liab-FERC Wholesale (AFUDC)-Non-Current</t>
  </si>
  <si>
    <t>A_2540211</t>
  </si>
  <si>
    <t>Oth Reg Liab - (CETM) Clean Energy Trans Mech NC</t>
  </si>
  <si>
    <t>A_2540320</t>
  </si>
  <si>
    <t>Oth Reg Liab-Deferred Allowance Auction Credits</t>
  </si>
  <si>
    <t>A_2540610</t>
  </si>
  <si>
    <t>Oth Reg Liab-FAS 109 Income Tax</t>
  </si>
  <si>
    <t>A_2540612</t>
  </si>
  <si>
    <t>Oth Reg Liab-Deferred Tax Reform Impact Current</t>
  </si>
  <si>
    <t>A_2550000</t>
  </si>
  <si>
    <t>A_2550005</t>
  </si>
  <si>
    <t>Accumulated Defd Investment Tax Credit Non Utility</t>
  </si>
  <si>
    <t>A_2560000</t>
  </si>
  <si>
    <t>Deferred Gains From Disposition of Utility Plant</t>
  </si>
  <si>
    <t>A_2810300</t>
  </si>
  <si>
    <t>DIT Federal Accelerated Amortization Property</t>
  </si>
  <si>
    <t>A_2810400</t>
  </si>
  <si>
    <t>DIT State Accelerated Amortization Property</t>
  </si>
  <si>
    <t>A_2820300</t>
  </si>
  <si>
    <t>Defd Inc Tax Other Property - Federal</t>
  </si>
  <si>
    <t>A_2820400</t>
  </si>
  <si>
    <t>Defd Inc Tax Other Property - State</t>
  </si>
  <si>
    <t>A_2820610</t>
  </si>
  <si>
    <t>Defd Inc Tax Other Property - FAS109</t>
  </si>
  <si>
    <t>A_2830300</t>
  </si>
  <si>
    <t>DIT Liab-Federal</t>
  </si>
  <si>
    <t>A_2830330</t>
  </si>
  <si>
    <t>DIT Liab-FAS 158 - Federal</t>
  </si>
  <si>
    <t>A_2830340</t>
  </si>
  <si>
    <t>DIT Liab-FAS 133 - Federal</t>
  </si>
  <si>
    <t>A_2830400</t>
  </si>
  <si>
    <t>DIT Liab-State</t>
  </si>
  <si>
    <t>A_2830430</t>
  </si>
  <si>
    <t>DIT Liab-FAS 158 - State</t>
  </si>
  <si>
    <t>A_2830440</t>
  </si>
  <si>
    <t>DIT Liab-FAS 133 - State</t>
  </si>
  <si>
    <t>A_2830610</t>
  </si>
  <si>
    <t>DIT Liab-FAS109 - Other</t>
  </si>
  <si>
    <t>A_2830611</t>
  </si>
  <si>
    <t>DIT Liab-Other Gross Up Medicare Part D</t>
  </si>
  <si>
    <t>A_4070211</t>
  </si>
  <si>
    <t>Unrecov Plant DR Defd - CETM</t>
  </si>
  <si>
    <t>A_4073020</t>
  </si>
  <si>
    <t>REG DR Defd Fuel and Purchased Power</t>
  </si>
  <si>
    <t>A_4073021</t>
  </si>
  <si>
    <t>REG DR Defd Fuel and Purchased Power - Amortiz</t>
  </si>
  <si>
    <t>A_4073022</t>
  </si>
  <si>
    <t>REG DR Asset Optimization</t>
  </si>
  <si>
    <t>A_4073030</t>
  </si>
  <si>
    <t>REG DR Defd Capacity</t>
  </si>
  <si>
    <t>A_4073031</t>
  </si>
  <si>
    <t>REG DR Defd Capacity - Amortization</t>
  </si>
  <si>
    <t>A_4073040</t>
  </si>
  <si>
    <t>REG DR Defd Conservation Electric</t>
  </si>
  <si>
    <t>A_4073050</t>
  </si>
  <si>
    <t>REG DR Defd Environmental</t>
  </si>
  <si>
    <t>A_4073090</t>
  </si>
  <si>
    <t>REG DR Defd SPPCRC</t>
  </si>
  <si>
    <t>A_4073091</t>
  </si>
  <si>
    <t>REG DR Defd SPPCRC – Amortization</t>
  </si>
  <si>
    <t>A_4073200</t>
  </si>
  <si>
    <t>REG DR Deferred PBOP FAS106</t>
  </si>
  <si>
    <t>A_4073212</t>
  </si>
  <si>
    <t>REG DR Tax Reform</t>
  </si>
  <si>
    <t>A_4073213</t>
  </si>
  <si>
    <t>REG DR Defd (CETM) Clean Energy Trans Mechanism</t>
  </si>
  <si>
    <t>A_4074020</t>
  </si>
  <si>
    <t>REG CR Defd Fuel and Purchased Power</t>
  </si>
  <si>
    <t>A_4074030</t>
  </si>
  <si>
    <t>REG CR Defd Capacity</t>
  </si>
  <si>
    <t>A_4074031</t>
  </si>
  <si>
    <t>REG CR Defd Capacity - Amortization</t>
  </si>
  <si>
    <t>A_4074040</t>
  </si>
  <si>
    <t>REG CR Defd Conservation - Elec</t>
  </si>
  <si>
    <t>A_4074041</t>
  </si>
  <si>
    <t>REG CR Defd Conservation - Elec - Amortiz</t>
  </si>
  <si>
    <t>A_4074050</t>
  </si>
  <si>
    <t>REG CR Defd Environmental</t>
  </si>
  <si>
    <t>A_4074051</t>
  </si>
  <si>
    <t>REG CR Defd Environmental - Amortization</t>
  </si>
  <si>
    <t>A_4074090</t>
  </si>
  <si>
    <t>REG CR Defd SPPCRC</t>
  </si>
  <si>
    <t>A_4074091</t>
  </si>
  <si>
    <t>REG CR Defd SPPCRC - Amortization</t>
  </si>
  <si>
    <t>A_4074211</t>
  </si>
  <si>
    <t>REG CR FERC Wholesale (AFUDC) - Amortization</t>
  </si>
  <si>
    <t>A_4118030</t>
  </si>
  <si>
    <t>REC Sales - Retail</t>
  </si>
  <si>
    <t>A_4400010</t>
  </si>
  <si>
    <t>Residential Base Revenue</t>
  </si>
  <si>
    <t>A_4400020</t>
  </si>
  <si>
    <t>Residential Sales Fuel Adjustment Revenue</t>
  </si>
  <si>
    <t>A_4400030</t>
  </si>
  <si>
    <t>Residential Capacity Revenue</t>
  </si>
  <si>
    <t>A_4400040</t>
  </si>
  <si>
    <t>Residential Conservation Revenue</t>
  </si>
  <si>
    <t>A_4400050</t>
  </si>
  <si>
    <t>Residential Environmental Revenue</t>
  </si>
  <si>
    <t>A_4400060</t>
  </si>
  <si>
    <t>Residential Franchise Revenue</t>
  </si>
  <si>
    <t>A_4400070</t>
  </si>
  <si>
    <t>Residential Gross Receipts Tax Revenue</t>
  </si>
  <si>
    <t>A_4400090</t>
  </si>
  <si>
    <t>Residential Storm Revenue</t>
  </si>
  <si>
    <t>A_4400091</t>
  </si>
  <si>
    <t>Residential CETM Revenue</t>
  </si>
  <si>
    <t>A_4400092</t>
  </si>
  <si>
    <t>Residential Storm Surcharge</t>
  </si>
  <si>
    <t>A_4420010</t>
  </si>
  <si>
    <t>Commercial Small Base Revenue</t>
  </si>
  <si>
    <t>A_4420020</t>
  </si>
  <si>
    <t>Commercial Small Sales Fuel Adjustment Revenue</t>
  </si>
  <si>
    <t>A_4420030</t>
  </si>
  <si>
    <t>Commercial Small Capacity Revenue</t>
  </si>
  <si>
    <t>A_4420040</t>
  </si>
  <si>
    <t>Commercial Small Conservation Revenue</t>
  </si>
  <si>
    <t>A_4420050</t>
  </si>
  <si>
    <t>Commercial Small Environmental Revenue</t>
  </si>
  <si>
    <t>A_4420060</t>
  </si>
  <si>
    <t>Commercial Small Franchise Revenue</t>
  </si>
  <si>
    <t>A_4420070</t>
  </si>
  <si>
    <t>Commercial Small Gross Receipts Tax Revenue</t>
  </si>
  <si>
    <t>A_4420090</t>
  </si>
  <si>
    <t>Commercial Small Storm Revenue</t>
  </si>
  <si>
    <t>A_4420091</t>
  </si>
  <si>
    <t>Commercial Small CETM Revenue</t>
  </si>
  <si>
    <t>A_4420092</t>
  </si>
  <si>
    <t>Commercial Small Storm Surcharge</t>
  </si>
  <si>
    <t>A_4420110</t>
  </si>
  <si>
    <t>Commercial Large Base Revenue</t>
  </si>
  <si>
    <t>A_4420120</t>
  </si>
  <si>
    <t>Commercial Large Sales Fuel Adjustment</t>
  </si>
  <si>
    <t>A_4420130</t>
  </si>
  <si>
    <t>Commercial Large Capacity Revenue</t>
  </si>
  <si>
    <t>A_4420140</t>
  </si>
  <si>
    <t>Commercial Large Conservation Revenue</t>
  </si>
  <si>
    <t>A_4420150</t>
  </si>
  <si>
    <t>Commercial Large Environmental Revenue</t>
  </si>
  <si>
    <t>A_4420160</t>
  </si>
  <si>
    <t>Commercial Large Franchise Revenue</t>
  </si>
  <si>
    <t>A_4420170</t>
  </si>
  <si>
    <t>Commercial Large Gross Receipts Tax Revenue</t>
  </si>
  <si>
    <t>A_4420180</t>
  </si>
  <si>
    <t>Commercial Large Optional Billing Provision</t>
  </si>
  <si>
    <t>A_4420190</t>
  </si>
  <si>
    <t>Commercial Large Storm Revenue</t>
  </si>
  <si>
    <t>A_4420191</t>
  </si>
  <si>
    <t>Commercial Large CETM Revenue</t>
  </si>
  <si>
    <t>A_4420192</t>
  </si>
  <si>
    <t>Commercial Large Storm Surcharge</t>
  </si>
  <si>
    <t>A_4420210</t>
  </si>
  <si>
    <t>Industrial-Phosphate Small Base Revenue</t>
  </si>
  <si>
    <t>A_4420220</t>
  </si>
  <si>
    <t>Industrial-Phosphate Small Sales Fuel Adjustment</t>
  </si>
  <si>
    <t>A_4420230</t>
  </si>
  <si>
    <t>Industrial-Phosphate Small Capacity Revenue</t>
  </si>
  <si>
    <t>A_4420240</t>
  </si>
  <si>
    <t>Industrial-Phosphate Small Conservation Revenue</t>
  </si>
  <si>
    <t>A_4420250</t>
  </si>
  <si>
    <t>Industrial-Phosphate Small Environmental Revenue</t>
  </si>
  <si>
    <t>A_4420270</t>
  </si>
  <si>
    <t>Industrial-Phosphate Small Gross Receipts Tax Rev</t>
  </si>
  <si>
    <t>A_4420290</t>
  </si>
  <si>
    <t>Industrial-Phosphate Small Storm Revenue</t>
  </si>
  <si>
    <t>A_4420291</t>
  </si>
  <si>
    <t>Industrial-Phosphate Small CETM Revenue</t>
  </si>
  <si>
    <t>A_4420292</t>
  </si>
  <si>
    <t>Industrial Phosphate Small Storm Surcharge</t>
  </si>
  <si>
    <t>A_4420310</t>
  </si>
  <si>
    <t>Industrial-Phosphate Large Base Revenue</t>
  </si>
  <si>
    <t>A_4420320</t>
  </si>
  <si>
    <t>Industrial-Phosphate Large Sales Fuel Adjustment</t>
  </si>
  <si>
    <t>A_4420330</t>
  </si>
  <si>
    <t>Industrial-Phosphate Large Capacity Revenue</t>
  </si>
  <si>
    <t>A_4420340</t>
  </si>
  <si>
    <t>Industrial-Phosphate Large Conservation Revenue</t>
  </si>
  <si>
    <t>A_4420350</t>
  </si>
  <si>
    <t>Industrial-Phosphate Large Environmental Revenue</t>
  </si>
  <si>
    <t>A_4420370</t>
  </si>
  <si>
    <t>Industrial-Phosphate Large Gross Receipts Tax Rev</t>
  </si>
  <si>
    <t>A_4420380</t>
  </si>
  <si>
    <t>Industrial-Phosphate Large Optional Billing Provsn</t>
  </si>
  <si>
    <t>A_4420390</t>
  </si>
  <si>
    <t>Industrial-Phosphate Large Storm Revenue</t>
  </si>
  <si>
    <t>A_4420391</t>
  </si>
  <si>
    <t>Industrial-Phosphate Large CETM Revenue</t>
  </si>
  <si>
    <t>A_4420392</t>
  </si>
  <si>
    <t>Industrial-Phosphate Large Storm Surcharge</t>
  </si>
  <si>
    <t>A_4420410</t>
  </si>
  <si>
    <t>Industrial-Other Small Base Revenue</t>
  </si>
  <si>
    <t>A_4420420</t>
  </si>
  <si>
    <t>Industrial-Other Small Sales Fuel Adjustment Rev</t>
  </si>
  <si>
    <t>A_4420430</t>
  </si>
  <si>
    <t>Industrial-Other Small Capacity Revenue</t>
  </si>
  <si>
    <t>A_4420440</t>
  </si>
  <si>
    <t>Industrial-Other Small Conservation Revenue</t>
  </si>
  <si>
    <t>A_4420450</t>
  </si>
  <si>
    <t>Industrial-Other Small Environmental Revenue</t>
  </si>
  <si>
    <t>A_4420460</t>
  </si>
  <si>
    <t>Industrial-Other Small Franchise Revenue</t>
  </si>
  <si>
    <t>A_4420470</t>
  </si>
  <si>
    <t>Industrial-Other Small Gross Receipts Tax Rev</t>
  </si>
  <si>
    <t>A_4420490</t>
  </si>
  <si>
    <t>Industrial-Other Small Storm Revenue</t>
  </si>
  <si>
    <t>A_4420491</t>
  </si>
  <si>
    <t>Industrial-Other Small CETM Revenue</t>
  </si>
  <si>
    <t>A_4420492</t>
  </si>
  <si>
    <t>Industrial-Other Small Storm Surcharge</t>
  </si>
  <si>
    <t>A_4420510</t>
  </si>
  <si>
    <t>Industrial-Other Large Base Revenue</t>
  </si>
  <si>
    <t>A_4420520</t>
  </si>
  <si>
    <t>Industrial-Other Large Sales Fuel Adjustment</t>
  </si>
  <si>
    <t>A_4420530</t>
  </si>
  <si>
    <t>Industrial-Other Large Capacity Revenue</t>
  </si>
  <si>
    <t>A_4420540</t>
  </si>
  <si>
    <t>Industrial-Other Large Conservation Revenue</t>
  </si>
  <si>
    <t>A_4420550</t>
  </si>
  <si>
    <t>Industrial-Other Large Environmental Revenue</t>
  </si>
  <si>
    <t>A_4420560</t>
  </si>
  <si>
    <t>Industrial-Other Large Franchise Revenue</t>
  </si>
  <si>
    <t>A_4420570</t>
  </si>
  <si>
    <t>Industrial-Other Large Gross Receipts Tax Revenue</t>
  </si>
  <si>
    <t>A_4420580</t>
  </si>
  <si>
    <t>Industrial-Other Large Optional Billing Provision</t>
  </si>
  <si>
    <t>A_4420590</t>
  </si>
  <si>
    <t>Industrial-Other Large Storm Revenue</t>
  </si>
  <si>
    <t>A_4420591</t>
  </si>
  <si>
    <t>Industrial-Other Large CETM Revenue</t>
  </si>
  <si>
    <t>A_4420592</t>
  </si>
  <si>
    <t>Industrial-Other Large Storm Surcharge</t>
  </si>
  <si>
    <t>A_4440010</t>
  </si>
  <si>
    <t>Public Street HW Lighting Base Revenue</t>
  </si>
  <si>
    <t>A_4440020</t>
  </si>
  <si>
    <t>Public Street HW Lighting Sales Fuel Adjustment</t>
  </si>
  <si>
    <t>A_4440030</t>
  </si>
  <si>
    <t>Public Street HW Lighting Capacity Revenue</t>
  </si>
  <si>
    <t>A_4440040</t>
  </si>
  <si>
    <t>Public Street HW Lighting Conservation Revenue</t>
  </si>
  <si>
    <t>A_4440050</t>
  </si>
  <si>
    <t>Public Street HW Lighting Environmental Revenue</t>
  </si>
  <si>
    <t>A_4440060</t>
  </si>
  <si>
    <t>Public Street HW Lighting Franchise Revenue</t>
  </si>
  <si>
    <t>A_4440070</t>
  </si>
  <si>
    <t>Public Street HW Lighting Gross Receipts Tax Rev</t>
  </si>
  <si>
    <t>A_4440090</t>
  </si>
  <si>
    <t>Public Street HW Lighting Storm Revenue</t>
  </si>
  <si>
    <t>A_4440091</t>
  </si>
  <si>
    <t>Public Street HW Lighting CETM Revenue</t>
  </si>
  <si>
    <t>A_4440092</t>
  </si>
  <si>
    <t>Public Street HW Lighting Storm Surcharge</t>
  </si>
  <si>
    <t>A_4450010</t>
  </si>
  <si>
    <t>Oth Sales Public Authority Base Revenue</t>
  </si>
  <si>
    <t>A_4450020</t>
  </si>
  <si>
    <t>Oth Sales Public Authority Sales Fuel Adjustment</t>
  </si>
  <si>
    <t>A_4450030</t>
  </si>
  <si>
    <t>Oth Sales Public Authority Capacity Revenue</t>
  </si>
  <si>
    <t>A_4450040</t>
  </si>
  <si>
    <t>Oth Sales Public Authority Conservation Revenue</t>
  </si>
  <si>
    <t>A_4450050</t>
  </si>
  <si>
    <t>Oth Sales Public Authority Environmental Revenue</t>
  </si>
  <si>
    <t>A_4450060</t>
  </si>
  <si>
    <t>Oth Sales Public Authority Franchise Revenue</t>
  </si>
  <si>
    <t>A_4450070</t>
  </si>
  <si>
    <t>Oth Sales Public Authority Gross Receipts Tax Rev</t>
  </si>
  <si>
    <t>A_4450080</t>
  </si>
  <si>
    <t>Oth Sales Public Authority Optional Billing Provsn</t>
  </si>
  <si>
    <t>A_4450090</t>
  </si>
  <si>
    <t>Oth Sales Public Authority Storm Revenue</t>
  </si>
  <si>
    <t>A_4450091</t>
  </si>
  <si>
    <t>Oth Sales Public Authority CETM Revenue</t>
  </si>
  <si>
    <t>A_4450092</t>
  </si>
  <si>
    <t>Oth Sales Public Authority Storm Surcharge</t>
  </si>
  <si>
    <t>A_4470010</t>
  </si>
  <si>
    <t>Recoverable Retail Non-Separated Sales for Resale</t>
  </si>
  <si>
    <t>A_4470011</t>
  </si>
  <si>
    <t>Non-Recoverable Retail Non-Separated Sales Resale</t>
  </si>
  <si>
    <t>A_4470012</t>
  </si>
  <si>
    <t>Recoverable Retail Non-Separated Sales for Resale-Margin</t>
  </si>
  <si>
    <t>A_4510100</t>
  </si>
  <si>
    <t>Misc Svc Rev - Connection - Same Day Service</t>
  </si>
  <si>
    <t>A_4510101</t>
  </si>
  <si>
    <t>Misc Svc Rev - Connection - Saturday</t>
  </si>
  <si>
    <t>A_4510102</t>
  </si>
  <si>
    <t>Misc Svc Rev - Reconnect - at Pole</t>
  </si>
  <si>
    <t>A_4510103</t>
  </si>
  <si>
    <t>Misc Svc Rev - Reconnect - Subsequent Subscriber</t>
  </si>
  <si>
    <t>A_4510104</t>
  </si>
  <si>
    <t>Misc Svc Rev - Reconnect - at Meter</t>
  </si>
  <si>
    <t>A_4510107</t>
  </si>
  <si>
    <t>Misc Svc Rev - Late Payment Fee</t>
  </si>
  <si>
    <t>A_4510108</t>
  </si>
  <si>
    <t>Misc Svc Rev - Initial Turn On</t>
  </si>
  <si>
    <t>A_4510109</t>
  </si>
  <si>
    <t>Misc Svc Rev - Temp. Svcs</t>
  </si>
  <si>
    <t>A_4510110</t>
  </si>
  <si>
    <t>Misc Svc Rev - Tampering</t>
  </si>
  <si>
    <t>A_4510111</t>
  </si>
  <si>
    <t>Misc Svc Rev - Returned Check</t>
  </si>
  <si>
    <t>A_4510112</t>
  </si>
  <si>
    <t>Misc Svc Rev - Field Credit Check</t>
  </si>
  <si>
    <t>A_4510113</t>
  </si>
  <si>
    <t>Misc Svc Rev - Billing Adjustments</t>
  </si>
  <si>
    <t>A_4510800</t>
  </si>
  <si>
    <t>Miscellaneous Service Revenues - Other</t>
  </si>
  <si>
    <t>A_4540010</t>
  </si>
  <si>
    <t>Rental Revenue - Commercial Property</t>
  </si>
  <si>
    <t>A_4540020</t>
  </si>
  <si>
    <t>Rental Revenue - Agricultural Property</t>
  </si>
  <si>
    <t>A_4540030</t>
  </si>
  <si>
    <t>Rental Revenue - Electric Equipment</t>
  </si>
  <si>
    <t>A_4540040</t>
  </si>
  <si>
    <t>Rental Revenue - Big Bend Station</t>
  </si>
  <si>
    <t>A_4540081</t>
  </si>
  <si>
    <t>Rental Revenue - Pole Attachments - Distribution</t>
  </si>
  <si>
    <t>A_4540700</t>
  </si>
  <si>
    <t>Rental Revenue - Intercompany</t>
  </si>
  <si>
    <t>A_4540701</t>
  </si>
  <si>
    <t>Rental Revenue - Intercompany - Asset Usage Fee</t>
  </si>
  <si>
    <t>A_4540800</t>
  </si>
  <si>
    <t>Rental Revenue - MetroLink</t>
  </si>
  <si>
    <t>A_4550000</t>
  </si>
  <si>
    <t>Interdepartmental Rents</t>
  </si>
  <si>
    <t>A_4550001</t>
  </si>
  <si>
    <t>Interdepartmental Rents - Asset Usage Fee</t>
  </si>
  <si>
    <t>A_4560020</t>
  </si>
  <si>
    <t>Other Revenue - At-Cost Job Orders</t>
  </si>
  <si>
    <t>A_4560030</t>
  </si>
  <si>
    <t>Other Revenue - Sales Tax</t>
  </si>
  <si>
    <t>A_4560080</t>
  </si>
  <si>
    <t>Other Revenue - Cogen Maintenance - Transmission</t>
  </si>
  <si>
    <t>A_4560120</t>
  </si>
  <si>
    <t>Other Revenue - Green Power Program</t>
  </si>
  <si>
    <t>A_4560180</t>
  </si>
  <si>
    <t>Other Revenue - Asset Optimization</t>
  </si>
  <si>
    <t>A_4560190</t>
  </si>
  <si>
    <t>Other Revenue - Lighting Smart Service-Regulated</t>
  </si>
  <si>
    <t>A_4560191</t>
  </si>
  <si>
    <t>Other Lighting Revenue - Regulated</t>
  </si>
  <si>
    <t>A_4560200</t>
  </si>
  <si>
    <t>OATT Pt to Pt Revenue</t>
  </si>
  <si>
    <t>A_4560210</t>
  </si>
  <si>
    <t>OATT Ancillary Scheduling Revenue</t>
  </si>
  <si>
    <t>A_4560230</t>
  </si>
  <si>
    <t>OATT GSI Penalty Revenue</t>
  </si>
  <si>
    <t>A_4560401</t>
  </si>
  <si>
    <t>Pt to Pt Transmission Non Separated Sale-Retail</t>
  </si>
  <si>
    <t>A_4560411</t>
  </si>
  <si>
    <t>Ancillary Transmission Non Separated-Retail</t>
  </si>
  <si>
    <t>A_4560660</t>
  </si>
  <si>
    <t>Other Revenue - Gypsum Excluding ECRC</t>
  </si>
  <si>
    <t>A_4560800</t>
  </si>
  <si>
    <t>Other Revenue - Miscellaneous</t>
  </si>
  <si>
    <t>A_4560900</t>
  </si>
  <si>
    <t>Unbilled Revenue</t>
  </si>
  <si>
    <t>A_6010110</t>
  </si>
  <si>
    <t>Labor Exempt - Straight Time</t>
  </si>
  <si>
    <t>A_6010120</t>
  </si>
  <si>
    <t>Labor Exempt - Overtime</t>
  </si>
  <si>
    <t>A_6010130</t>
  </si>
  <si>
    <t>Labor Exempt - Non-Productive Time</t>
  </si>
  <si>
    <t>A_6010210</t>
  </si>
  <si>
    <t>Labor Non Exempt - Straight Time</t>
  </si>
  <si>
    <t>A_6010220</t>
  </si>
  <si>
    <t>Labor Non Exempt - Overtime</t>
  </si>
  <si>
    <t>A_6010230</t>
  </si>
  <si>
    <t>Labor Non Exempt - Non-Productive Time</t>
  </si>
  <si>
    <t>A_6010310</t>
  </si>
  <si>
    <t>Labor Union - Straight Time</t>
  </si>
  <si>
    <t>A_6010320</t>
  </si>
  <si>
    <t>Labor Union - Overtime</t>
  </si>
  <si>
    <t>A_6010330</t>
  </si>
  <si>
    <t>Labor Union - Non-Productive Time</t>
  </si>
  <si>
    <t>A_6010900</t>
  </si>
  <si>
    <t>Labor Commissions</t>
  </si>
  <si>
    <t>A_6010910</t>
  </si>
  <si>
    <t>Labor Off-Cycle Bonus</t>
  </si>
  <si>
    <t>A_6010990</t>
  </si>
  <si>
    <t>Labor Seconded Employees</t>
  </si>
  <si>
    <t>A_6018999</t>
  </si>
  <si>
    <t>Labor Expense Reclass</t>
  </si>
  <si>
    <t>A_6019000</t>
  </si>
  <si>
    <t>Labor Expense sent to Balance Sheet</t>
  </si>
  <si>
    <t>A_6019900</t>
  </si>
  <si>
    <t>ST Labor &amp; Benefits Expense to Balance Sheet</t>
  </si>
  <si>
    <t>A_6019910</t>
  </si>
  <si>
    <t>OT Labor &amp; Benefits Expense to Balance Sheet</t>
  </si>
  <si>
    <t>A_6020010</t>
  </si>
  <si>
    <t>Benefit Plan Admin Fees</t>
  </si>
  <si>
    <t>A_6020020</t>
  </si>
  <si>
    <t>Tuition Reimbursement</t>
  </si>
  <si>
    <t>A_6020030</t>
  </si>
  <si>
    <t>Life Insurance</t>
  </si>
  <si>
    <t>A_6020040</t>
  </si>
  <si>
    <t>Long-term Care Insurance</t>
  </si>
  <si>
    <t>A_6020050</t>
  </si>
  <si>
    <t>Medical Insurance - Active</t>
  </si>
  <si>
    <t>A_6020060</t>
  </si>
  <si>
    <t>Pensions</t>
  </si>
  <si>
    <t>A_6020080</t>
  </si>
  <si>
    <t>Post Retirement Benefits FAS 106 - Active</t>
  </si>
  <si>
    <t>A_6020090</t>
  </si>
  <si>
    <t>Post Retirememt Benefits FAS 106 - Retiree</t>
  </si>
  <si>
    <t>A_6020100</t>
  </si>
  <si>
    <t>Long-term incentive Expense</t>
  </si>
  <si>
    <t>A_6020110</t>
  </si>
  <si>
    <t>Employee Wellness</t>
  </si>
  <si>
    <t>A_6020130</t>
  </si>
  <si>
    <t>Employer 401K Fixed Match</t>
  </si>
  <si>
    <t>A_6020131</t>
  </si>
  <si>
    <t>Employer 401K – IBEW Plan Match</t>
  </si>
  <si>
    <t>A_6020140</t>
  </si>
  <si>
    <t>Employer 401K Performance Match</t>
  </si>
  <si>
    <t>A_6020150</t>
  </si>
  <si>
    <t>Supplemental Executive Retirement Plan (SERP)</t>
  </si>
  <si>
    <t>A_6020170</t>
  </si>
  <si>
    <t>Long-term Disability - FAS 112</t>
  </si>
  <si>
    <t>A_6020180</t>
  </si>
  <si>
    <t>Long-term Disability Premiums</t>
  </si>
  <si>
    <t>A_6020220</t>
  </si>
  <si>
    <t>Vacations (accrual)</t>
  </si>
  <si>
    <t>A_6020230</t>
  </si>
  <si>
    <t>Restoriation Benefit Plan Expense</t>
  </si>
  <si>
    <t>A_6020800</t>
  </si>
  <si>
    <t>Benefits - Other</t>
  </si>
  <si>
    <t>A_6020900</t>
  </si>
  <si>
    <t>Employee Incentive Expense</t>
  </si>
  <si>
    <t>A_6020920</t>
  </si>
  <si>
    <t>Employee Service Awards</t>
  </si>
  <si>
    <t>A_6028999</t>
  </si>
  <si>
    <t>Benefits Fringe Reclass</t>
  </si>
  <si>
    <t>A_6029000</t>
  </si>
  <si>
    <t>Benefits Expense sent to Balance Sheet</t>
  </si>
  <si>
    <t>A_6030010</t>
  </si>
  <si>
    <t>Empl Exp - Professional Dues. Subscriptions. Fees</t>
  </si>
  <si>
    <t>A_6030020</t>
  </si>
  <si>
    <t>Empl Exp - Social/Civic Dues</t>
  </si>
  <si>
    <t>A_6030040</t>
  </si>
  <si>
    <t>Empl Exp - Meals &amp; Entertainment 50% Deductible</t>
  </si>
  <si>
    <t>A_6030050</t>
  </si>
  <si>
    <t>Empl Exp - Mileage</t>
  </si>
  <si>
    <t>A_6030060</t>
  </si>
  <si>
    <t>Empl Exp - Shoes and uniforms</t>
  </si>
  <si>
    <t>A_6030070</t>
  </si>
  <si>
    <t>Empl Exp - Training</t>
  </si>
  <si>
    <t>A_6030080</t>
  </si>
  <si>
    <t>Empl Exp - Travel and Lodging</t>
  </si>
  <si>
    <t>A_6030091</t>
  </si>
  <si>
    <t>Empl Exp - Employee Appreciation and Gift Cards</t>
  </si>
  <si>
    <t>A_6030800</t>
  </si>
  <si>
    <t>Empl Exp - Miscellaneous Expense</t>
  </si>
  <si>
    <t>A_6038999</t>
  </si>
  <si>
    <t>Employee Expense Reclass</t>
  </si>
  <si>
    <t>A_6039000</t>
  </si>
  <si>
    <t>Employee Reimb Expense sent to Balance Sheet</t>
  </si>
  <si>
    <t>A_6100010</t>
  </si>
  <si>
    <t>Advertising</t>
  </si>
  <si>
    <t>A_6100030</t>
  </si>
  <si>
    <t>Consultants - Audit</t>
  </si>
  <si>
    <t>A_6100040</t>
  </si>
  <si>
    <t>Consultants - Engineering</t>
  </si>
  <si>
    <t>A_6100050</t>
  </si>
  <si>
    <t>Consultants - Environmental</t>
  </si>
  <si>
    <t>A_6100060</t>
  </si>
  <si>
    <t>Consultants - Legal</t>
  </si>
  <si>
    <t>A_6100070</t>
  </si>
  <si>
    <t>Consultants - Management</t>
  </si>
  <si>
    <t>A_6100080</t>
  </si>
  <si>
    <t>Consultants - Other</t>
  </si>
  <si>
    <t>A_6100090</t>
  </si>
  <si>
    <t>Consultants - Taxes</t>
  </si>
  <si>
    <t>A_6100100</t>
  </si>
  <si>
    <t>Subcontracted Services</t>
  </si>
  <si>
    <t>A_6100110</t>
  </si>
  <si>
    <t>Instrument Service/Repair</t>
  </si>
  <si>
    <t>A_6100120</t>
  </si>
  <si>
    <t>Tools Service/Repair</t>
  </si>
  <si>
    <t>A_6100140</t>
  </si>
  <si>
    <t>Line Clearance</t>
  </si>
  <si>
    <t>A_6100150</t>
  </si>
  <si>
    <t>Printing</t>
  </si>
  <si>
    <t>A_6100160</t>
  </si>
  <si>
    <t>Security Services</t>
  </si>
  <si>
    <t>A_6100170</t>
  </si>
  <si>
    <t>Service/Maintenance-Computers &amp; Communication</t>
  </si>
  <si>
    <t>A_6100180</t>
  </si>
  <si>
    <t>Site Testing Services</t>
  </si>
  <si>
    <t>A_6100190</t>
  </si>
  <si>
    <t>Software Maintenance</t>
  </si>
  <si>
    <t>A_6108999</t>
  </si>
  <si>
    <t>Outside Services Expense Reclass</t>
  </si>
  <si>
    <t>A_6109000</t>
  </si>
  <si>
    <t>Outside Services Expense sent to Balance Sheet</t>
  </si>
  <si>
    <t>A_6200010</t>
  </si>
  <si>
    <t>Fuel Expense - Coal Recoverable</t>
  </si>
  <si>
    <t>A_6200030</t>
  </si>
  <si>
    <t>Fuel Expense - Natural Gas</t>
  </si>
  <si>
    <t>A_6200040</t>
  </si>
  <si>
    <t>Fuel Expense - Oil burned for generation</t>
  </si>
  <si>
    <t>A_6200080</t>
  </si>
  <si>
    <t>Fuel Renew Energy CRs</t>
  </si>
  <si>
    <t>A_6250100</t>
  </si>
  <si>
    <t>A_6400010</t>
  </si>
  <si>
    <t>Mat &amp; Supp - Furniture &amp; Computer/Office Equipment</t>
  </si>
  <si>
    <t>A_6400020</t>
  </si>
  <si>
    <t>Mat &amp; Supp - General and Office Supplies</t>
  </si>
  <si>
    <t>A_6400030</t>
  </si>
  <si>
    <t>Mat &amp; Supp - Chemicals</t>
  </si>
  <si>
    <t>A_6400040</t>
  </si>
  <si>
    <t>Mat &amp; Supp - Laboratory materials and supplies</t>
  </si>
  <si>
    <t>A_6400050</t>
  </si>
  <si>
    <t>Mat &amp; Supp - Lubricants</t>
  </si>
  <si>
    <t>A_6400060</t>
  </si>
  <si>
    <t>Mat &amp; Supp - Operations Consumables</t>
  </si>
  <si>
    <t>A_6400070</t>
  </si>
  <si>
    <t>Mat &amp; Supp - Safety/First Aid Supplies &amp; Equipment</t>
  </si>
  <si>
    <t>A_6400080</t>
  </si>
  <si>
    <t>Mat &amp; Supp - Vehicle Fuel</t>
  </si>
  <si>
    <t>A_6400100</t>
  </si>
  <si>
    <t>Mat &amp; Supp - Outside Material Purchases</t>
  </si>
  <si>
    <t>A_6400500</t>
  </si>
  <si>
    <t>Mat &amp; Supp - Parts</t>
  </si>
  <si>
    <t>A_6400510</t>
  </si>
  <si>
    <t>Mat &amp; Supp - Small Tools</t>
  </si>
  <si>
    <t>A_6400520</t>
  </si>
  <si>
    <t>Mat &amp; Supp - Obsolete Inventory</t>
  </si>
  <si>
    <t>A_6400530</t>
  </si>
  <si>
    <t>Mat &amp; Supp - Inventory Other</t>
  </si>
  <si>
    <t>A_6401000</t>
  </si>
  <si>
    <t>Mat &amp; Supp - Inventory Issue</t>
  </si>
  <si>
    <t>A_6401100</t>
  </si>
  <si>
    <t>Physical Inventory Differences</t>
  </si>
  <si>
    <t>A_6401200</t>
  </si>
  <si>
    <t>Materials Price Differences</t>
  </si>
  <si>
    <t>A_6401300</t>
  </si>
  <si>
    <t>Re-Stock Salvage</t>
  </si>
  <si>
    <t>A_6408999</t>
  </si>
  <si>
    <t>Materials &amp; Supplies Expense Reclass</t>
  </si>
  <si>
    <t>A_6409000</t>
  </si>
  <si>
    <t>Materials &amp; Supplies Expense sent to Balance Sheet</t>
  </si>
  <si>
    <t>A_6500010</t>
  </si>
  <si>
    <t>Transportation - Vehicle expense</t>
  </si>
  <si>
    <t>A_6500810</t>
  </si>
  <si>
    <t>Transportation - Vehicle Depreciation Other</t>
  </si>
  <si>
    <t>A_6508999</t>
  </si>
  <si>
    <t>Transportation Expense Reclass</t>
  </si>
  <si>
    <t>A_6509000</t>
  </si>
  <si>
    <t>Transportation Expense sent to Balance Sheet</t>
  </si>
  <si>
    <t>A_6700400</t>
  </si>
  <si>
    <t>Insurance - FPSC Storm Reserve Expense Accrual</t>
  </si>
  <si>
    <t>A_6700502</t>
  </si>
  <si>
    <t>Insurance - Brokerage Fees</t>
  </si>
  <si>
    <t>A_6700503</t>
  </si>
  <si>
    <t>Insurance - Crime &amp; Fidelity</t>
  </si>
  <si>
    <t>A_6700504</t>
  </si>
  <si>
    <t>Insurance - Directors &amp; Officers</t>
  </si>
  <si>
    <t>A_6700505</t>
  </si>
  <si>
    <t>Insurance - Errors and Omissions</t>
  </si>
  <si>
    <t>A_6700506</t>
  </si>
  <si>
    <t>Insurance - Excess Automobile</t>
  </si>
  <si>
    <t>A_6700507</t>
  </si>
  <si>
    <t>Insurance - Excess General Liability</t>
  </si>
  <si>
    <t>A_6700508</t>
  </si>
  <si>
    <t>Insurance - Fiduciary</t>
  </si>
  <si>
    <t>A_6700509</t>
  </si>
  <si>
    <t>Insurance - I&amp;D Reserves</t>
  </si>
  <si>
    <t>A_6700510</t>
  </si>
  <si>
    <t>Insurance - Longshoremen's Compensation</t>
  </si>
  <si>
    <t>A_6700514</t>
  </si>
  <si>
    <t>Insurance - Property</t>
  </si>
  <si>
    <t>A_6700515</t>
  </si>
  <si>
    <t>Insurance - Punitive Damages</t>
  </si>
  <si>
    <t>A_6700516</t>
  </si>
  <si>
    <t>Insurance - Special Risk</t>
  </si>
  <si>
    <t>A_6700517</t>
  </si>
  <si>
    <t>Insurance - Surety Bonds</t>
  </si>
  <si>
    <t>A_6700518</t>
  </si>
  <si>
    <t>Insurance - Travel Accident</t>
  </si>
  <si>
    <t>A_6700519</t>
  </si>
  <si>
    <t>Insurance - Workers Compensation - Excess</t>
  </si>
  <si>
    <t>A_6700521</t>
  </si>
  <si>
    <t>Insurance - Solar</t>
  </si>
  <si>
    <t>A_6700599</t>
  </si>
  <si>
    <t>Insurance - Other</t>
  </si>
  <si>
    <t>A_6710020</t>
  </si>
  <si>
    <t>Short-term Rent - Non-Office Equipment</t>
  </si>
  <si>
    <t>A_6710030</t>
  </si>
  <si>
    <t>Short-term Rent - Office Equipment</t>
  </si>
  <si>
    <t>A_6710040</t>
  </si>
  <si>
    <t>Short-term Rent - Office Space</t>
  </si>
  <si>
    <t>A_6710050</t>
  </si>
  <si>
    <t>Short-term Rent - Right of way</t>
  </si>
  <si>
    <t>A_6710060</t>
  </si>
  <si>
    <t>Short-term Rent - Vehicle</t>
  </si>
  <si>
    <t>A_6710800</t>
  </si>
  <si>
    <t>Short-term Rent - Other</t>
  </si>
  <si>
    <t>A_6719000</t>
  </si>
  <si>
    <t>Short-term Rent Expense sent to Balance Sheet</t>
  </si>
  <si>
    <t>A_6720010</t>
  </si>
  <si>
    <t>Long-term Lease - Building</t>
  </si>
  <si>
    <t>A_6720060</t>
  </si>
  <si>
    <t>Long-term Lease - Variable Lease Expense</t>
  </si>
  <si>
    <t>A_6720800</t>
  </si>
  <si>
    <t>Long-term Lease - Other</t>
  </si>
  <si>
    <t>A_6729000</t>
  </si>
  <si>
    <t>Long-term Lease Expense sent to Balance Sheet</t>
  </si>
  <si>
    <t>A_6730010</t>
  </si>
  <si>
    <t>Utilities - Electricity</t>
  </si>
  <si>
    <t>A_6730030</t>
  </si>
  <si>
    <t>Utilities - Telecom</t>
  </si>
  <si>
    <t>A_6730050</t>
  </si>
  <si>
    <t>Utilities - Waste &amp; Trash Management</t>
  </si>
  <si>
    <t>A_6730060</t>
  </si>
  <si>
    <t>Utilities - Water</t>
  </si>
  <si>
    <t>A_6730800</t>
  </si>
  <si>
    <t>Utilities - Other</t>
  </si>
  <si>
    <t>A_6739000</t>
  </si>
  <si>
    <t>Utilities Expense sent to Balance Sheet</t>
  </si>
  <si>
    <t>A_6780020</t>
  </si>
  <si>
    <t>Miscellaneous Billing Exp Material Sales</t>
  </si>
  <si>
    <t>A_6780030</t>
  </si>
  <si>
    <t>Miscellaneous Billing Exp Chargeable Projects</t>
  </si>
  <si>
    <t>A_6780040</t>
  </si>
  <si>
    <t>Miscellaneous Billing Exp Damaged Facilities</t>
  </si>
  <si>
    <t>A_6780800</t>
  </si>
  <si>
    <t>Miscellaneous Billing Exp General</t>
  </si>
  <si>
    <t>A_6789000</t>
  </si>
  <si>
    <t>Miscellaneous Billing Exp to Balance Sheet</t>
  </si>
  <si>
    <t>A_6790010</t>
  </si>
  <si>
    <t>Bad Debt Expense</t>
  </si>
  <si>
    <t>A_6790030</t>
  </si>
  <si>
    <t>Director's Expenses</t>
  </si>
  <si>
    <t>A_6790050</t>
  </si>
  <si>
    <t>Deferred Compensation</t>
  </si>
  <si>
    <t>A_6790055</t>
  </si>
  <si>
    <t>Economic Development</t>
  </si>
  <si>
    <t>A_6790060</t>
  </si>
  <si>
    <t>Industry Dues</t>
  </si>
  <si>
    <t>A_6790090</t>
  </si>
  <si>
    <t>Donations - Charitable (501c)</t>
  </si>
  <si>
    <t>A_6790091</t>
  </si>
  <si>
    <t>Donations - Non deductible</t>
  </si>
  <si>
    <t>A_6790092</t>
  </si>
  <si>
    <t>Donations - Other</t>
  </si>
  <si>
    <t>A_6790101</t>
  </si>
  <si>
    <t>Fees - Bank</t>
  </si>
  <si>
    <t>A_6790102</t>
  </si>
  <si>
    <t>Fees - Report Filing</t>
  </si>
  <si>
    <t>A_6790199</t>
  </si>
  <si>
    <t>Fees - Miscellaneous</t>
  </si>
  <si>
    <t>A_6790200</t>
  </si>
  <si>
    <t>Penalties</t>
  </si>
  <si>
    <t>A_6790210</t>
  </si>
  <si>
    <t>Permitting</t>
  </si>
  <si>
    <t>A_6790220</t>
  </si>
  <si>
    <t>Political Contributions</t>
  </si>
  <si>
    <t>A_6790230</t>
  </si>
  <si>
    <t>Postage. Shipping and Courier</t>
  </si>
  <si>
    <t>A_6790250</t>
  </si>
  <si>
    <t>Energy Conservation Allowances</t>
  </si>
  <si>
    <t>A_6790255</t>
  </si>
  <si>
    <t>Selling and Marketing Expense</t>
  </si>
  <si>
    <t>A_6790260</t>
  </si>
  <si>
    <t>Settlements/Claims Expense</t>
  </si>
  <si>
    <t>A_6790300</t>
  </si>
  <si>
    <t>Cash Discount Taken</t>
  </si>
  <si>
    <t>A_6790305</t>
  </si>
  <si>
    <t>A&amp;G Allocation</t>
  </si>
  <si>
    <t>A_6790310</t>
  </si>
  <si>
    <t>A&amp;G Allocated to Capital</t>
  </si>
  <si>
    <t>A_6790323</t>
  </si>
  <si>
    <t>Self Help Alloc</t>
  </si>
  <si>
    <t>A_6790700</t>
  </si>
  <si>
    <t>Intercompany Overhead Allocations</t>
  </si>
  <si>
    <t>A_6790704</t>
  </si>
  <si>
    <t>Intercompany Support Services</t>
  </si>
  <si>
    <t>A_6790800</t>
  </si>
  <si>
    <t>Other Operational Expense - Miscellaneous</t>
  </si>
  <si>
    <t>A_6791000</t>
  </si>
  <si>
    <t>Rate Case Expense</t>
  </si>
  <si>
    <t>A_6798999</t>
  </si>
  <si>
    <t>Other Operational Expense Reclass</t>
  </si>
  <si>
    <t>A_6799000</t>
  </si>
  <si>
    <t>Other Operational Expense sent to Balance Sheet</t>
  </si>
  <si>
    <t>A_6799104</t>
  </si>
  <si>
    <t>Make Ready Changes to the Balance Sheet</t>
  </si>
  <si>
    <t>A_6799105</t>
  </si>
  <si>
    <t>Fleet Charges to the Balance Sheet</t>
  </si>
  <si>
    <t>A_6799106</t>
  </si>
  <si>
    <t>Small Tools Charges to the Balance Sheet</t>
  </si>
  <si>
    <t>A_6799107</t>
  </si>
  <si>
    <t>Stores Clearing Charges to the Balance Sheet</t>
  </si>
  <si>
    <t>A_6799108</t>
  </si>
  <si>
    <t>Self Help Charges to the Balance Sheet</t>
  </si>
  <si>
    <t>A_6799109</t>
  </si>
  <si>
    <t>Supervisory &amp; Management Cghs to the Balance Sheet</t>
  </si>
  <si>
    <t>A_6800010</t>
  </si>
  <si>
    <t>Amortization - Utility Plant</t>
  </si>
  <si>
    <t>A_6800040</t>
  </si>
  <si>
    <t>Amortization - Acquisition Adjustments</t>
  </si>
  <si>
    <t>A_6800045</t>
  </si>
  <si>
    <t>Amortization - Acquisition Adjustments BTL</t>
  </si>
  <si>
    <t>A_6800120</t>
  </si>
  <si>
    <t>Amortization - Financing Lease</t>
  </si>
  <si>
    <t>A_6810010</t>
  </si>
  <si>
    <t>Depreciation - Utility Plant</t>
  </si>
  <si>
    <t>A_6810025</t>
  </si>
  <si>
    <t>Depreciation - Non-Utility Property BTL</t>
  </si>
  <si>
    <t>A_6810050</t>
  </si>
  <si>
    <t>Depreciation - Environmental</t>
  </si>
  <si>
    <t>A_6810060</t>
  </si>
  <si>
    <t>Depreciation - Dismantling Accrual</t>
  </si>
  <si>
    <t>A_6810090</t>
  </si>
  <si>
    <t>Depreciation – SPPCRC</t>
  </si>
  <si>
    <t>A_6810140</t>
  </si>
  <si>
    <t>Depreciation - Conservation</t>
  </si>
  <si>
    <t>A_6900010</t>
  </si>
  <si>
    <t>TOTI - Franchise Fees</t>
  </si>
  <si>
    <t>A_6900030</t>
  </si>
  <si>
    <t>TOTI - Gross Receipts</t>
  </si>
  <si>
    <t>A_6900040</t>
  </si>
  <si>
    <t>TOTI - Payroll Tax</t>
  </si>
  <si>
    <t>A_6900048</t>
  </si>
  <si>
    <t>TOTI - Payroll Tax - Incentives</t>
  </si>
  <si>
    <t>A_6900049</t>
  </si>
  <si>
    <t>TOTI - Payroll Tax Reclass</t>
  </si>
  <si>
    <t>A_6900060</t>
  </si>
  <si>
    <t>TOTI - Property Tax - Above the line</t>
  </si>
  <si>
    <t>A_6900065</t>
  </si>
  <si>
    <t>TOTI - Property Tax - Below the line</t>
  </si>
  <si>
    <t>A_6900070</t>
  </si>
  <si>
    <t>TOTI - Regulatory Assessment Fee</t>
  </si>
  <si>
    <t>A_6900080</t>
  </si>
  <si>
    <t>TOTI - Sales and Use</t>
  </si>
  <si>
    <t>A_6900800</t>
  </si>
  <si>
    <t>Taxes other than income - Other</t>
  </si>
  <si>
    <t>A_6909000</t>
  </si>
  <si>
    <t>Taxes other than income Exp sent to Balance Sheet</t>
  </si>
  <si>
    <t>A_7000220</t>
  </si>
  <si>
    <t>Interest Inc - Defd Fuel Clause</t>
  </si>
  <si>
    <t>A_7000230</t>
  </si>
  <si>
    <t>Interest Inc - Defd Capacity Clause</t>
  </si>
  <si>
    <t>A_7000290</t>
  </si>
  <si>
    <t>Interest Inc - Defd Storm Clause</t>
  </si>
  <si>
    <t>A_7000291</t>
  </si>
  <si>
    <t>Interest Inc - Defd CETM</t>
  </si>
  <si>
    <t>A_7000700</t>
  </si>
  <si>
    <t>Interest Inc - Intercompany</t>
  </si>
  <si>
    <t>A_7000800</t>
  </si>
  <si>
    <t>Interest Inc - Miscellaneous</t>
  </si>
  <si>
    <t>A_7100010</t>
  </si>
  <si>
    <t>Allowance for other funds AFUDC Equity</t>
  </si>
  <si>
    <t>A_7100015</t>
  </si>
  <si>
    <t>Capitalized AFUDC Equity</t>
  </si>
  <si>
    <t>A_7100400</t>
  </si>
  <si>
    <t>Gain/(Loss) Sale of Non-Utility Property</t>
  </si>
  <si>
    <t>A_7100800</t>
  </si>
  <si>
    <t>Oth Inc/Exp - Miscellaneous</t>
  </si>
  <si>
    <t>A_7103030</t>
  </si>
  <si>
    <t>Commercial Surge Supression Equipment Revenue</t>
  </si>
  <si>
    <t>A_7103035</t>
  </si>
  <si>
    <t>Other Lighting Revenue - Unregulated</t>
  </si>
  <si>
    <t>A_7103040</t>
  </si>
  <si>
    <t>Residential Surge Supression Equipment Revenue</t>
  </si>
  <si>
    <t>A_7103060</t>
  </si>
  <si>
    <t>CIAC (Capital Work Order Credit)</t>
  </si>
  <si>
    <t>A_7109000</t>
  </si>
  <si>
    <t>Other Income sent to Balance Sheet</t>
  </si>
  <si>
    <t>A_7201100</t>
  </si>
  <si>
    <t>A_7202000</t>
  </si>
  <si>
    <t>Currency Adjustment - Realized Loss</t>
  </si>
  <si>
    <t>A_7202100</t>
  </si>
  <si>
    <t>Currency Adjustment - Unrealized Loss</t>
  </si>
  <si>
    <t>A_7203030</t>
  </si>
  <si>
    <t>Zap Cap for Business Expense</t>
  </si>
  <si>
    <t>A_7203040</t>
  </si>
  <si>
    <t>Residential Zap Cap Expense</t>
  </si>
  <si>
    <t>A_7500010</t>
  </si>
  <si>
    <t>Interest Exp - Allow for Borrowed Funds AFUDC Debt</t>
  </si>
  <si>
    <t>A_7500015</t>
  </si>
  <si>
    <t>Capitalized AFUDC Debt</t>
  </si>
  <si>
    <t>A_7500030</t>
  </si>
  <si>
    <t>Interest Exp - Customer Deposits</t>
  </si>
  <si>
    <t>A_7500060</t>
  </si>
  <si>
    <t>Interest Exp - Financing Lease</t>
  </si>
  <si>
    <t>A_7500080</t>
  </si>
  <si>
    <t>Interest Exp - Credit Facilities</t>
  </si>
  <si>
    <t>A_7500090</t>
  </si>
  <si>
    <t>Interest Exp - Other Short Term Borrowing</t>
  </si>
  <si>
    <t>A_7500100</t>
  </si>
  <si>
    <t>Interest Exp - Taxes</t>
  </si>
  <si>
    <t>A_7500110</t>
  </si>
  <si>
    <t>Interest Exp - Long-term Debt</t>
  </si>
  <si>
    <t>A_7500120</t>
  </si>
  <si>
    <t>Amortization of discount on Debt</t>
  </si>
  <si>
    <t>A_7500130</t>
  </si>
  <si>
    <t>Interest Exp - Amortiz of Fees on Long-term Debt</t>
  </si>
  <si>
    <t>A_7500240</t>
  </si>
  <si>
    <t>Interest Exp - Defd Conservation Clause</t>
  </si>
  <si>
    <t>A_7500250</t>
  </si>
  <si>
    <t>Interest Exp - Defd Environmental Clause</t>
  </si>
  <si>
    <t>A_7500290</t>
  </si>
  <si>
    <t>Interest Exp - Defd Storm Clause</t>
  </si>
  <si>
    <t>A_7500291</t>
  </si>
  <si>
    <t>Interest Exp - Defd CETM</t>
  </si>
  <si>
    <t>A_7500700</t>
  </si>
  <si>
    <t>Interest Exp - Intercompany</t>
  </si>
  <si>
    <t>A_7500800</t>
  </si>
  <si>
    <t>Interest Exp - Miscellaneous</t>
  </si>
  <si>
    <t>A_7509000</t>
  </si>
  <si>
    <t>Interest Expense sent to Balance Sheet</t>
  </si>
  <si>
    <t>A_8000300</t>
  </si>
  <si>
    <t>Federal Income Tax Expense</t>
  </si>
  <si>
    <t>A_8000310</t>
  </si>
  <si>
    <t>Federal Income Tax Expense - Above Line</t>
  </si>
  <si>
    <t>A_8000400</t>
  </si>
  <si>
    <t>State Income Tax Expense</t>
  </si>
  <si>
    <t>A_8000410</t>
  </si>
  <si>
    <t>State Income Tax Expense - Above Line</t>
  </si>
  <si>
    <t>A_8010300</t>
  </si>
  <si>
    <t>Deferred Federal Income Tax Exp</t>
  </si>
  <si>
    <t>A_8010305</t>
  </si>
  <si>
    <t>Deferred Federal Income Tax Exp - Non-Utility</t>
  </si>
  <si>
    <t>A_8010310</t>
  </si>
  <si>
    <t>Deferred Federal Income Tax Exp - Cr</t>
  </si>
  <si>
    <t>A_8010315</t>
  </si>
  <si>
    <t>Deferred Federal Income Tax Exp - Cr Non-Utility</t>
  </si>
  <si>
    <t>A_8010320</t>
  </si>
  <si>
    <t>A_8010330</t>
  </si>
  <si>
    <t>DIT Federal Accelerated Amortization Property - Cr</t>
  </si>
  <si>
    <t>A_8010400</t>
  </si>
  <si>
    <t>Deferred State Income Tax Exp</t>
  </si>
  <si>
    <t>A_8010410</t>
  </si>
  <si>
    <t>Deferred State Income Tax Exp - Cr</t>
  </si>
  <si>
    <t>A_8010415</t>
  </si>
  <si>
    <t>Deferred State Income Tax Exp - Cr Non-Utility</t>
  </si>
  <si>
    <t>A_8010420</t>
  </si>
  <si>
    <t>A_8010430</t>
  </si>
  <si>
    <t>DIT State Accelerated Amortization Property - Cr</t>
  </si>
  <si>
    <t>A_8010600</t>
  </si>
  <si>
    <t>Investment Tax Credit Amort - Utility</t>
  </si>
  <si>
    <t>A_8010610</t>
  </si>
  <si>
    <t>Investment Tax Credit Amort - Non Utility</t>
  </si>
  <si>
    <t>A_8900140</t>
  </si>
  <si>
    <t>FICO Reconciliation - O&amp;M Expense</t>
  </si>
  <si>
    <t>A_8900170</t>
  </si>
  <si>
    <t>FICO Reconciliation - Taxes other than Income</t>
  </si>
  <si>
    <t>A_8900180</t>
  </si>
  <si>
    <t>FICO Reconciliation - Other Income/Expense</t>
  </si>
  <si>
    <t>A_8903001</t>
  </si>
  <si>
    <t>FICO Reconciliation - Parent A&amp;G Allocation</t>
  </si>
  <si>
    <t>A_8903002</t>
  </si>
  <si>
    <t>FICO Reconciliation - IT Allocation</t>
  </si>
  <si>
    <t>A_8903003</t>
  </si>
  <si>
    <t>FICO Reconciliation - Telecom Allocation</t>
  </si>
  <si>
    <t>A_8903004</t>
  </si>
  <si>
    <t>FICO Reconciliation - Facilities Allocation</t>
  </si>
  <si>
    <t>A_8903005</t>
  </si>
  <si>
    <t>FICO Reconciliation - HR Allocation</t>
  </si>
  <si>
    <t>A_8903006</t>
  </si>
  <si>
    <t>FICO Reconciliation - Services Allocation</t>
  </si>
  <si>
    <t>A_8903007</t>
  </si>
  <si>
    <t>FICO Reconciliation - Procurement Allocation</t>
  </si>
  <si>
    <t>A_8903008</t>
  </si>
  <si>
    <t>FICO Reconciliation - HR Empl Relations Allocation</t>
  </si>
  <si>
    <t>A_8903009</t>
  </si>
  <si>
    <t>FICO Reconciliation - Emergency Mgmt Allocation</t>
  </si>
  <si>
    <t>A_8903011</t>
  </si>
  <si>
    <t>FICO Reconciliation - Accounts Payable Allocation</t>
  </si>
  <si>
    <t>A_8903012</t>
  </si>
  <si>
    <t>FICO Reconciliation - Claims Allocation</t>
  </si>
  <si>
    <t>A_8999999</t>
  </si>
  <si>
    <t>Income Summary Offset</t>
  </si>
  <si>
    <t>A_A1000101</t>
  </si>
  <si>
    <t>Assessed Facility Charges</t>
  </si>
  <si>
    <t>A_A1000113</t>
  </si>
  <si>
    <t>Assessed SS DOC Services</t>
  </si>
  <si>
    <t>A_A1000114</t>
  </si>
  <si>
    <t>Assessed SS Payroll Charge</t>
  </si>
  <si>
    <t>A_A1000300</t>
  </si>
  <si>
    <t>Assessed Stores Clearing Charges</t>
  </si>
  <si>
    <t>A_C6020000</t>
  </si>
  <si>
    <t>Fringe Adder</t>
  </si>
  <si>
    <t>A_P1000000</t>
  </si>
  <si>
    <t>Planned Corporate Overhead Allocation</t>
  </si>
  <si>
    <t>A_P1000100</t>
  </si>
  <si>
    <t>Planned IT Charges</t>
  </si>
  <si>
    <t>A_P1000101</t>
  </si>
  <si>
    <t>Planned Facility Charges</t>
  </si>
  <si>
    <t>A_P1000102</t>
  </si>
  <si>
    <t>Planned Telecom Charges</t>
  </si>
  <si>
    <t>A_P1000103</t>
  </si>
  <si>
    <t>Planned HR Benefits Admin</t>
  </si>
  <si>
    <t>A_P1000104</t>
  </si>
  <si>
    <t>Planned Admin Services</t>
  </si>
  <si>
    <t>A_P1000105</t>
  </si>
  <si>
    <t>Planned Procurement Charges</t>
  </si>
  <si>
    <t>A_P1000108</t>
  </si>
  <si>
    <t>Planned SS HREmpRel Chgs</t>
  </si>
  <si>
    <t>A_P1000109</t>
  </si>
  <si>
    <t>Planned SS EmerMgmt Chgs</t>
  </si>
  <si>
    <t>A_P1000111</t>
  </si>
  <si>
    <t>Planned SS AcctsPay Chgs</t>
  </si>
  <si>
    <t>A_P1000112</t>
  </si>
  <si>
    <t>Planned SS Claims Chgs</t>
  </si>
  <si>
    <t>A_P1000113</t>
  </si>
  <si>
    <t>Planned SS DOC Services</t>
  </si>
  <si>
    <t>A_P1000114</t>
  </si>
  <si>
    <t>Planned SS Payroll Charge</t>
  </si>
  <si>
    <t>A_P1000300</t>
  </si>
  <si>
    <t>Planned Stores Clearing Charges</t>
  </si>
  <si>
    <t>A_S1000101</t>
  </si>
  <si>
    <t>Settled Facility Charges</t>
  </si>
  <si>
    <t>A_S1000102</t>
  </si>
  <si>
    <t>Settled Telecom Charges</t>
  </si>
  <si>
    <t>A_S1000104</t>
  </si>
  <si>
    <t>Settled Admin Services</t>
  </si>
  <si>
    <t>A_S1000109</t>
  </si>
  <si>
    <t>Settled SS EmerMgmt Chgs</t>
  </si>
  <si>
    <t>A_S1000200</t>
  </si>
  <si>
    <t>Settled Fleet Charges</t>
  </si>
  <si>
    <t>A_S6010000</t>
  </si>
  <si>
    <t>Settled Labor Expense</t>
  </si>
  <si>
    <t>A_S6010010</t>
  </si>
  <si>
    <t>Settled SLR Overtime Blended Labor</t>
  </si>
  <si>
    <t>A_S6010910</t>
  </si>
  <si>
    <t>Settled Labor Off-Cycle Bonus</t>
  </si>
  <si>
    <t>A_S6010990</t>
  </si>
  <si>
    <t>Settled Labor Seconded Employees</t>
  </si>
  <si>
    <t>A_S6018999</t>
  </si>
  <si>
    <t>Settled Labor Expense Reclass</t>
  </si>
  <si>
    <t>A_S6020000</t>
  </si>
  <si>
    <t>Settled Benefits Expense</t>
  </si>
  <si>
    <t>A_S6020010</t>
  </si>
  <si>
    <t>Settled Benefit Plan Admin Fees</t>
  </si>
  <si>
    <t>A_S6020020</t>
  </si>
  <si>
    <t>Settled Tuition Reimbursement</t>
  </si>
  <si>
    <t>A_S6020030</t>
  </si>
  <si>
    <t>Settled Life Insurance</t>
  </si>
  <si>
    <t>A_S6020040</t>
  </si>
  <si>
    <t>Settled Long-term Care Insurance</t>
  </si>
  <si>
    <t>A_S6020050</t>
  </si>
  <si>
    <t>Settled Medical Insurance - Active</t>
  </si>
  <si>
    <t>A_S6020060</t>
  </si>
  <si>
    <t>Settled Pensions</t>
  </si>
  <si>
    <t>A_S6020080</t>
  </si>
  <si>
    <t>Settled Post Retirement Benefits FAS 106 - Activ</t>
  </si>
  <si>
    <t>A_S6020090</t>
  </si>
  <si>
    <t>Settled Post Retirememt Benefits FAS 106 - Retir</t>
  </si>
  <si>
    <t>A_S6020100</t>
  </si>
  <si>
    <t>Settled Long-term Incentive Expense</t>
  </si>
  <si>
    <t>A_S6020110</t>
  </si>
  <si>
    <t>Settled Employee Wellness</t>
  </si>
  <si>
    <t>A_S6020130</t>
  </si>
  <si>
    <t>Settled Employer 401K Fixed Match</t>
  </si>
  <si>
    <t>A_S6020131</t>
  </si>
  <si>
    <t>Settled Employer 401K IBEW Plan Expense</t>
  </si>
  <si>
    <t>A_S6020150</t>
  </si>
  <si>
    <t>Settled Supplemental Executive Retirement</t>
  </si>
  <si>
    <t>A_S6020170</t>
  </si>
  <si>
    <t>Settled Long-term Disability - FAS 112</t>
  </si>
  <si>
    <t>A_S6020180</t>
  </si>
  <si>
    <t>Settled Long-term Disability Premiums</t>
  </si>
  <si>
    <t>A_S6020220</t>
  </si>
  <si>
    <t>Settled Vacations (accrual)</t>
  </si>
  <si>
    <t>A_S6020230</t>
  </si>
  <si>
    <t>Settled Restoration Benefit Plan Expense</t>
  </si>
  <si>
    <t>A_S6020240</t>
  </si>
  <si>
    <t>Settled Employer Match on Common Stock Purch</t>
  </si>
  <si>
    <t>A_S6020800</t>
  </si>
  <si>
    <t>Settled Benefits - Other</t>
  </si>
  <si>
    <t>A_S6020900</t>
  </si>
  <si>
    <t>Settled Employee Incentive Expense</t>
  </si>
  <si>
    <t>A_S6020920</t>
  </si>
  <si>
    <t>Settled Employee Service Awards</t>
  </si>
  <si>
    <t>A_S6028999</t>
  </si>
  <si>
    <t>Settled Benefits Fringe Reclass</t>
  </si>
  <si>
    <t>A_S6030010</t>
  </si>
  <si>
    <t>Settled Empl Exp - Professional Dues Subscription</t>
  </si>
  <si>
    <t>A_S6030020</t>
  </si>
  <si>
    <t>Settled Empl Exp - Social/Civic Dues</t>
  </si>
  <si>
    <t>A_S6030030</t>
  </si>
  <si>
    <t>Inactive Account - Do Not Use - Stld Empl Exp - Meals &amp; Ent</t>
  </si>
  <si>
    <t>A_S6030040</t>
  </si>
  <si>
    <t>Settled Empl Exp - Meals &amp; Entertainment 50% Ded</t>
  </si>
  <si>
    <t>A_S6030050</t>
  </si>
  <si>
    <t>Settled Empl Exp - Mileage</t>
  </si>
  <si>
    <t>A_S6030060</t>
  </si>
  <si>
    <t>Settled Empl Exp - Shoes and uniforms</t>
  </si>
  <si>
    <t>A_S6030070</t>
  </si>
  <si>
    <t>Settled Empl Exp - Training</t>
  </si>
  <si>
    <t>A_S6030080</t>
  </si>
  <si>
    <t>Settled Empl Exp - Travel and Lodging</t>
  </si>
  <si>
    <t>A_S6030091</t>
  </si>
  <si>
    <t>Settled Empl Exp - Employee Appreciation and Gift Cards</t>
  </si>
  <si>
    <t>A_S6030800</t>
  </si>
  <si>
    <t>Settled Empl Exp - Miscellaneous Expense</t>
  </si>
  <si>
    <t>A_S6100000</t>
  </si>
  <si>
    <t>Settled Outside Services Expense</t>
  </si>
  <si>
    <t>A_S6100010</t>
  </si>
  <si>
    <t>Settled Advertising</t>
  </si>
  <si>
    <t>A_S6100030</t>
  </si>
  <si>
    <t>Settled Consultants - Audit</t>
  </si>
  <si>
    <t>A_S6100040</t>
  </si>
  <si>
    <t>Settled Consultants - Engineering</t>
  </si>
  <si>
    <t>A_S6100050</t>
  </si>
  <si>
    <t>Settled Consultants - Environmental</t>
  </si>
  <si>
    <t>A_S6100060</t>
  </si>
  <si>
    <t>Settled Consultants - Legal</t>
  </si>
  <si>
    <t>A_S6100070</t>
  </si>
  <si>
    <t>Settled Consultants - Management</t>
  </si>
  <si>
    <t>A_S6100080</t>
  </si>
  <si>
    <t>Settled Consultants - Other</t>
  </si>
  <si>
    <t>A_S6100090</t>
  </si>
  <si>
    <t>Settled Consultants - Taxes</t>
  </si>
  <si>
    <t>A_S6100100</t>
  </si>
  <si>
    <t>Settled Contractor Services</t>
  </si>
  <si>
    <t>A_S6100120</t>
  </si>
  <si>
    <t>Settled Tools Service/Repair</t>
  </si>
  <si>
    <t>A_S6100140</t>
  </si>
  <si>
    <t>Settled Line Clearance</t>
  </si>
  <si>
    <t>A_S6100150</t>
  </si>
  <si>
    <t>Settled Printing</t>
  </si>
  <si>
    <t>A_S6100160</t>
  </si>
  <si>
    <t>Settled Security Services</t>
  </si>
  <si>
    <t>A_S6100170</t>
  </si>
  <si>
    <t>Settled Hardware Maintenance / Services</t>
  </si>
  <si>
    <t>A_S6100180</t>
  </si>
  <si>
    <t>Settled Site Testing Services</t>
  </si>
  <si>
    <t>A_S6100190</t>
  </si>
  <si>
    <t>Settled Software Maintenance</t>
  </si>
  <si>
    <t>A_S6100200</t>
  </si>
  <si>
    <t>Settled Trust Fee</t>
  </si>
  <si>
    <t>A_S6108999</t>
  </si>
  <si>
    <t>Settled Outside Services Expense Reclass</t>
  </si>
  <si>
    <t>A_S6200010</t>
  </si>
  <si>
    <t>Settled Fuel Expense - Coal Recoverable</t>
  </si>
  <si>
    <t>A_S6200030</t>
  </si>
  <si>
    <t>Settled Fuel Expense - Natural Gas</t>
  </si>
  <si>
    <t>A_S6200040</t>
  </si>
  <si>
    <t>Settled Fuel Expense - Oil burned for generation</t>
  </si>
  <si>
    <t>A_S6200060</t>
  </si>
  <si>
    <t>"Settled Fuel Expense - SO2 credits, Nox</t>
  </si>
  <si>
    <t>A_S6250100</t>
  </si>
  <si>
    <t>Settled Purchased Power</t>
  </si>
  <si>
    <t>A_S6400000</t>
  </si>
  <si>
    <t>Settled Materials &amp; Supplies Expense</t>
  </si>
  <si>
    <t>A_S6400010</t>
  </si>
  <si>
    <t>Settled Mat &amp; Supp - Furniture &amp; Computer</t>
  </si>
  <si>
    <t>A_S6400020</t>
  </si>
  <si>
    <t>Settled Mat &amp; Supp - General and Office</t>
  </si>
  <si>
    <t>A_S6400030</t>
  </si>
  <si>
    <t>Settled Mat &amp; Supp - Chemicals</t>
  </si>
  <si>
    <t>A_S6400040</t>
  </si>
  <si>
    <t>Settled Mat &amp; Supp - Laboratory material</t>
  </si>
  <si>
    <t>A_S6400050</t>
  </si>
  <si>
    <t>Settled Mat &amp; Supp - Lubricants</t>
  </si>
  <si>
    <t>A_S6400060</t>
  </si>
  <si>
    <t>Settled Mat &amp; Supp - Operations Consumables</t>
  </si>
  <si>
    <t>A_S6400070</t>
  </si>
  <si>
    <t>Settled Mat &amp; Supp - Safety/First Aid Supplies</t>
  </si>
  <si>
    <t>A_S6400080</t>
  </si>
  <si>
    <t>Settled Mat &amp; Supp - Vehicle Fuel</t>
  </si>
  <si>
    <t>A_S6400100</t>
  </si>
  <si>
    <t>Settled Mat &amp; Supp - Outside Material Purchases</t>
  </si>
  <si>
    <t>A_S6400500</t>
  </si>
  <si>
    <t>Settled Mat &amp; Supp - Parts</t>
  </si>
  <si>
    <t>A_S6400505</t>
  </si>
  <si>
    <t>Settled Mat &amp; Supp - Part Repairs</t>
  </si>
  <si>
    <t>A_S6400510</t>
  </si>
  <si>
    <t>Settled Mat &amp; Supp - Small Tools</t>
  </si>
  <si>
    <t>A_S6400530</t>
  </si>
  <si>
    <t>Settled Mat &amp; Supp - Inventory Other</t>
  </si>
  <si>
    <t>A_S6401000</t>
  </si>
  <si>
    <t>Settled M&amp;S Inventory Issues</t>
  </si>
  <si>
    <t>A_S6408999</t>
  </si>
  <si>
    <t>Settled Materials &amp; Supplies Expense Reclass</t>
  </si>
  <si>
    <t>A_S6500010</t>
  </si>
  <si>
    <t>Settled Transportation - Vehicle expense</t>
  </si>
  <si>
    <t>A_S6700400</t>
  </si>
  <si>
    <t>Settled Insurance - FPSC Storm Reserve Expense</t>
  </si>
  <si>
    <t>A_S6700502</t>
  </si>
  <si>
    <t>Settled Insurance - Brokerage Fees</t>
  </si>
  <si>
    <t>A_S6700503</t>
  </si>
  <si>
    <t>Settled Insurance - Crime &amp; Fidelity</t>
  </si>
  <si>
    <t>A_S6700504</t>
  </si>
  <si>
    <t>Settled Insurance - Directors &amp; Officers</t>
  </si>
  <si>
    <t>A_S6700505</t>
  </si>
  <si>
    <t>Settled Insurance - Errors and Omissions</t>
  </si>
  <si>
    <t>A_S6700507</t>
  </si>
  <si>
    <t>Settled Insurance - Excess General Liability</t>
  </si>
  <si>
    <t>A_S6700508</t>
  </si>
  <si>
    <t>Settled Insurance - Fiduciary</t>
  </si>
  <si>
    <t>A_S6700509</t>
  </si>
  <si>
    <t>Settled Insurance - I&amp;D Reserves</t>
  </si>
  <si>
    <t>A_S6700510</t>
  </si>
  <si>
    <t>Settled Insurance - Longshoremen's Compensation</t>
  </si>
  <si>
    <t>A_S6700514</t>
  </si>
  <si>
    <t>Settled Insurance - Property</t>
  </si>
  <si>
    <t>A_S6700515</t>
  </si>
  <si>
    <t>Settled Insurance - Punitive Damages</t>
  </si>
  <si>
    <t>A_S6700516</t>
  </si>
  <si>
    <t>Settled Insurance - Special Risk</t>
  </si>
  <si>
    <t>A_S6700517</t>
  </si>
  <si>
    <t>Settled Insurance - Surety Bonds</t>
  </si>
  <si>
    <t>A_S6700518</t>
  </si>
  <si>
    <t>Settled Insurance - Travel Accident</t>
  </si>
  <si>
    <t>A_S6700519</t>
  </si>
  <si>
    <t>Settled Insurance - Workers Compensation - Exces</t>
  </si>
  <si>
    <t>A_S6700521</t>
  </si>
  <si>
    <t>Settled Insurance - Solar</t>
  </si>
  <si>
    <t>A_S6700599</t>
  </si>
  <si>
    <t>Settled Insurance - Other</t>
  </si>
  <si>
    <t>A_S6710020</t>
  </si>
  <si>
    <t>Settled Short-term Rent - Non-Office Equipment</t>
  </si>
  <si>
    <t>A_S6710040</t>
  </si>
  <si>
    <t>Settled Short-term Rent - Office Space</t>
  </si>
  <si>
    <t>A_S6710060</t>
  </si>
  <si>
    <t>Settled Short-term Rent - Vehicle</t>
  </si>
  <si>
    <t>A_S6710800</t>
  </si>
  <si>
    <t>Settled Short-term Rent - Other</t>
  </si>
  <si>
    <t>A_S6720000</t>
  </si>
  <si>
    <t>Settled Lease Expense</t>
  </si>
  <si>
    <t>A_S6720010</t>
  </si>
  <si>
    <t>Settled Long-term Lease - Building</t>
  </si>
  <si>
    <t>A_S6720060</t>
  </si>
  <si>
    <t>Settled Long-term Lease - Variable Lease</t>
  </si>
  <si>
    <t>A_S6720800</t>
  </si>
  <si>
    <t>Settled Long-term Lease - Other</t>
  </si>
  <si>
    <t>A_S6730000</t>
  </si>
  <si>
    <t>Settled Utilities Expense</t>
  </si>
  <si>
    <t>A_S6730030</t>
  </si>
  <si>
    <t>Settled Utilities - Telecom</t>
  </si>
  <si>
    <t>A_S6730050</t>
  </si>
  <si>
    <t>Settled Utilities - Waste &amp; Trash Management</t>
  </si>
  <si>
    <t>A_S6730060</t>
  </si>
  <si>
    <t>Settled Utilities - Water</t>
  </si>
  <si>
    <t>A_S6730800</t>
  </si>
  <si>
    <t>Settled Utilities - Other</t>
  </si>
  <si>
    <t>A_S6780030</t>
  </si>
  <si>
    <t>Settled Miscellaneous Billing Exp Chargeable Pro</t>
  </si>
  <si>
    <t>A_S6780800</t>
  </si>
  <si>
    <t>Settled Miscellaneous Billing Exp General</t>
  </si>
  <si>
    <t>A_S6790000</t>
  </si>
  <si>
    <t>Settled Other Operational Expense</t>
  </si>
  <si>
    <t>A_S6790010</t>
  </si>
  <si>
    <t>Settled Bad Debt Expense AR CIS</t>
  </si>
  <si>
    <t>A_S6790030</t>
  </si>
  <si>
    <t>Settled Director's Expenses</t>
  </si>
  <si>
    <t>A_S6790050</t>
  </si>
  <si>
    <t>Settled Deferred Compensation</t>
  </si>
  <si>
    <t>A_S6790055</t>
  </si>
  <si>
    <t>Settled Economic Development</t>
  </si>
  <si>
    <t>A_S6790060</t>
  </si>
  <si>
    <t>Settled Industry Dues</t>
  </si>
  <si>
    <t>A_S6790090</t>
  </si>
  <si>
    <t>Settled Donations - Charitable (501c)</t>
  </si>
  <si>
    <t>A_S6790091</t>
  </si>
  <si>
    <t>Settled Donations - Non deductible</t>
  </si>
  <si>
    <t>A_S6790092</t>
  </si>
  <si>
    <t>Settled Donations - Other</t>
  </si>
  <si>
    <t>A_S6790101</t>
  </si>
  <si>
    <t>Settled Fees - Bank</t>
  </si>
  <si>
    <t>A_S6790102</t>
  </si>
  <si>
    <t>Settled Fees - Report Filing</t>
  </si>
  <si>
    <t>A_S6790103</t>
  </si>
  <si>
    <t>Settled Fees - Registration</t>
  </si>
  <si>
    <t>A_S6790199</t>
  </si>
  <si>
    <t>Settled Fees - Miscellaneous</t>
  </si>
  <si>
    <t>A_S6790200</t>
  </si>
  <si>
    <t>Settled Penalties</t>
  </si>
  <si>
    <t>A_S6790210</t>
  </si>
  <si>
    <t>Settled Permitting</t>
  </si>
  <si>
    <t>A_S6790220</t>
  </si>
  <si>
    <t>Settled Political Contributions</t>
  </si>
  <si>
    <t>A_S6790230</t>
  </si>
  <si>
    <t>Settled Postage Shipping and Courier</t>
  </si>
  <si>
    <t>A_S6790250</t>
  </si>
  <si>
    <t>Settled Energy Conservation Allowances</t>
  </si>
  <si>
    <t>A_S6790310</t>
  </si>
  <si>
    <t>Settled A&amp;G Allocated to Capital</t>
  </si>
  <si>
    <t>A_S6790320</t>
  </si>
  <si>
    <t>Settled Fleet Allocation</t>
  </si>
  <si>
    <t>A_S6790321</t>
  </si>
  <si>
    <t>Settled Stores Allocation</t>
  </si>
  <si>
    <t>A_S6790322</t>
  </si>
  <si>
    <t>Settled Small Tools Allocation</t>
  </si>
  <si>
    <t>A_S6790323</t>
  </si>
  <si>
    <t>Settled Self Help Allocation</t>
  </si>
  <si>
    <t>A_S6790700</t>
  </si>
  <si>
    <t>Settled Intercompany Overhead Allocations</t>
  </si>
  <si>
    <t>A_S6790704</t>
  </si>
  <si>
    <t>Settled Intercompany Support Services</t>
  </si>
  <si>
    <t>A_S6790705</t>
  </si>
  <si>
    <t>Settled Intercompany Print Shop Charges</t>
  </si>
  <si>
    <t>A_S6790800</t>
  </si>
  <si>
    <t>Settled Other Operational Expense - Misc</t>
  </si>
  <si>
    <t>A_S6791000</t>
  </si>
  <si>
    <t>Settled Rate Case Expense</t>
  </si>
  <si>
    <t>A_S6798999</t>
  </si>
  <si>
    <t>Settled Other Operational Expense Reclas</t>
  </si>
  <si>
    <t>A_S6800120</t>
  </si>
  <si>
    <t>Settled Amortization - Financing Lease</t>
  </si>
  <si>
    <t>A_S6810010</t>
  </si>
  <si>
    <t>Settled Depreciation - Utility Plant</t>
  </si>
  <si>
    <t>A_S6810025</t>
  </si>
  <si>
    <t>Settled Depreciation - Non-Utility Property BTL</t>
  </si>
  <si>
    <t>A_S6810050</t>
  </si>
  <si>
    <t>Settled Depreciation - Environmental</t>
  </si>
  <si>
    <t>A_S6810090</t>
  </si>
  <si>
    <t>Settled Depreciation - Storm Protection Clause</t>
  </si>
  <si>
    <t>A_S6810140</t>
  </si>
  <si>
    <t>Settled Depreciation - Conservation</t>
  </si>
  <si>
    <t>A_S6900010</t>
  </si>
  <si>
    <t>Settled TOTI - Franchise Fees</t>
  </si>
  <si>
    <t>A_S6900030</t>
  </si>
  <si>
    <t>Settled TOTI - Gross Receipts</t>
  </si>
  <si>
    <t>A_S6900040</t>
  </si>
  <si>
    <t>Settled TOTI - Payroll Tax</t>
  </si>
  <si>
    <t>A_S6900048</t>
  </si>
  <si>
    <t>Settled TOTI - Payroll Tax - Incentives</t>
  </si>
  <si>
    <t>A_S6900049</t>
  </si>
  <si>
    <t>Settled TOTI - Payroll Tax Reclass</t>
  </si>
  <si>
    <t>A_S6900060</t>
  </si>
  <si>
    <t>Settled TOTI - Property Tax - Above the line</t>
  </si>
  <si>
    <t>A_S6900065</t>
  </si>
  <si>
    <t>Settled TOTI - Property Tax - Below the line</t>
  </si>
  <si>
    <t>A_S6900070</t>
  </si>
  <si>
    <t>Settled TOTI - Regulatory Assessment Fee</t>
  </si>
  <si>
    <t>A_S6900080</t>
  </si>
  <si>
    <t>Settled TOTI - Sales and Use</t>
  </si>
  <si>
    <t>A_S6900100</t>
  </si>
  <si>
    <t>Settled TOTI - State Intangible Gov't Leasehold</t>
  </si>
  <si>
    <t>A_S6900110</t>
  </si>
  <si>
    <t>Settled TOTI - Federal Excise Tax</t>
  </si>
  <si>
    <t>A_S6900120</t>
  </si>
  <si>
    <t>Settled TOTI - County/City Business License Tax</t>
  </si>
  <si>
    <t>A_S7000220</t>
  </si>
  <si>
    <t>Settled Interest Inc - Defd Fuel Clause</t>
  </si>
  <si>
    <t>A_S7000230</t>
  </si>
  <si>
    <t>Settled Interest Inc - Defd Capacity Clause</t>
  </si>
  <si>
    <t>A_S7000290</t>
  </si>
  <si>
    <t>Settled Interest Inc - Defd Storm Protection Cla</t>
  </si>
  <si>
    <t>A_S7000291</t>
  </si>
  <si>
    <t>Settled Interest Inc - Defd CETM</t>
  </si>
  <si>
    <t>A_S7000800</t>
  </si>
  <si>
    <t>Settled Interest Inc - Miscellaneous</t>
  </si>
  <si>
    <t>A_S7100400</t>
  </si>
  <si>
    <t>Settled Gain/(Loss) Sale of Non-Utility</t>
  </si>
  <si>
    <t>A_S7103030</t>
  </si>
  <si>
    <t>Settled Zap Cap for Business Revenue</t>
  </si>
  <si>
    <t>A_S7103035</t>
  </si>
  <si>
    <t>Settled Other Lighting Revenue - Unregulated</t>
  </si>
  <si>
    <t>A_S7103040</t>
  </si>
  <si>
    <t>Settled Residential Zap Cap Revenue</t>
  </si>
  <si>
    <t>A_S7201100</t>
  </si>
  <si>
    <t>Settled Amortization of loss on reaquired debt</t>
  </si>
  <si>
    <t>A_S7500030</t>
  </si>
  <si>
    <t>Settled Interest Exp - Customer Deposits</t>
  </si>
  <si>
    <t>A_S7500060</t>
  </si>
  <si>
    <t>Settled Interest Exp - Financing Lease</t>
  </si>
  <si>
    <t>A_S7500080</t>
  </si>
  <si>
    <t>Settled Interest Exp - Credit Facilities</t>
  </si>
  <si>
    <t>A_S7500090</t>
  </si>
  <si>
    <t>Settled Interest Exp - Other Short Term Borrowing</t>
  </si>
  <si>
    <t>A_S7500110</t>
  </si>
  <si>
    <t>Settled Interest Exp - Long-term Debt</t>
  </si>
  <si>
    <t>A_S7500120</t>
  </si>
  <si>
    <t>Settled Interest Exp - Amortiz Discount</t>
  </si>
  <si>
    <t>A_S7500130</t>
  </si>
  <si>
    <t>Settled Interest Exp - Amortiz of Fees L</t>
  </si>
  <si>
    <t>A_S7500220</t>
  </si>
  <si>
    <t>Settled Interest Exp - Defd Fuel Clause</t>
  </si>
  <si>
    <t>A_S7500240</t>
  </si>
  <si>
    <t>Settled Interest Exp - Defd Conservation Clause</t>
  </si>
  <si>
    <t>A_S7500250</t>
  </si>
  <si>
    <t>Settled Interest Exp - Defd Environmental Clause</t>
  </si>
  <si>
    <t>A_S7500290</t>
  </si>
  <si>
    <t>Settled Interest Exp - Defd Storm Protection Cla</t>
  </si>
  <si>
    <t>A_S7500291</t>
  </si>
  <si>
    <t>Settled Interest Exp - Defd CETM</t>
  </si>
  <si>
    <t>A_S7500800</t>
  </si>
  <si>
    <t>Settled Interest Exp - Miscellaneous</t>
  </si>
  <si>
    <t>2025 TOTAL</t>
  </si>
  <si>
    <t>2024.DEC</t>
  </si>
  <si>
    <t>2025 JAN</t>
  </si>
  <si>
    <t>2025 FEB</t>
  </si>
  <si>
    <t>2025 MAR</t>
  </si>
  <si>
    <t>2025 APR</t>
  </si>
  <si>
    <t>2025 MAY</t>
  </si>
  <si>
    <t>2025 JUN</t>
  </si>
  <si>
    <t>2025 JUL</t>
  </si>
  <si>
    <t>2025 AUG</t>
  </si>
  <si>
    <t>2025 SEP</t>
  </si>
  <si>
    <t>2025 OCT</t>
  </si>
  <si>
    <t>2025 NOV</t>
  </si>
  <si>
    <t>2025 DEC</t>
  </si>
  <si>
    <t>A_1460752</t>
  </si>
  <si>
    <t>Trade Receivable-Interco-EUSHI E390 (Emera US Holdings)</t>
  </si>
  <si>
    <t>A_1760700</t>
  </si>
  <si>
    <t>Current Deriv Asset-Intercompany</t>
  </si>
  <si>
    <t>A_2540105</t>
  </si>
  <si>
    <t>Current Derivative Liability - Regulatory</t>
  </si>
  <si>
    <t>A_4074214</t>
  </si>
  <si>
    <t>REG CR Defd (CETM) Clean Energy Trans - Amortiz.</t>
  </si>
  <si>
    <t>A_A1000104</t>
  </si>
  <si>
    <t>Assessed Admin Services</t>
  </si>
  <si>
    <t>A_A1000109</t>
  </si>
  <si>
    <t>Assessed Shared Services Emergency Mgmt Charges</t>
  </si>
  <si>
    <t>A_S1000114</t>
  </si>
  <si>
    <t>Settled SS Payroll Charge</t>
  </si>
  <si>
    <t>A_S1000300</t>
  </si>
  <si>
    <t>Settled Stores Clearing Charges</t>
  </si>
  <si>
    <t>A_S6010130</t>
  </si>
  <si>
    <t>Settled Labor Exempt - Non-Productive Time</t>
  </si>
  <si>
    <t>A_S6780000</t>
  </si>
  <si>
    <t>Settled Miscellaneous Billing Expense</t>
  </si>
  <si>
    <t>A_S6780040</t>
  </si>
  <si>
    <t>Settled Miscellaneous Billing Exp Damaged Facili</t>
  </si>
  <si>
    <t>A_S6909000</t>
  </si>
  <si>
    <t>Settled Taxes other than income Exp to BS</t>
  </si>
  <si>
    <t xml:space="preserve">explanation </t>
  </si>
  <si>
    <t>For 2024 the team is projecting less fuel expense compared to 2025 which is the main driver for the 3,006.80 variance</t>
  </si>
  <si>
    <t>True up provision schedule decreased from 9,402,835 per month in 2024 to 260,983 per month in 2025</t>
  </si>
  <si>
    <t xml:space="preserve">True up provision schedule </t>
  </si>
  <si>
    <t>2024 represents the final year in which production tax credit benefit is being deferred; 2025 is the first year of the amortization of that deferral (will be amortized over 10 years)</t>
  </si>
  <si>
    <t>SCHEDULE C-4</t>
  </si>
  <si>
    <t>JURISDICTIONAL SEPARATION FACTORS - NET OPERATING INCOME</t>
  </si>
  <si>
    <t>Page 1 of 10</t>
  </si>
  <si>
    <t>Provide jurisdictional factors for net operating income for the test year, and the most recent historical year</t>
  </si>
  <si>
    <t>if the test year is projected.</t>
  </si>
  <si>
    <t>Witness: J. S. Chronister</t>
  </si>
  <si>
    <t>Jurisdictional</t>
  </si>
  <si>
    <t>Total</t>
  </si>
  <si>
    <t>FPSC</t>
  </si>
  <si>
    <t>Separation</t>
  </si>
  <si>
    <t>Title</t>
  </si>
  <si>
    <t>Company</t>
  </si>
  <si>
    <t>Factor</t>
  </si>
  <si>
    <t>440-447</t>
  </si>
  <si>
    <t>Operating Revenues</t>
  </si>
  <si>
    <t>Operations &amp; Maintenance Expense</t>
  </si>
  <si>
    <t>Steam Production Expense</t>
  </si>
  <si>
    <t>Operations</t>
  </si>
  <si>
    <t>500</t>
  </si>
  <si>
    <t xml:space="preserve">Oper, Supv &amp; Eng </t>
  </si>
  <si>
    <t>Steam Expense</t>
  </si>
  <si>
    <t>505</t>
  </si>
  <si>
    <t>Electric Expense</t>
  </si>
  <si>
    <t>506</t>
  </si>
  <si>
    <t>Misc Steam Expense</t>
  </si>
  <si>
    <t>507</t>
  </si>
  <si>
    <t>Allowances</t>
  </si>
  <si>
    <t>Total Steam Operation Expense</t>
  </si>
  <si>
    <t>Maintenance</t>
  </si>
  <si>
    <t>510</t>
  </si>
  <si>
    <t xml:space="preserve">Maintenance, Supv &amp; Eng </t>
  </si>
  <si>
    <t>511</t>
  </si>
  <si>
    <t>Maintenance Of Structures</t>
  </si>
  <si>
    <t>512</t>
  </si>
  <si>
    <t>Maintenance Of Boiler Plant</t>
  </si>
  <si>
    <t>513</t>
  </si>
  <si>
    <t>Maintenance Of Electric Plt</t>
  </si>
  <si>
    <t>514</t>
  </si>
  <si>
    <t>Maintenance Misc Plant</t>
  </si>
  <si>
    <t>Total Steam Maintenance Expense</t>
  </si>
  <si>
    <t>Other Production Expense</t>
  </si>
  <si>
    <t>546</t>
  </si>
  <si>
    <t>548</t>
  </si>
  <si>
    <t>Generation Expense</t>
  </si>
  <si>
    <t>549</t>
  </si>
  <si>
    <t>Misc Other Power Expense</t>
  </si>
  <si>
    <t>550</t>
  </si>
  <si>
    <t>Total Other Operations Expense</t>
  </si>
  <si>
    <t>551</t>
  </si>
  <si>
    <t>552</t>
  </si>
  <si>
    <t>553</t>
  </si>
  <si>
    <t>Maintenance Of General Plant</t>
  </si>
  <si>
    <t>554</t>
  </si>
  <si>
    <t>Maintenance Other Misc</t>
  </si>
  <si>
    <t>556</t>
  </si>
  <si>
    <t>Load Dispatching</t>
  </si>
  <si>
    <t>FERC 431 Adjustment</t>
  </si>
  <si>
    <t>Total Other Maintenance Expense</t>
  </si>
  <si>
    <t>Totals may be affected due to rounding.</t>
  </si>
  <si>
    <t>Page 2 of 10</t>
  </si>
  <si>
    <t>Deferred Revenues And Expenses</t>
  </si>
  <si>
    <t>4073021</t>
  </si>
  <si>
    <t>4073031</t>
  </si>
  <si>
    <t>Amortization Deferred Capacity</t>
  </si>
  <si>
    <t>4073041</t>
  </si>
  <si>
    <t>Amortization Deferred ECRC</t>
  </si>
  <si>
    <t>4073051</t>
  </si>
  <si>
    <t>4073091</t>
  </si>
  <si>
    <t>4074020</t>
  </si>
  <si>
    <t>Credit Deferred Fuel</t>
  </si>
  <si>
    <t>4074030</t>
  </si>
  <si>
    <t>4074040</t>
  </si>
  <si>
    <t>Credit Deferred ECCR</t>
  </si>
  <si>
    <t>4074050</t>
  </si>
  <si>
    <t>Credit Deferred ECRC</t>
  </si>
  <si>
    <t>4074090</t>
  </si>
  <si>
    <t>Total Deferred Revenues And Expenses</t>
  </si>
  <si>
    <t>Total Production O&amp;M Expense</t>
  </si>
  <si>
    <t>Transmission</t>
  </si>
  <si>
    <t xml:space="preserve">Supv &amp; Eng </t>
  </si>
  <si>
    <t>Station Expenses</t>
  </si>
  <si>
    <t>OH Line Expense</t>
  </si>
  <si>
    <t>UG Line Expense</t>
  </si>
  <si>
    <t>Transm Of Elec By Others</t>
  </si>
  <si>
    <t>Misc Transmission Exp</t>
  </si>
  <si>
    <t>Total Transmission Operations Expense</t>
  </si>
  <si>
    <t>Structures</t>
  </si>
  <si>
    <t>Station Equipment</t>
  </si>
  <si>
    <t>Misc Transmission Expense</t>
  </si>
  <si>
    <t>Total Transmission Maintenance Expense</t>
  </si>
  <si>
    <t>Total Transmission O&amp;M Expense</t>
  </si>
  <si>
    <t>Page 3 of 10</t>
  </si>
  <si>
    <t>Distribution</t>
  </si>
  <si>
    <t>580</t>
  </si>
  <si>
    <t>Oper, Supv &amp; Eng Exp</t>
  </si>
  <si>
    <t>582</t>
  </si>
  <si>
    <t>Station Expense</t>
  </si>
  <si>
    <t>583</t>
  </si>
  <si>
    <t>584</t>
  </si>
  <si>
    <t>585</t>
  </si>
  <si>
    <t>St Lighting &amp; Sign Exp</t>
  </si>
  <si>
    <t>586</t>
  </si>
  <si>
    <t>Meter Expense</t>
  </si>
  <si>
    <t>587</t>
  </si>
  <si>
    <t>Cust Installtn Exp</t>
  </si>
  <si>
    <t>588</t>
  </si>
  <si>
    <t>Misc Distr Exp</t>
  </si>
  <si>
    <t>589</t>
  </si>
  <si>
    <t>Total Distrib Oper Exp</t>
  </si>
  <si>
    <t>590</t>
  </si>
  <si>
    <t>Maintenance, Supv &amp; Eng</t>
  </si>
  <si>
    <t>591</t>
  </si>
  <si>
    <t>592</t>
  </si>
  <si>
    <t>Maintenance Of Sta Eqp</t>
  </si>
  <si>
    <t>593</t>
  </si>
  <si>
    <t>Maintenance Of OH Lines</t>
  </si>
  <si>
    <t>594</t>
  </si>
  <si>
    <t>Maintenance Of UG Lines</t>
  </si>
  <si>
    <t>595</t>
  </si>
  <si>
    <t>Maintenance Of Transformers</t>
  </si>
  <si>
    <t>596</t>
  </si>
  <si>
    <t>Maintenance Of St Lighting</t>
  </si>
  <si>
    <t>597</t>
  </si>
  <si>
    <t>Maintenance Of Meters</t>
  </si>
  <si>
    <t>598</t>
  </si>
  <si>
    <t>Misc Maintenance</t>
  </si>
  <si>
    <t>Total Distribution Maintenance Exp</t>
  </si>
  <si>
    <t>Total Distribution Exp</t>
  </si>
  <si>
    <t>Customer Accts Expenses</t>
  </si>
  <si>
    <t>Supervision</t>
  </si>
  <si>
    <t>Meter Reading</t>
  </si>
  <si>
    <t>Cust Records &amp; Coll</t>
  </si>
  <si>
    <t>Misc Cust Accts</t>
  </si>
  <si>
    <t>Total Customer Accts Exp</t>
  </si>
  <si>
    <t>Cust Service &amp; Info Expenses</t>
  </si>
  <si>
    <t>Customer Assistance</t>
  </si>
  <si>
    <t xml:space="preserve">Info &amp; Instructional </t>
  </si>
  <si>
    <t>Misc Cust Svc</t>
  </si>
  <si>
    <t>Total Cust Service &amp; Info</t>
  </si>
  <si>
    <t>Sales Expenses</t>
  </si>
  <si>
    <t>Demonstrating &amp; Selling</t>
  </si>
  <si>
    <t>Misc Sales Exp</t>
  </si>
  <si>
    <t>Total Sales Expense</t>
  </si>
  <si>
    <t>Page 4 of 10</t>
  </si>
  <si>
    <t>Administrative &amp; General Exp</t>
  </si>
  <si>
    <t>A&amp;G Salaries</t>
  </si>
  <si>
    <t>Office Supplies &amp; Exp</t>
  </si>
  <si>
    <t>Admin Exp Transferred - Credit</t>
  </si>
  <si>
    <t>Outside Svc Employed</t>
  </si>
  <si>
    <t>Injuries &amp; Damages</t>
  </si>
  <si>
    <t>Employee Pensions &amp; Benefits</t>
  </si>
  <si>
    <t>Regulatory Commission Exp</t>
  </si>
  <si>
    <t>Dupl Charges - Fringe Alloc</t>
  </si>
  <si>
    <t>Misc General Expenses</t>
  </si>
  <si>
    <t>Total Admin &amp; General Exp</t>
  </si>
  <si>
    <t>Total Operation And Maintenance Expense</t>
  </si>
  <si>
    <t>Depreciation And Amortization Expense</t>
  </si>
  <si>
    <t>Taxes Other Than Income Taxes</t>
  </si>
  <si>
    <t>Payroll Taxes</t>
  </si>
  <si>
    <t>Franchise Fees</t>
  </si>
  <si>
    <t>Property Taxes</t>
  </si>
  <si>
    <t>Misc Taxes</t>
  </si>
  <si>
    <t>Regulatory Assessment Fees</t>
  </si>
  <si>
    <t>Revenue Taxes</t>
  </si>
  <si>
    <t>Income Taxes</t>
  </si>
  <si>
    <t>Federal</t>
  </si>
  <si>
    <t>State</t>
  </si>
  <si>
    <t>Investment Tax Credits, True-ups, and Adjustments</t>
  </si>
  <si>
    <t>(Gain)/Loss On Disposition Of Assets</t>
  </si>
  <si>
    <t>Total Operating Expenses</t>
  </si>
  <si>
    <t>Total Net Operating Income</t>
  </si>
  <si>
    <t xml:space="preserve">Witness: J. S. Chronister/ A. S. Lewis/ </t>
  </si>
  <si>
    <t xml:space="preserve">DOCKET No. </t>
  </si>
  <si>
    <t xml:space="preserve">               L. J. Vogt</t>
  </si>
  <si>
    <t>440-449</t>
  </si>
  <si>
    <t>Revenue from Sales</t>
  </si>
  <si>
    <t>450-456, 407, 419</t>
  </si>
  <si>
    <t>Other Operating Revenues</t>
  </si>
  <si>
    <t>Total Operating Revenues</t>
  </si>
  <si>
    <t>Oper &amp; Maint Expenses</t>
  </si>
  <si>
    <t>Steam Production Expenses</t>
  </si>
  <si>
    <t xml:space="preserve">  Operations</t>
  </si>
  <si>
    <t xml:space="preserve">     Oper, Supv &amp; Eng </t>
  </si>
  <si>
    <t xml:space="preserve">     Fuel</t>
  </si>
  <si>
    <t xml:space="preserve">     Steam Expense</t>
  </si>
  <si>
    <t xml:space="preserve">     Steam From Oth Sources</t>
  </si>
  <si>
    <t xml:space="preserve">-   </t>
  </si>
  <si>
    <t xml:space="preserve"> -   </t>
  </si>
  <si>
    <t xml:space="preserve">     Electric Expense</t>
  </si>
  <si>
    <t xml:space="preserve">     Misc Steam Expense</t>
  </si>
  <si>
    <t xml:space="preserve">     Rents</t>
  </si>
  <si>
    <t xml:space="preserve">     Allowances</t>
  </si>
  <si>
    <t xml:space="preserve">         Total Steam Oper Exp</t>
  </si>
  <si>
    <t xml:space="preserve">  Maintenance</t>
  </si>
  <si>
    <t xml:space="preserve">     Mtce, Supv &amp; Eng </t>
  </si>
  <si>
    <t xml:space="preserve">     Mtce Of Structures</t>
  </si>
  <si>
    <t xml:space="preserve">     Mtce Of Boiler Plant</t>
  </si>
  <si>
    <t xml:space="preserve">     Mtce Of Electric Plt</t>
  </si>
  <si>
    <t xml:space="preserve">     Mtce Misc Plant</t>
  </si>
  <si>
    <t xml:space="preserve">         Total Steam Mtce Exp</t>
  </si>
  <si>
    <t>Other Production Exp</t>
  </si>
  <si>
    <t xml:space="preserve">     Generation Expense</t>
  </si>
  <si>
    <t xml:space="preserve">     Misc Other Power Exp</t>
  </si>
  <si>
    <t xml:space="preserve">         Total Other Oper Exp</t>
  </si>
  <si>
    <t xml:space="preserve">     Mtce Of General Plant</t>
  </si>
  <si>
    <t xml:space="preserve">     Mtce Other Misc</t>
  </si>
  <si>
    <t xml:space="preserve">     Purchased Power</t>
  </si>
  <si>
    <t xml:space="preserve">     Load Dispatching</t>
  </si>
  <si>
    <t xml:space="preserve">     Other Supply exp</t>
  </si>
  <si>
    <t xml:space="preserve">         Total Other Mtce Exp</t>
  </si>
  <si>
    <t xml:space="preserve">         Total Production O&amp;M</t>
  </si>
  <si>
    <t>Supporting Schedules: C-19, C-20, C-21, C-22</t>
  </si>
  <si>
    <t>Recap Schedules: C-1</t>
  </si>
  <si>
    <t>Transmission Expenses</t>
  </si>
  <si>
    <t xml:space="preserve">     Supv &amp; Eng </t>
  </si>
  <si>
    <t xml:space="preserve">     Station Expenses</t>
  </si>
  <si>
    <t xml:space="preserve">     OH Line Expense</t>
  </si>
  <si>
    <t xml:space="preserve">     UG Line Expense</t>
  </si>
  <si>
    <t xml:space="preserve">     Transm Of Elec By Others</t>
  </si>
  <si>
    <t xml:space="preserve">     Misc Transmission Exp</t>
  </si>
  <si>
    <t xml:space="preserve">       Total Transm Oper Exp</t>
  </si>
  <si>
    <t xml:space="preserve">     Structures</t>
  </si>
  <si>
    <t xml:space="preserve">     Station Equipment</t>
  </si>
  <si>
    <t xml:space="preserve">       Total Transmission Exp</t>
  </si>
  <si>
    <t xml:space="preserve">    Total Transmission Oper Exp</t>
  </si>
  <si>
    <t>Distribution Expenses</t>
  </si>
  <si>
    <t xml:space="preserve">     Oper, Supv &amp; Eng Exp</t>
  </si>
  <si>
    <t xml:space="preserve">     Station Expense</t>
  </si>
  <si>
    <t xml:space="preserve">     St Lighting &amp; Sign Exp</t>
  </si>
  <si>
    <t xml:space="preserve">     Meter Expense</t>
  </si>
  <si>
    <t xml:space="preserve">     Cust Installtn Exp</t>
  </si>
  <si>
    <t xml:space="preserve">     Misc Distr Exp</t>
  </si>
  <si>
    <t xml:space="preserve">       Total Distrib Oper Exp</t>
  </si>
  <si>
    <t xml:space="preserve">     Mtce, Supv &amp; Eng</t>
  </si>
  <si>
    <t xml:space="preserve">     Mtce Of Sta Eqp</t>
  </si>
  <si>
    <t xml:space="preserve">     Mtce Of OH Lines</t>
  </si>
  <si>
    <t xml:space="preserve">     Mtce Of UG Lines</t>
  </si>
  <si>
    <t xml:space="preserve">     Mtce Of Transformers</t>
  </si>
  <si>
    <t xml:space="preserve">     Mtce Of St Lighting</t>
  </si>
  <si>
    <t xml:space="preserve">     Mtce Of Meters</t>
  </si>
  <si>
    <t xml:space="preserve">     Misc Mtce</t>
  </si>
  <si>
    <t xml:space="preserve">       Total Distrib Mtce Exp</t>
  </si>
  <si>
    <t xml:space="preserve">       Total Distribution Exp</t>
  </si>
  <si>
    <t xml:space="preserve">     Supervision</t>
  </si>
  <si>
    <t xml:space="preserve">     Meter Reading</t>
  </si>
  <si>
    <t xml:space="preserve">     Cust Records &amp; Coll</t>
  </si>
  <si>
    <t xml:space="preserve">     Uncollectible Accts</t>
  </si>
  <si>
    <t xml:space="preserve">     Misc Cust Accts</t>
  </si>
  <si>
    <t xml:space="preserve">       Total Customer Accts Exp</t>
  </si>
  <si>
    <t xml:space="preserve">     Customer Assistance</t>
  </si>
  <si>
    <t xml:space="preserve">     Info &amp; Instructional </t>
  </si>
  <si>
    <t xml:space="preserve">     Misc Cust Svc</t>
  </si>
  <si>
    <t xml:space="preserve">       Total Cust Service &amp; Info</t>
  </si>
  <si>
    <t xml:space="preserve">     Demonstrating &amp; Selling</t>
  </si>
  <si>
    <t xml:space="preserve">     Advertising</t>
  </si>
  <si>
    <t xml:space="preserve">     Misc Sales Exp</t>
  </si>
  <si>
    <t xml:space="preserve">       Total Sales Expense</t>
  </si>
  <si>
    <t>Administrative &amp; General Expenses</t>
  </si>
  <si>
    <t xml:space="preserve">     A&amp;G Salaries</t>
  </si>
  <si>
    <t xml:space="preserve">     Ofc Supplies &amp; Exp</t>
  </si>
  <si>
    <t xml:space="preserve">     Admin Exp Transferred - Credit</t>
  </si>
  <si>
    <t xml:space="preserve">     Outside Svc Employed</t>
  </si>
  <si>
    <t xml:space="preserve">     Property Insurance</t>
  </si>
  <si>
    <t xml:space="preserve">     Injuries &amp; Damages</t>
  </si>
  <si>
    <t xml:space="preserve">     Employee Pensions &amp; Benefits</t>
  </si>
  <si>
    <t xml:space="preserve">     Regulatory Commission Exp</t>
  </si>
  <si>
    <t xml:space="preserve">     Dupl Charges - Fringe Alloc</t>
  </si>
  <si>
    <t xml:space="preserve">     Misc General Expenses</t>
  </si>
  <si>
    <t xml:space="preserve">       Total A&amp;G Oper Exp</t>
  </si>
  <si>
    <t xml:space="preserve">       Total A&amp;G Maint Exp</t>
  </si>
  <si>
    <t xml:space="preserve">       Total Admin &amp; General Exp</t>
  </si>
  <si>
    <t>Deferred Expenses</t>
  </si>
  <si>
    <t xml:space="preserve">     Amortization Deferred Fuel</t>
  </si>
  <si>
    <t xml:space="preserve">     Amortization Deferred Capacity</t>
  </si>
  <si>
    <t xml:space="preserve">     Amortization Deferred ECRC</t>
  </si>
  <si>
    <t xml:space="preserve">     Amortization Deferred SPPCRC</t>
  </si>
  <si>
    <t xml:space="preserve">     Amortization Deferred Tax Reform</t>
  </si>
  <si>
    <t xml:space="preserve">     Credit Deferred Fuel</t>
  </si>
  <si>
    <t xml:space="preserve">     Credit Deferred Capacity</t>
  </si>
  <si>
    <t xml:space="preserve">     Credit Amortization Deferred ECCR</t>
  </si>
  <si>
    <t xml:space="preserve">     Credit Amortization Deferred ECRC</t>
  </si>
  <si>
    <t xml:space="preserve">     Credit Amortization Deferred SPPCRC</t>
  </si>
  <si>
    <t xml:space="preserve">       Total Deferred Revenues And Expenses</t>
  </si>
  <si>
    <t>Total Oper And Maintenance Exp</t>
  </si>
  <si>
    <t>Depreciation And Amortization Exp</t>
  </si>
  <si>
    <t xml:space="preserve">    Depreciation Expense</t>
  </si>
  <si>
    <t xml:space="preserve">    Amortization of Limited-Term Electric Plant</t>
  </si>
  <si>
    <t xml:space="preserve">    Amortization of Plant Acquisition Adj</t>
  </si>
  <si>
    <t xml:space="preserve">    Unrecov Plant DR Defd - CETM</t>
  </si>
  <si>
    <t xml:space="preserve">     Payroll Taxes</t>
  </si>
  <si>
    <t xml:space="preserve">     Franchise Fees</t>
  </si>
  <si>
    <t xml:space="preserve">     Property Taxes</t>
  </si>
  <si>
    <t xml:space="preserve">     Misc Taxes</t>
  </si>
  <si>
    <t xml:space="preserve">     Regulatory Assessment Fees</t>
  </si>
  <si>
    <t xml:space="preserve">     Revenue Taxes</t>
  </si>
  <si>
    <t xml:space="preserve">     Federal</t>
  </si>
  <si>
    <t xml:space="preserve">     State</t>
  </si>
  <si>
    <t xml:space="preserve">     Investment Tax Credits, True-ups, and Adjustments</t>
  </si>
  <si>
    <t xml:space="preserve">C-08 From Previous Rate Case </t>
  </si>
  <si>
    <t>DOCKET No. 20240026-EI</t>
  </si>
  <si>
    <t>Witness: C. Aldazabal / M. Cacciatore /</t>
  </si>
  <si>
    <t xml:space="preserve">               J. Chronister / R. Latta /</t>
  </si>
  <si>
    <t xml:space="preserve">               K. Sparkman / C. Whitworth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</si>
</sst>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_(* #,##0_);_(* \(#,##0\);_(* &quot;-&quot;??_);_(@_)"/>
    <numFmt numFmtId="167" formatCode="_(* #,##0.00000_);_(* \(#,##0.00000\);_(* &quot;-&quot;??_);_(@_)"/>
    <numFmt numFmtId="168" formatCode="_(* #,##0.000000_);_(* \(#,##0.000000\);_(* &quot;-&quot;??_);_(@_)"/>
    <numFmt numFmtId="169" formatCode="_(* #,##0.0000_);_(* \(#,##0.0000\);_(* &quot;-&quot;??_);_(@_)"/>
    <numFmt numFmtId="170" formatCode="0.0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color rgb="FF0000FF"/>
      <name val="Arial"/>
      <family val="2"/>
    </font>
    <font>
      <b/>
      <sz val="8"/>
      <name val="Arial"/>
      <family val="2"/>
    </font>
    <font>
      <i/>
      <vertAlign val="superscript"/>
      <sz val="8"/>
      <name val="Arial"/>
      <family val="2"/>
    </font>
    <font>
      <i/>
      <sz val="8"/>
      <name val="Arial"/>
      <family val="2"/>
    </font>
    <font>
      <sz val="9"/>
      <color theme="1"/>
      <name val="Arial"/>
      <family val="2"/>
    </font>
    <font>
      <b/>
      <sz val="9"/>
      <color rgb="FF0033CC"/>
      <name val="Arial"/>
      <family val="2"/>
    </font>
    <font>
      <b/>
      <sz val="9"/>
      <color theme="1"/>
      <name val="Arial"/>
      <family val="2"/>
    </font>
    <font>
      <b/>
      <sz val="9"/>
      <color theme="3"/>
      <name val="Arial Black"/>
      <family val="2"/>
    </font>
    <font>
      <sz val="9"/>
      <color theme="0"/>
      <name val="Arial"/>
      <family val="2"/>
    </font>
    <font>
      <b/>
      <sz val="9"/>
      <color rgb="FF0000FF"/>
      <name val="Arial"/>
      <family val="2"/>
    </font>
    <font>
      <sz val="14"/>
      <color theme="1"/>
      <name val="Arial Black"/>
      <family val="2"/>
    </font>
    <font>
      <b/>
      <sz val="14"/>
      <color theme="1"/>
      <name val="Arial Black"/>
      <family val="2"/>
    </font>
    <font>
      <sz val="14"/>
      <color theme="0"/>
      <name val="Arial Black"/>
      <family val="2"/>
    </font>
    <font>
      <sz val="16"/>
      <color theme="0"/>
      <name val="Arial Black"/>
      <family val="2"/>
    </font>
    <font>
      <sz val="9"/>
      <color theme="0"/>
      <name val="Arial Black"/>
      <family val="2"/>
    </font>
    <font>
      <b/>
      <sz val="8"/>
      <color theme="1"/>
      <name val="Arial Black"/>
      <family val="2"/>
    </font>
    <font>
      <sz val="9"/>
      <color theme="1"/>
      <name val="Arial Black"/>
      <family val="2"/>
    </font>
    <font>
      <sz val="11"/>
      <color theme="1"/>
      <name val="Arial Black"/>
      <family val="2"/>
    </font>
    <font>
      <sz val="9"/>
      <color theme="1"/>
      <name val="Calibri"/>
      <family val="2"/>
      <scheme val="minor"/>
    </font>
    <font>
      <sz val="10"/>
      <color theme="1"/>
      <name val="Arial Black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8"/>
      <name val="Calibri"/>
      <family val="2"/>
      <scheme val="minor"/>
    </font>
    <font>
      <sz val="8"/>
      <name val="Courier New"/>
      <family val="3"/>
    </font>
    <font>
      <sz val="8"/>
      <color rgb="FFFF0000"/>
      <name val="Arial"/>
      <family val="2"/>
    </font>
    <font>
      <sz val="11"/>
      <color theme="1"/>
      <name val="Aptos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99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3" fillId="0" borderId="0">
      <alignment vertical="top"/>
    </xf>
  </cellStyleXfs>
  <cellXfs count="259">
    <xf numFmtId="0" fontId="0" fillId="0" borderId="0" xfId="0"/>
    <xf numFmtId="0" fontId="3" fillId="0" borderId="1" xfId="4" quotePrefix="1" applyFont="1" applyBorder="1" applyAlignment="1">
      <alignment horizontal="left"/>
    </xf>
    <xf numFmtId="0" fontId="3" fillId="0" borderId="1" xfId="4" applyFont="1" applyBorder="1"/>
    <xf numFmtId="0" fontId="3" fillId="0" borderId="0" xfId="4" applyFont="1"/>
    <xf numFmtId="0" fontId="3" fillId="0" borderId="0" xfId="4" applyFont="1" applyAlignment="1">
      <alignment horizontal="right"/>
    </xf>
    <xf numFmtId="0" fontId="3" fillId="0" borderId="2" xfId="4" applyFont="1" applyBorder="1" applyAlignment="1">
      <alignment horizontal="left"/>
    </xf>
    <xf numFmtId="0" fontId="3" fillId="0" borderId="0" xfId="4" applyFont="1" applyAlignment="1">
      <alignment horizontal="left"/>
    </xf>
    <xf numFmtId="0" fontId="4" fillId="0" borderId="0" xfId="4" quotePrefix="1" applyFont="1" applyAlignment="1">
      <alignment horizontal="left"/>
    </xf>
    <xf numFmtId="0" fontId="4" fillId="0" borderId="0" xfId="4" applyFont="1"/>
    <xf numFmtId="0" fontId="4" fillId="0" borderId="0" xfId="4" applyFont="1" applyAlignment="1">
      <alignment horizontal="right"/>
    </xf>
    <xf numFmtId="0" fontId="3" fillId="0" borderId="0" xfId="5" applyFont="1"/>
    <xf numFmtId="0" fontId="3" fillId="0" borderId="1" xfId="4" applyFont="1" applyBorder="1" applyAlignment="1">
      <alignment horizontal="center"/>
    </xf>
    <xf numFmtId="0" fontId="3" fillId="0" borderId="1" xfId="5" applyFont="1" applyBorder="1"/>
    <xf numFmtId="0" fontId="3" fillId="0" borderId="0" xfId="4" applyFont="1" applyAlignment="1">
      <alignment horizontal="center"/>
    </xf>
    <xf numFmtId="0" fontId="3" fillId="0" borderId="0" xfId="4" quotePrefix="1" applyFont="1" applyAlignment="1">
      <alignment horizontal="center"/>
    </xf>
    <xf numFmtId="0" fontId="3" fillId="0" borderId="0" xfId="4" quotePrefix="1" applyFont="1"/>
    <xf numFmtId="0" fontId="3" fillId="0" borderId="3" xfId="4" applyFont="1" applyBorder="1" applyAlignment="1">
      <alignment horizontal="center"/>
    </xf>
    <xf numFmtId="0" fontId="3" fillId="0" borderId="3" xfId="4" quotePrefix="1" applyFont="1" applyBorder="1" applyAlignment="1">
      <alignment horizontal="center"/>
    </xf>
    <xf numFmtId="14" fontId="3" fillId="0" borderId="1" xfId="4" applyNumberFormat="1" applyFont="1" applyBorder="1" applyAlignment="1">
      <alignment horizontal="center"/>
    </xf>
    <xf numFmtId="0" fontId="3" fillId="0" borderId="1" xfId="4" quotePrefix="1" applyFont="1" applyBorder="1" applyAlignment="1">
      <alignment horizontal="center"/>
    </xf>
    <xf numFmtId="14" fontId="3" fillId="0" borderId="1" xfId="4" quotePrefix="1" applyNumberFormat="1" applyFont="1" applyBorder="1" applyAlignment="1">
      <alignment horizontal="center"/>
    </xf>
    <xf numFmtId="164" fontId="3" fillId="0" borderId="1" xfId="2" applyNumberFormat="1" applyFont="1" applyFill="1" applyBorder="1" applyAlignment="1">
      <alignment horizontal="center"/>
    </xf>
    <xf numFmtId="165" fontId="3" fillId="0" borderId="0" xfId="2" applyNumberFormat="1" applyFont="1" applyFill="1"/>
    <xf numFmtId="165" fontId="3" fillId="0" borderId="0" xfId="2" applyNumberFormat="1" applyFont="1" applyFill="1" applyBorder="1" applyAlignment="1">
      <alignment horizontal="right"/>
    </xf>
    <xf numFmtId="0" fontId="3" fillId="0" borderId="0" xfId="2" applyNumberFormat="1" applyFont="1" applyFill="1" applyAlignment="1">
      <alignment horizontal="center"/>
    </xf>
    <xf numFmtId="0" fontId="3" fillId="0" borderId="0" xfId="2" applyNumberFormat="1" applyFont="1" applyFill="1" applyAlignment="1"/>
    <xf numFmtId="166" fontId="3" fillId="0" borderId="0" xfId="1" applyNumberFormat="1" applyFont="1" applyFill="1" applyBorder="1"/>
    <xf numFmtId="165" fontId="4" fillId="0" borderId="0" xfId="2" applyNumberFormat="1" applyFont="1" applyFill="1" applyBorder="1"/>
    <xf numFmtId="165" fontId="3" fillId="0" borderId="0" xfId="2" applyNumberFormat="1" applyFont="1" applyFill="1" applyBorder="1"/>
    <xf numFmtId="43" fontId="3" fillId="0" borderId="0" xfId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center"/>
    </xf>
    <xf numFmtId="166" fontId="3" fillId="0" borderId="0" xfId="1" applyNumberFormat="1" applyFont="1" applyFill="1" applyBorder="1" applyAlignment="1"/>
    <xf numFmtId="165" fontId="4" fillId="0" borderId="0" xfId="2" applyNumberFormat="1" applyFont="1" applyFill="1"/>
    <xf numFmtId="43" fontId="3" fillId="0" borderId="0" xfId="1" applyFont="1" applyFill="1"/>
    <xf numFmtId="0" fontId="3" fillId="0" borderId="0" xfId="2" applyNumberFormat="1" applyFont="1" applyFill="1" applyBorder="1" applyAlignment="1">
      <alignment horizontal="center"/>
    </xf>
    <xf numFmtId="0" fontId="3" fillId="0" borderId="0" xfId="5" applyFont="1" applyAlignment="1">
      <alignment horizontal="center"/>
    </xf>
    <xf numFmtId="0" fontId="3" fillId="0" borderId="0" xfId="1" applyNumberFormat="1" applyFont="1" applyFill="1" applyBorder="1"/>
    <xf numFmtId="0" fontId="3" fillId="0" borderId="0" xfId="6" applyNumberFormat="1" applyFont="1" applyFill="1" applyAlignment="1">
      <alignment horizontal="center"/>
    </xf>
    <xf numFmtId="165" fontId="3" fillId="0" borderId="0" xfId="2" applyNumberFormat="1" applyFont="1" applyFill="1" applyAlignment="1">
      <alignment horizontal="right"/>
    </xf>
    <xf numFmtId="0" fontId="3" fillId="0" borderId="0" xfId="2" quotePrefix="1" applyNumberFormat="1" applyFont="1" applyFill="1" applyBorder="1" applyAlignment="1">
      <alignment horizontal="center"/>
    </xf>
    <xf numFmtId="0" fontId="3" fillId="0" borderId="0" xfId="2" quotePrefix="1" applyNumberFormat="1" applyFont="1" applyFill="1" applyBorder="1" applyAlignment="1"/>
    <xf numFmtId="165" fontId="4" fillId="0" borderId="0" xfId="2" quotePrefix="1" applyNumberFormat="1" applyFont="1" applyFill="1" applyBorder="1" applyAlignment="1"/>
    <xf numFmtId="0" fontId="3" fillId="0" borderId="1" xfId="4" quotePrefix="1" applyFont="1" applyBorder="1"/>
    <xf numFmtId="0" fontId="3" fillId="0" borderId="1" xfId="2" quotePrefix="1" applyNumberFormat="1" applyFont="1" applyFill="1" applyBorder="1" applyAlignment="1">
      <alignment horizontal="left"/>
    </xf>
    <xf numFmtId="166" fontId="3" fillId="0" borderId="1" xfId="1" applyNumberFormat="1" applyFont="1" applyFill="1" applyBorder="1"/>
    <xf numFmtId="166" fontId="3" fillId="0" borderId="1" xfId="1" applyNumberFormat="1" applyFont="1" applyFill="1" applyBorder="1" applyAlignment="1">
      <alignment horizontal="right"/>
    </xf>
    <xf numFmtId="166" fontId="3" fillId="0" borderId="0" xfId="1" applyNumberFormat="1" applyFont="1" applyFill="1"/>
    <xf numFmtId="166" fontId="3" fillId="0" borderId="0" xfId="1" applyNumberFormat="1" applyFont="1" applyFill="1" applyBorder="1" applyAlignment="1">
      <alignment horizontal="right"/>
    </xf>
    <xf numFmtId="14" fontId="3" fillId="0" borderId="0" xfId="4" applyNumberFormat="1" applyFont="1" applyAlignment="1">
      <alignment horizontal="center"/>
    </xf>
    <xf numFmtId="14" fontId="3" fillId="0" borderId="0" xfId="4" quotePrefix="1" applyNumberFormat="1" applyFont="1" applyAlignment="1">
      <alignment horizontal="center"/>
    </xf>
    <xf numFmtId="164" fontId="3" fillId="0" borderId="0" xfId="2" applyNumberFormat="1" applyFont="1" applyFill="1" applyBorder="1" applyAlignment="1">
      <alignment horizontal="center"/>
    </xf>
    <xf numFmtId="0" fontId="3" fillId="0" borderId="0" xfId="4" quotePrefix="1" applyFont="1" applyAlignment="1">
      <alignment horizontal="left"/>
    </xf>
    <xf numFmtId="166" fontId="3" fillId="0" borderId="0" xfId="7" applyNumberFormat="1" applyFont="1" applyFill="1" applyBorder="1" applyAlignment="1"/>
    <xf numFmtId="0" fontId="3" fillId="0" borderId="0" xfId="7" applyNumberFormat="1" applyFont="1" applyFill="1" applyBorder="1" applyAlignment="1">
      <alignment horizontal="left"/>
    </xf>
    <xf numFmtId="0" fontId="3" fillId="0" borderId="0" xfId="1" applyNumberFormat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left"/>
    </xf>
    <xf numFmtId="0" fontId="3" fillId="0" borderId="0" xfId="6" applyNumberFormat="1" applyFont="1" applyFill="1" applyBorder="1" applyAlignment="1">
      <alignment horizontal="left"/>
    </xf>
    <xf numFmtId="165" fontId="3" fillId="0" borderId="0" xfId="6" applyNumberFormat="1" applyFont="1" applyFill="1" applyBorder="1" applyAlignment="1"/>
    <xf numFmtId="165" fontId="3" fillId="0" borderId="0" xfId="2" applyNumberFormat="1" applyFont="1" applyFill="1" applyBorder="1" applyAlignment="1"/>
    <xf numFmtId="0" fontId="3" fillId="0" borderId="0" xfId="6" applyNumberFormat="1" applyFont="1" applyFill="1" applyBorder="1" applyAlignment="1">
      <alignment horizontal="center"/>
    </xf>
    <xf numFmtId="0" fontId="3" fillId="0" borderId="0" xfId="2" applyNumberFormat="1" applyFont="1" applyFill="1" applyBorder="1" applyAlignment="1">
      <alignment horizontal="right"/>
    </xf>
    <xf numFmtId="0" fontId="3" fillId="0" borderId="0" xfId="6" quotePrefix="1" applyNumberFormat="1" applyFont="1" applyFill="1" applyBorder="1" applyAlignment="1">
      <alignment horizontal="center"/>
    </xf>
    <xf numFmtId="0" fontId="3" fillId="0" borderId="0" xfId="6" quotePrefix="1" applyNumberFormat="1" applyFont="1" applyFill="1" applyBorder="1" applyAlignment="1">
      <alignment horizontal="left"/>
    </xf>
    <xf numFmtId="166" fontId="3" fillId="0" borderId="0" xfId="1" applyNumberFormat="1" applyFont="1" applyFill="1" applyBorder="1" applyAlignment="1">
      <alignment horizontal="left"/>
    </xf>
    <xf numFmtId="0" fontId="3" fillId="0" borderId="0" xfId="6" applyNumberFormat="1" applyFont="1" applyFill="1" applyBorder="1" applyAlignment="1"/>
    <xf numFmtId="0" fontId="3" fillId="0" borderId="0" xfId="7" quotePrefix="1" applyNumberFormat="1" applyFont="1" applyFill="1" applyBorder="1" applyAlignment="1">
      <alignment horizontal="fill"/>
    </xf>
    <xf numFmtId="0" fontId="3" fillId="0" borderId="0" xfId="2" quotePrefix="1" applyNumberFormat="1" applyFont="1" applyFill="1" applyBorder="1" applyAlignment="1">
      <alignment horizontal="left"/>
    </xf>
    <xf numFmtId="0" fontId="3" fillId="0" borderId="0" xfId="1" quotePrefix="1" applyNumberFormat="1" applyFont="1" applyFill="1" applyBorder="1" applyAlignment="1">
      <alignment horizontal="fill"/>
    </xf>
    <xf numFmtId="0" fontId="3" fillId="0" borderId="0" xfId="1" quotePrefix="1" applyNumberFormat="1" applyFont="1" applyFill="1" applyBorder="1" applyAlignment="1">
      <alignment horizontal="right"/>
    </xf>
    <xf numFmtId="0" fontId="3" fillId="0" borderId="1" xfId="2" applyNumberFormat="1" applyFont="1" applyFill="1" applyBorder="1" applyAlignment="1">
      <alignment horizontal="center"/>
    </xf>
    <xf numFmtId="0" fontId="2" fillId="0" borderId="0" xfId="4"/>
    <xf numFmtId="41" fontId="19" fillId="4" borderId="13" xfId="9" quotePrefix="1" applyNumberFormat="1" applyFont="1" applyFill="1" applyBorder="1" applyAlignment="1" applyProtection="1">
      <alignment horizontal="center" vertical="center"/>
    </xf>
    <xf numFmtId="41" fontId="18" fillId="5" borderId="13" xfId="9" quotePrefix="1" applyNumberFormat="1" applyFont="1" applyFill="1" applyBorder="1" applyAlignment="1" applyProtection="1">
      <alignment horizontal="center" vertical="center"/>
    </xf>
    <xf numFmtId="41" fontId="20" fillId="4" borderId="13" xfId="9" quotePrefix="1" applyNumberFormat="1" applyFont="1" applyFill="1" applyBorder="1" applyAlignment="1" applyProtection="1">
      <alignment horizontal="center" vertical="center"/>
    </xf>
    <xf numFmtId="41" fontId="19" fillId="4" borderId="14" xfId="9" quotePrefix="1" applyNumberFormat="1" applyFont="1" applyFill="1" applyBorder="1" applyAlignment="1" applyProtection="1">
      <alignment horizontal="center" vertical="center"/>
    </xf>
    <xf numFmtId="41" fontId="21" fillId="4" borderId="14" xfId="9" quotePrefix="1" applyNumberFormat="1" applyFont="1" applyFill="1" applyBorder="1" applyAlignment="1" applyProtection="1">
      <alignment horizontal="center" vertical="center"/>
    </xf>
    <xf numFmtId="41" fontId="18" fillId="5" borderId="14" xfId="9" quotePrefix="1" applyNumberFormat="1" applyFont="1" applyFill="1" applyBorder="1" applyAlignment="1" applyProtection="1">
      <alignment horizontal="center" vertical="center"/>
    </xf>
    <xf numFmtId="41" fontId="20" fillId="4" borderId="14" xfId="9" quotePrefix="1" applyNumberFormat="1" applyFont="1" applyFill="1" applyBorder="1" applyAlignment="1" applyProtection="1">
      <alignment horizontal="center" vertical="center"/>
    </xf>
    <xf numFmtId="43" fontId="22" fillId="0" borderId="15" xfId="9" quotePrefix="1" applyFont="1" applyFill="1" applyBorder="1" applyAlignment="1" applyProtection="1">
      <alignment horizontal="left" vertical="center"/>
      <protection locked="0"/>
    </xf>
    <xf numFmtId="44" fontId="0" fillId="0" borderId="0" xfId="11" applyFont="1" applyFill="1" applyBorder="1"/>
    <xf numFmtId="41" fontId="23" fillId="2" borderId="13" xfId="9" quotePrefix="1" applyNumberFormat="1" applyFont="1" applyFill="1" applyBorder="1" applyAlignment="1" applyProtection="1">
      <alignment horizontal="center" vertical="center"/>
      <protection locked="0"/>
    </xf>
    <xf numFmtId="41" fontId="23" fillId="2" borderId="16" xfId="9" quotePrefix="1" applyNumberFormat="1" applyFont="1" applyFill="1" applyBorder="1" applyAlignment="1" applyProtection="1">
      <alignment horizontal="center" vertical="center"/>
      <protection locked="0"/>
    </xf>
    <xf numFmtId="41" fontId="23" fillId="4" borderId="13" xfId="9" quotePrefix="1" applyNumberFormat="1" applyFont="1" applyFill="1" applyBorder="1" applyAlignment="1" applyProtection="1">
      <alignment horizontal="center" vertical="center"/>
      <protection locked="0"/>
    </xf>
    <xf numFmtId="41" fontId="24" fillId="8" borderId="23" xfId="9" quotePrefix="1" applyNumberFormat="1" applyFont="1" applyFill="1" applyBorder="1" applyAlignment="1" applyProtection="1">
      <alignment horizontal="center" vertical="center"/>
      <protection locked="0"/>
    </xf>
    <xf numFmtId="41" fontId="25" fillId="4" borderId="23" xfId="9" quotePrefix="1" applyNumberFormat="1" applyFont="1" applyFill="1" applyBorder="1" applyAlignment="1" applyProtection="1">
      <alignment horizontal="center" vertical="center"/>
      <protection locked="0"/>
    </xf>
    <xf numFmtId="41" fontId="23" fillId="2" borderId="14" xfId="9" quotePrefix="1" applyNumberFormat="1" applyFont="1" applyFill="1" applyBorder="1" applyAlignment="1" applyProtection="1">
      <alignment horizontal="center" vertical="center"/>
      <protection locked="0"/>
    </xf>
    <xf numFmtId="41" fontId="23" fillId="2" borderId="21" xfId="9" quotePrefix="1" applyNumberFormat="1" applyFont="1" applyFill="1" applyBorder="1" applyAlignment="1" applyProtection="1">
      <alignment horizontal="center" vertical="center"/>
      <protection locked="0"/>
    </xf>
    <xf numFmtId="41" fontId="23" fillId="4" borderId="14" xfId="9" quotePrefix="1" applyNumberFormat="1" applyFont="1" applyFill="1" applyBorder="1" applyAlignment="1" applyProtection="1">
      <alignment horizontal="center" vertical="center"/>
      <protection locked="0"/>
    </xf>
    <xf numFmtId="43" fontId="22" fillId="0" borderId="15" xfId="9" quotePrefix="1" applyFont="1" applyBorder="1" applyAlignment="1" applyProtection="1">
      <alignment horizontal="left" vertical="center"/>
      <protection locked="0"/>
    </xf>
    <xf numFmtId="0" fontId="3" fillId="0" borderId="1" xfId="12" applyFont="1" applyBorder="1"/>
    <xf numFmtId="0" fontId="26" fillId="0" borderId="0" xfId="12"/>
    <xf numFmtId="0" fontId="3" fillId="0" borderId="0" xfId="12" applyFont="1"/>
    <xf numFmtId="0" fontId="3" fillId="0" borderId="2" xfId="12" applyFont="1" applyBorder="1" applyAlignment="1">
      <alignment horizontal="left"/>
    </xf>
    <xf numFmtId="0" fontId="3" fillId="0" borderId="0" xfId="12" applyFont="1" applyAlignment="1">
      <alignment horizontal="left"/>
    </xf>
    <xf numFmtId="0" fontId="3" fillId="0" borderId="0" xfId="12" applyFont="1" applyAlignment="1">
      <alignment horizontal="right"/>
    </xf>
    <xf numFmtId="0" fontId="3" fillId="0" borderId="1" xfId="12" applyFont="1" applyBorder="1" applyAlignment="1">
      <alignment horizontal="center"/>
    </xf>
    <xf numFmtId="0" fontId="3" fillId="0" borderId="0" xfId="5" quotePrefix="1" applyFont="1" applyAlignment="1">
      <alignment horizontal="center"/>
    </xf>
    <xf numFmtId="0" fontId="27" fillId="0" borderId="0" xfId="12" applyFont="1"/>
    <xf numFmtId="0" fontId="3" fillId="0" borderId="1" xfId="5" applyFont="1" applyBorder="1" applyAlignment="1">
      <alignment horizontal="center"/>
    </xf>
    <xf numFmtId="0" fontId="3" fillId="0" borderId="1" xfId="5" quotePrefix="1" applyFont="1" applyBorder="1" applyAlignment="1">
      <alignment horizontal="center"/>
    </xf>
    <xf numFmtId="0" fontId="28" fillId="0" borderId="0" xfId="12" applyFont="1" applyAlignment="1">
      <alignment horizontal="center"/>
    </xf>
    <xf numFmtId="165" fontId="3" fillId="0" borderId="0" xfId="6" applyNumberFormat="1" applyFont="1" applyFill="1" applyAlignment="1"/>
    <xf numFmtId="167" fontId="3" fillId="0" borderId="0" xfId="13" applyNumberFormat="1" applyFont="1" applyFill="1" applyBorder="1" applyAlignment="1"/>
    <xf numFmtId="165" fontId="4" fillId="0" borderId="0" xfId="6" applyNumberFormat="1" applyFont="1" applyFill="1" applyBorder="1" applyAlignment="1"/>
    <xf numFmtId="168" fontId="4" fillId="0" borderId="0" xfId="13" applyNumberFormat="1" applyFont="1" applyFill="1" applyBorder="1" applyAlignment="1"/>
    <xf numFmtId="166" fontId="3" fillId="0" borderId="0" xfId="13" applyNumberFormat="1" applyFont="1" applyFill="1" applyBorder="1" applyAlignment="1"/>
    <xf numFmtId="166" fontId="0" fillId="0" borderId="0" xfId="14" applyNumberFormat="1" applyFont="1"/>
    <xf numFmtId="166" fontId="0" fillId="0" borderId="0" xfId="14" applyNumberFormat="1" applyFont="1" applyFill="1"/>
    <xf numFmtId="166" fontId="0" fillId="0" borderId="0" xfId="14" applyNumberFormat="1" applyFont="1" applyBorder="1"/>
    <xf numFmtId="166" fontId="3" fillId="0" borderId="0" xfId="13" applyNumberFormat="1" applyFont="1" applyFill="1" applyAlignment="1"/>
    <xf numFmtId="0" fontId="3" fillId="0" borderId="0" xfId="5" applyFont="1" applyAlignment="1">
      <alignment horizontal="left" indent="1"/>
    </xf>
    <xf numFmtId="166" fontId="4" fillId="0" borderId="0" xfId="13" applyNumberFormat="1" applyFont="1" applyFill="1" applyBorder="1" applyAlignment="1"/>
    <xf numFmtId="168" fontId="3" fillId="0" borderId="0" xfId="13" applyNumberFormat="1" applyFont="1" applyFill="1" applyBorder="1" applyAlignment="1"/>
    <xf numFmtId="168" fontId="3" fillId="6" borderId="0" xfId="13" applyNumberFormat="1" applyFont="1" applyFill="1" applyBorder="1" applyAlignment="1"/>
    <xf numFmtId="0" fontId="3" fillId="0" borderId="0" xfId="5" applyFont="1" applyAlignment="1">
      <alignment horizontal="left" indent="2"/>
    </xf>
    <xf numFmtId="166" fontId="4" fillId="0" borderId="24" xfId="13" applyNumberFormat="1" applyFont="1" applyFill="1" applyBorder="1" applyAlignment="1"/>
    <xf numFmtId="166" fontId="26" fillId="0" borderId="0" xfId="12" applyNumberFormat="1"/>
    <xf numFmtId="0" fontId="5" fillId="0" borderId="1" xfId="12" applyFont="1" applyBorder="1" applyAlignment="1">
      <alignment horizontal="left"/>
    </xf>
    <xf numFmtId="166" fontId="3" fillId="0" borderId="1" xfId="15" applyNumberFormat="1" applyFont="1" applyFill="1" applyBorder="1" applyAlignment="1"/>
    <xf numFmtId="0" fontId="3" fillId="0" borderId="0" xfId="12" quotePrefix="1" applyFont="1" applyAlignment="1">
      <alignment horizontal="center"/>
    </xf>
    <xf numFmtId="0" fontId="3" fillId="0" borderId="0" xfId="16" quotePrefix="1" applyFont="1" applyAlignment="1">
      <alignment horizontal="center"/>
    </xf>
    <xf numFmtId="0" fontId="3" fillId="0" borderId="0" xfId="12" applyFont="1" applyAlignment="1">
      <alignment horizontal="center"/>
    </xf>
    <xf numFmtId="0" fontId="3" fillId="0" borderId="0" xfId="16" applyFont="1"/>
    <xf numFmtId="0" fontId="3" fillId="0" borderId="0" xfId="16" applyFont="1" applyAlignment="1">
      <alignment horizontal="center"/>
    </xf>
    <xf numFmtId="0" fontId="3" fillId="0" borderId="1" xfId="12" quotePrefix="1" applyFont="1" applyBorder="1" applyAlignment="1">
      <alignment horizontal="center"/>
    </xf>
    <xf numFmtId="0" fontId="3" fillId="0" borderId="1" xfId="16" quotePrefix="1" applyFont="1" applyBorder="1" applyAlignment="1">
      <alignment horizontal="center"/>
    </xf>
    <xf numFmtId="0" fontId="3" fillId="0" borderId="0" xfId="6" quotePrefix="1" applyNumberFormat="1" applyFont="1" applyFill="1" applyAlignment="1">
      <alignment horizontal="center"/>
    </xf>
    <xf numFmtId="166" fontId="3" fillId="0" borderId="0" xfId="13" applyNumberFormat="1" applyFont="1" applyFill="1" applyBorder="1" applyAlignment="1">
      <alignment horizontal="left" indent="1"/>
    </xf>
    <xf numFmtId="166" fontId="3" fillId="0" borderId="0" xfId="15" applyNumberFormat="1" applyFont="1" applyFill="1" applyBorder="1" applyAlignment="1"/>
    <xf numFmtId="0" fontId="3" fillId="0" borderId="0" xfId="5" applyFont="1" applyAlignment="1">
      <alignment horizontal="left" indent="3"/>
    </xf>
    <xf numFmtId="0" fontId="3" fillId="0" borderId="0" xfId="5" applyFont="1" applyAlignment="1">
      <alignment horizontal="left"/>
    </xf>
    <xf numFmtId="166" fontId="3" fillId="0" borderId="0" xfId="16" applyNumberFormat="1" applyFont="1"/>
    <xf numFmtId="167" fontId="3" fillId="0" borderId="0" xfId="13" applyNumberFormat="1" applyFont="1" applyFill="1" applyAlignment="1"/>
    <xf numFmtId="3" fontId="4" fillId="0" borderId="0" xfId="5" applyNumberFormat="1" applyFont="1"/>
    <xf numFmtId="168" fontId="4" fillId="6" borderId="0" xfId="13" applyNumberFormat="1" applyFont="1" applyFill="1" applyBorder="1" applyAlignment="1"/>
    <xf numFmtId="166" fontId="4" fillId="0" borderId="3" xfId="13" applyNumberFormat="1" applyFont="1" applyFill="1" applyBorder="1" applyAlignment="1"/>
    <xf numFmtId="3" fontId="3" fillId="0" borderId="0" xfId="5" applyNumberFormat="1" applyFont="1"/>
    <xf numFmtId="43" fontId="3" fillId="0" borderId="0" xfId="5" applyNumberFormat="1" applyFont="1"/>
    <xf numFmtId="166" fontId="3" fillId="0" borderId="0" xfId="5" applyNumberFormat="1" applyFont="1"/>
    <xf numFmtId="166" fontId="3" fillId="0" borderId="17" xfId="13" applyNumberFormat="1" applyFont="1" applyFill="1" applyBorder="1" applyAlignment="1"/>
    <xf numFmtId="165" fontId="4" fillId="0" borderId="25" xfId="6" applyNumberFormat="1" applyFont="1" applyFill="1" applyBorder="1" applyAlignment="1"/>
    <xf numFmtId="169" fontId="26" fillId="0" borderId="0" xfId="12" applyNumberFormat="1"/>
    <xf numFmtId="166" fontId="4" fillId="0" borderId="17" xfId="13" applyNumberFormat="1" applyFont="1" applyFill="1" applyBorder="1" applyAlignment="1"/>
    <xf numFmtId="0" fontId="31" fillId="9" borderId="7" xfId="4" applyFont="1" applyFill="1" applyBorder="1"/>
    <xf numFmtId="0" fontId="2" fillId="9" borderId="2" xfId="4" applyFill="1" applyBorder="1"/>
    <xf numFmtId="0" fontId="2" fillId="9" borderId="8" xfId="4" applyFill="1" applyBorder="1"/>
    <xf numFmtId="0" fontId="2" fillId="9" borderId="9" xfId="4" applyFill="1" applyBorder="1"/>
    <xf numFmtId="0" fontId="2" fillId="9" borderId="0" xfId="4" applyFill="1"/>
    <xf numFmtId="0" fontId="2" fillId="9" borderId="10" xfId="4" applyFill="1" applyBorder="1"/>
    <xf numFmtId="0" fontId="2" fillId="9" borderId="11" xfId="4" applyFill="1" applyBorder="1"/>
    <xf numFmtId="0" fontId="2" fillId="9" borderId="1" xfId="4" applyFill="1" applyBorder="1"/>
    <xf numFmtId="0" fontId="2" fillId="9" borderId="12" xfId="4" applyFill="1" applyBorder="1"/>
    <xf numFmtId="0" fontId="5" fillId="6" borderId="0" xfId="4" applyFont="1" applyFill="1"/>
    <xf numFmtId="0" fontId="3" fillId="6" borderId="0" xfId="4" applyFont="1" applyFill="1"/>
    <xf numFmtId="0" fontId="8" fillId="0" borderId="0" xfId="0" applyFont="1"/>
    <xf numFmtId="0" fontId="8" fillId="0" borderId="0" xfId="0" applyFont="1" applyAlignment="1">
      <alignment horizontal="right"/>
    </xf>
    <xf numFmtId="0" fontId="9" fillId="2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1" fillId="0" borderId="0" xfId="0" applyFont="1" applyAlignment="1">
      <alignment horizontal="left" indent="1"/>
    </xf>
    <xf numFmtId="0" fontId="12" fillId="0" borderId="0" xfId="0" applyFont="1"/>
    <xf numFmtId="0" fontId="10" fillId="0" borderId="0" xfId="0" applyFont="1" applyAlignment="1">
      <alignment horizontal="right" vertical="center"/>
    </xf>
    <xf numFmtId="0" fontId="8" fillId="0" borderId="0" xfId="0" applyFont="1" applyAlignment="1">
      <alignment horizontal="left" indent="1"/>
    </xf>
    <xf numFmtId="0" fontId="14" fillId="0" borderId="0" xfId="0" applyFont="1"/>
    <xf numFmtId="0" fontId="15" fillId="0" borderId="0" xfId="0" applyFont="1" applyAlignment="1">
      <alignment horizontal="right" vertical="center"/>
    </xf>
    <xf numFmtId="0" fontId="16" fillId="3" borderId="6" xfId="0" applyFont="1" applyFill="1" applyBorder="1" applyAlignment="1">
      <alignment horizontal="center" vertical="center"/>
    </xf>
    <xf numFmtId="0" fontId="14" fillId="0" borderId="0" xfId="0" applyFont="1" applyAlignment="1">
      <alignment horizontal="left" indent="1"/>
    </xf>
    <xf numFmtId="0" fontId="12" fillId="3" borderId="7" xfId="0" applyFont="1" applyFill="1" applyBorder="1"/>
    <xf numFmtId="0" fontId="12" fillId="3" borderId="2" xfId="0" applyFont="1" applyFill="1" applyBorder="1"/>
    <xf numFmtId="0" fontId="12" fillId="3" borderId="8" xfId="0" applyFont="1" applyFill="1" applyBorder="1"/>
    <xf numFmtId="0" fontId="10" fillId="0" borderId="0" xfId="0" quotePrefix="1" applyFont="1" applyAlignment="1">
      <alignment horizontal="left" vertical="center" indent="2"/>
    </xf>
    <xf numFmtId="0" fontId="17" fillId="3" borderId="9" xfId="0" applyFont="1" applyFill="1" applyBorder="1" applyAlignment="1">
      <alignment horizontal="left" vertical="center" indent="16"/>
    </xf>
    <xf numFmtId="0" fontId="18" fillId="3" borderId="0" xfId="0" applyFont="1" applyFill="1" applyAlignment="1">
      <alignment horizontal="center"/>
    </xf>
    <xf numFmtId="0" fontId="12" fillId="3" borderId="10" xfId="0" applyFont="1" applyFill="1" applyBorder="1"/>
    <xf numFmtId="0" fontId="12" fillId="3" borderId="11" xfId="0" applyFont="1" applyFill="1" applyBorder="1"/>
    <xf numFmtId="0" fontId="12" fillId="3" borderId="1" xfId="0" applyFont="1" applyFill="1" applyBorder="1"/>
    <xf numFmtId="0" fontId="12" fillId="3" borderId="12" xfId="0" applyFont="1" applyFill="1" applyBorder="1"/>
    <xf numFmtId="0" fontId="10" fillId="0" borderId="0" xfId="0" quotePrefix="1" applyFont="1" applyAlignment="1">
      <alignment horizontal="left" vertical="center" indent="1"/>
    </xf>
    <xf numFmtId="0" fontId="22" fillId="0" borderId="15" xfId="0" applyFont="1" applyBorder="1" applyAlignment="1" applyProtection="1">
      <alignment horizontal="left"/>
      <protection locked="0"/>
    </xf>
    <xf numFmtId="43" fontId="0" fillId="0" borderId="0" xfId="1" applyFont="1"/>
    <xf numFmtId="0" fontId="9" fillId="4" borderId="4" xfId="0" applyFont="1" applyFill="1" applyBorder="1" applyAlignment="1">
      <alignment horizontal="center" vertical="center"/>
    </xf>
    <xf numFmtId="0" fontId="9" fillId="4" borderId="4" xfId="0" applyFont="1" applyFill="1" applyBorder="1" applyAlignment="1" applyProtection="1">
      <alignment horizontal="center" vertical="center"/>
      <protection locked="0"/>
    </xf>
    <xf numFmtId="0" fontId="12" fillId="7" borderId="16" xfId="0" applyFont="1" applyFill="1" applyBorder="1"/>
    <xf numFmtId="0" fontId="12" fillId="7" borderId="17" xfId="0" applyFont="1" applyFill="1" applyBorder="1"/>
    <xf numFmtId="0" fontId="12" fillId="7" borderId="18" xfId="0" applyFont="1" applyFill="1" applyBorder="1"/>
    <xf numFmtId="0" fontId="17" fillId="7" borderId="19" xfId="0" applyFont="1" applyFill="1" applyBorder="1" applyAlignment="1">
      <alignment horizontal="centerContinuous" vertical="center"/>
    </xf>
    <xf numFmtId="0" fontId="17" fillId="7" borderId="0" xfId="0" applyFont="1" applyFill="1" applyAlignment="1">
      <alignment horizontal="centerContinuous" vertical="center"/>
    </xf>
    <xf numFmtId="0" fontId="17" fillId="7" borderId="20" xfId="0" applyFont="1" applyFill="1" applyBorder="1" applyAlignment="1">
      <alignment horizontal="centerContinuous" vertical="center"/>
    </xf>
    <xf numFmtId="0" fontId="12" fillId="7" borderId="21" xfId="0" applyFont="1" applyFill="1" applyBorder="1"/>
    <xf numFmtId="0" fontId="12" fillId="7" borderId="3" xfId="0" applyFont="1" applyFill="1" applyBorder="1"/>
    <xf numFmtId="0" fontId="12" fillId="7" borderId="22" xfId="0" applyFont="1" applyFill="1" applyBorder="1"/>
    <xf numFmtId="43" fontId="0" fillId="0" borderId="0" xfId="9" applyFont="1"/>
    <xf numFmtId="43" fontId="0" fillId="0" borderId="0" xfId="0" applyNumberFormat="1"/>
    <xf numFmtId="170" fontId="3" fillId="0" borderId="0" xfId="1" applyNumberFormat="1" applyFont="1" applyFill="1" applyBorder="1"/>
    <xf numFmtId="166" fontId="3" fillId="0" borderId="0" xfId="1" applyNumberFormat="1" applyFont="1"/>
    <xf numFmtId="0" fontId="3" fillId="0" borderId="1" xfId="4" applyFont="1" applyBorder="1" applyAlignment="1">
      <alignment horizontal="right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/>
    </xf>
    <xf numFmtId="44" fontId="0" fillId="0" borderId="0" xfId="11" applyFont="1" applyFill="1" applyBorder="1" applyAlignment="1">
      <alignment horizontal="center"/>
    </xf>
    <xf numFmtId="0" fontId="12" fillId="7" borderId="17" xfId="0" applyFont="1" applyFill="1" applyBorder="1" applyAlignment="1">
      <alignment horizontal="center"/>
    </xf>
    <xf numFmtId="0" fontId="17" fillId="7" borderId="0" xfId="0" applyFont="1" applyFill="1" applyAlignment="1">
      <alignment horizontal="center" vertical="center"/>
    </xf>
    <xf numFmtId="0" fontId="12" fillId="7" borderId="3" xfId="0" applyFont="1" applyFill="1" applyBorder="1" applyAlignment="1">
      <alignment horizontal="center"/>
    </xf>
    <xf numFmtId="0" fontId="22" fillId="0" borderId="15" xfId="0" applyFont="1" applyBorder="1" applyAlignment="1" applyProtection="1">
      <alignment horizontal="center"/>
      <protection locked="0"/>
    </xf>
    <xf numFmtId="0" fontId="8" fillId="0" borderId="0" xfId="0" applyFont="1" applyAlignment="1">
      <alignment horizontal="center"/>
    </xf>
    <xf numFmtId="0" fontId="9" fillId="2" borderId="4" xfId="0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Alignment="1" applyProtection="1">
      <alignment horizontal="center" vertical="center"/>
      <protection locked="0"/>
    </xf>
    <xf numFmtId="43" fontId="25" fillId="4" borderId="23" xfId="1" quotePrefix="1" applyFont="1" applyFill="1" applyBorder="1" applyAlignment="1" applyProtection="1">
      <alignment horizontal="center" vertical="center"/>
      <protection locked="0"/>
    </xf>
    <xf numFmtId="9" fontId="0" fillId="0" borderId="0" xfId="3" applyFont="1"/>
    <xf numFmtId="0" fontId="3" fillId="0" borderId="0" xfId="0" applyFont="1"/>
    <xf numFmtId="0" fontId="3" fillId="0" borderId="1" xfId="0" applyFont="1" applyBorder="1"/>
    <xf numFmtId="0" fontId="3" fillId="0" borderId="2" xfId="0" applyFont="1" applyBorder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4" xfId="0" applyFont="1" applyBorder="1"/>
    <xf numFmtId="0" fontId="3" fillId="0" borderId="3" xfId="0" applyFont="1" applyBorder="1"/>
    <xf numFmtId="0" fontId="3" fillId="0" borderId="17" xfId="0" applyFont="1" applyBorder="1"/>
    <xf numFmtId="0" fontId="3" fillId="0" borderId="25" xfId="0" applyFont="1" applyBorder="1"/>
    <xf numFmtId="1" fontId="3" fillId="0" borderId="1" xfId="0" applyNumberFormat="1" applyFont="1" applyBorder="1"/>
    <xf numFmtId="1" fontId="3" fillId="0" borderId="1" xfId="0" applyNumberFormat="1" applyFont="1" applyBorder="1" applyAlignment="1">
      <alignment vertical="top"/>
    </xf>
    <xf numFmtId="1" fontId="3" fillId="0" borderId="0" xfId="0" applyNumberFormat="1" applyFont="1"/>
    <xf numFmtId="1" fontId="3" fillId="0" borderId="0" xfId="0" applyNumberFormat="1" applyFont="1" applyAlignment="1">
      <alignment horizontal="left" indent="2"/>
    </xf>
    <xf numFmtId="1" fontId="3" fillId="0" borderId="2" xfId="0" applyNumberFormat="1" applyFont="1" applyBorder="1" applyAlignment="1">
      <alignment horizontal="left"/>
    </xf>
    <xf numFmtId="1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3" fillId="0" borderId="0" xfId="0" applyNumberFormat="1" applyFont="1" applyAlignment="1">
      <alignment vertical="top"/>
    </xf>
    <xf numFmtId="166" fontId="3" fillId="0" borderId="24" xfId="1" applyNumberFormat="1" applyFont="1" applyBorder="1"/>
    <xf numFmtId="166" fontId="3" fillId="0" borderId="3" xfId="1" applyNumberFormat="1" applyFont="1" applyBorder="1"/>
    <xf numFmtId="166" fontId="3" fillId="0" borderId="1" xfId="1" applyNumberFormat="1" applyFont="1" applyBorder="1"/>
    <xf numFmtId="166" fontId="3" fillId="0" borderId="2" xfId="1" applyNumberFormat="1" applyFont="1" applyBorder="1" applyAlignment="1">
      <alignment horizontal="left"/>
    </xf>
    <xf numFmtId="166" fontId="3" fillId="0" borderId="0" xfId="1" applyNumberFormat="1" applyFont="1" applyAlignment="1">
      <alignment horizontal="right"/>
    </xf>
    <xf numFmtId="166" fontId="3" fillId="0" borderId="0" xfId="1" applyNumberFormat="1" applyFont="1" applyAlignment="1">
      <alignment horizontal="left"/>
    </xf>
    <xf numFmtId="166" fontId="3" fillId="0" borderId="0" xfId="1" applyNumberFormat="1" applyFont="1" applyAlignment="1">
      <alignment horizontal="center"/>
    </xf>
    <xf numFmtId="166" fontId="3" fillId="0" borderId="1" xfId="1" applyNumberFormat="1" applyFont="1" applyBorder="1" applyAlignment="1">
      <alignment horizontal="center"/>
    </xf>
    <xf numFmtId="166" fontId="3" fillId="0" borderId="25" xfId="1" applyNumberFormat="1" applyFont="1" applyBorder="1"/>
    <xf numFmtId="166" fontId="34" fillId="0" borderId="0" xfId="1" applyNumberFormat="1" applyFont="1"/>
    <xf numFmtId="49" fontId="3" fillId="0" borderId="0" xfId="0" applyNumberFormat="1" applyFont="1" applyAlignment="1">
      <alignment horizontal="center"/>
    </xf>
    <xf numFmtId="9" fontId="0" fillId="0" borderId="0" xfId="3" applyFont="1" applyFill="1"/>
    <xf numFmtId="166" fontId="0" fillId="0" borderId="0" xfId="1" applyNumberFormat="1" applyFont="1" applyFill="1"/>
    <xf numFmtId="166" fontId="0" fillId="0" borderId="0" xfId="0" applyNumberFormat="1"/>
    <xf numFmtId="166" fontId="0" fillId="0" borderId="0" xfId="1" applyNumberFormat="1" applyFont="1"/>
    <xf numFmtId="166" fontId="25" fillId="4" borderId="23" xfId="1" quotePrefix="1" applyNumberFormat="1" applyFont="1" applyFill="1" applyBorder="1" applyAlignment="1" applyProtection="1">
      <alignment horizontal="center" vertical="center"/>
      <protection locked="0"/>
    </xf>
    <xf numFmtId="166" fontId="25" fillId="4" borderId="23" xfId="9" quotePrefix="1" applyNumberFormat="1" applyFont="1" applyFill="1" applyBorder="1" applyAlignment="1" applyProtection="1">
      <alignment horizontal="center" vertical="center"/>
      <protection locked="0"/>
    </xf>
    <xf numFmtId="166" fontId="25" fillId="4" borderId="20" xfId="9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/>
    <xf numFmtId="0" fontId="3" fillId="0" borderId="0" xfId="4" quotePrefix="1" applyFont="1" applyAlignment="1">
      <alignment horizontal="center" vertical="center"/>
    </xf>
    <xf numFmtId="0" fontId="3" fillId="0" borderId="0" xfId="4" applyFont="1" applyAlignment="1">
      <alignment horizontal="center" vertical="center"/>
    </xf>
    <xf numFmtId="0" fontId="3" fillId="0" borderId="1" xfId="4" applyFont="1" applyBorder="1" applyAlignment="1">
      <alignment horizontal="center" vertical="center"/>
    </xf>
    <xf numFmtId="0" fontId="3" fillId="0" borderId="0" xfId="2" applyNumberFormat="1" applyFont="1" applyFill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6" applyNumberFormat="1" applyFont="1" applyFill="1" applyAlignment="1">
      <alignment horizontal="center" vertical="center"/>
    </xf>
    <xf numFmtId="0" fontId="3" fillId="0" borderId="0" xfId="2" quotePrefix="1" applyNumberFormat="1" applyFont="1" applyFill="1" applyBorder="1" applyAlignment="1">
      <alignment horizontal="center" vertical="center"/>
    </xf>
    <xf numFmtId="0" fontId="3" fillId="0" borderId="0" xfId="6" applyNumberFormat="1" applyFont="1" applyFill="1" applyBorder="1" applyAlignment="1">
      <alignment horizontal="center" vertical="center"/>
    </xf>
    <xf numFmtId="0" fontId="3" fillId="0" borderId="1" xfId="2" quotePrefix="1" applyNumberFormat="1" applyFont="1" applyFill="1" applyBorder="1" applyAlignment="1">
      <alignment horizontal="center" vertical="center"/>
    </xf>
    <xf numFmtId="0" fontId="5" fillId="0" borderId="0" xfId="4" applyFont="1"/>
    <xf numFmtId="1" fontId="3" fillId="0" borderId="1" xfId="0" applyNumberFormat="1" applyFont="1" applyBorder="1"/>
    <xf numFmtId="1" fontId="3" fillId="0" borderId="2" xfId="0" applyNumberFormat="1" applyFont="1" applyBorder="1"/>
    <xf numFmtId="1" fontId="3" fillId="0" borderId="0" xfId="0" applyNumberFormat="1" applyFont="1"/>
  </cellXfs>
  <cellStyles count="18">
    <cellStyle name="Comma" xfId="1" builtinId="3"/>
    <cellStyle name="Comma 10" xfId="13" xr:uid="{6B74A7BF-369E-4FD1-BC55-CB3A5212038A}"/>
    <cellStyle name="Comma 2 2" xfId="7" xr:uid="{7148BB6E-3A65-47FD-9ACE-B64FEA53FCF2}"/>
    <cellStyle name="Comma 3 2" xfId="15" xr:uid="{3E93BACF-2E0C-465B-A713-08D519263C12}"/>
    <cellStyle name="Comma 8" xfId="9" xr:uid="{EB63CF45-271D-464B-AB05-1A8301831B9B}"/>
    <cellStyle name="Comma 9" xfId="14" xr:uid="{A9F3D724-4240-4EA7-AABF-56824A4EC4CA}"/>
    <cellStyle name="Currency" xfId="2" builtinId="4"/>
    <cellStyle name="Currency 2 2" xfId="6" xr:uid="{AF0A430C-A2E7-4882-8701-115E2C66CA0E}"/>
    <cellStyle name="Currency 5" xfId="11" xr:uid="{58C3C670-C352-4307-B2D0-642CF4603F59}"/>
    <cellStyle name="Normal" xfId="0" builtinId="0"/>
    <cellStyle name="Normal 2" xfId="4" xr:uid="{272D88E6-CB8F-4EB3-A7DB-98D46C9FB33A}"/>
    <cellStyle name="Normal 3" xfId="17" xr:uid="{AAFBFEB0-01E6-4C2D-9A02-55D2A6A994C7}"/>
    <cellStyle name="Normal 6" xfId="10" xr:uid="{6F6EA212-F855-429B-8894-52A66D0B49E4}"/>
    <cellStyle name="Normal 8" xfId="8" xr:uid="{1D322123-09C8-446E-9F7D-DD6C1836C2D6}"/>
    <cellStyle name="Normal 9" xfId="12" xr:uid="{AF725A2D-AC5C-4CA5-B0A6-9553B6AE0F73}"/>
    <cellStyle name="Normal_B-6 2007" xfId="16" xr:uid="{AD224C68-F74C-4BA1-98BF-9C5251C34E71}"/>
    <cellStyle name="Normal_MFR_2008 Actual" xfId="5" xr:uid="{08D5C975-3680-4629-837C-7426A5B9423D}"/>
    <cellStyle name="Percent" xfId="3" builtinId="5"/>
  </cellStyles>
  <dxfs count="0"/>
  <tableStyles count="1" defaultTableStyle="TableStyleMedium2" defaultPivotStyle="PivotStyleLight16">
    <tableStyle name="Invisible" pivot="0" table="0" count="0" xr9:uid="{2CFED783-F3A2-44A0-85C3-E8C6568BAB0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sharedStrings" Target="sharedStrings.xml"/><Relationship Id="rId16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9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externalLink" Target="externalLinks/externalLink71.xml"/><Relationship Id="rId88" Type="http://schemas.openxmlformats.org/officeDocument/2006/relationships/styles" Target="styles.xml"/><Relationship Id="rId9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theme" Target="theme/theme1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/Relationships>
</file>

<file path=xl/ctrlProps/ctrlProp1.xml><?xml version="1.0" encoding="utf-8"?>
<formControlPr xmlns="http://schemas.microsoft.com/office/spreadsheetml/2009/9/main" objectType="Drop" dropStyle="combo" dx="22" fmlaLink="$N$1" fmlaRange="$L$1:$L$2" sel="0" val="0"/>
</file>

<file path=xl/ctrlProps/ctrlProp2.xml><?xml version="1.0" encoding="utf-8"?>
<formControlPr xmlns="http://schemas.microsoft.com/office/spreadsheetml/2009/9/main" objectType="Drop" dropStyle="combo" dx="22" fmlaLink="$A$17" fmlaRange="$B$17:$B$18" sel="2" val="0"/>
</file>

<file path=xl/ctrlProps/ctrlProp3.xml><?xml version="1.0" encoding="utf-8"?>
<formControlPr xmlns="http://schemas.microsoft.com/office/spreadsheetml/2009/9/main" objectType="Drop" dropStyle="combo" dx="22" fmlaLink="$P$1" fmlaRange="$N$1:$N$2" sel="0" val="0"/>
</file>

<file path=xl/ctrlProps/ctrlProp4.xml><?xml version="1.0" encoding="utf-8"?>
<formControlPr xmlns="http://schemas.microsoft.com/office/spreadsheetml/2009/9/main" objectType="Drop" dropStyle="combo" dx="22" fmlaLink="$C$17" fmlaRange="$D$17:$D$18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74634</xdr:colOff>
      <xdr:row>2</xdr:row>
      <xdr:rowOff>30605</xdr:rowOff>
    </xdr:from>
    <xdr:to>
      <xdr:col>3</xdr:col>
      <xdr:colOff>125697</xdr:colOff>
      <xdr:row>6</xdr:row>
      <xdr:rowOff>183313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34" y="421130"/>
          <a:ext cx="2003127" cy="914708"/>
        </a:xfrm>
        <a:prstGeom prst="rect">
          <a:avLst/>
        </a:prstGeom>
      </xdr:spPr>
    </xdr:pic>
    <xdr:clientData/>
  </xdr:twoCellAnchor>
  <xdr:twoCellAnchor editAs="oneCell">
    <xdr:from>
      <xdr:col>5</xdr:col>
      <xdr:colOff>141536</xdr:colOff>
      <xdr:row>3</xdr:row>
      <xdr:rowOff>91809</xdr:rowOff>
    </xdr:from>
    <xdr:to>
      <xdr:col>5</xdr:col>
      <xdr:colOff>1132730</xdr:colOff>
      <xdr:row>5</xdr:row>
      <xdr:rowOff>111090</xdr:rowOff>
    </xdr:to>
    <xdr:sp macro="[72]!REFRESH1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561386" y="682359"/>
          <a:ext cx="995677" cy="400281"/>
        </a:xfrm>
        <a:prstGeom prst="rect">
          <a:avLst/>
        </a:prstGeom>
        <a:solidFill>
          <a:schemeClr val="accent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REFRESH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28575</xdr:rowOff>
    </xdr:from>
    <xdr:to>
      <xdr:col>2</xdr:col>
      <xdr:colOff>889823</xdr:colOff>
      <xdr:row>6</xdr:row>
      <xdr:rowOff>98360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34" y="421130"/>
          <a:ext cx="2088852" cy="87660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57150</xdr:rowOff>
    </xdr:from>
    <xdr:to>
      <xdr:col>5</xdr:col>
      <xdr:colOff>1024252</xdr:colOff>
      <xdr:row>5</xdr:row>
      <xdr:rowOff>34969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6561386" y="682359"/>
          <a:ext cx="1024252" cy="381231"/>
        </a:xfrm>
        <a:prstGeom prst="rect">
          <a:avLst/>
        </a:prstGeom>
        <a:solidFill>
          <a:schemeClr val="accent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9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REFRESH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37644</xdr:colOff>
      <xdr:row>8</xdr:row>
      <xdr:rowOff>163968</xdr:rowOff>
    </xdr:from>
    <xdr:to>
      <xdr:col>3</xdr:col>
      <xdr:colOff>1077685</xdr:colOff>
      <xdr:row>10</xdr:row>
      <xdr:rowOff>97972</xdr:rowOff>
    </xdr:to>
    <xdr:sp macro="[73]!REFRESH1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162219" y="2040393"/>
          <a:ext cx="1040041" cy="35310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REFRESH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7</xdr:row>
          <xdr:rowOff>22860</xdr:rowOff>
        </xdr:from>
        <xdr:to>
          <xdr:col>5</xdr:col>
          <xdr:colOff>236220</xdr:colOff>
          <xdr:row>8</xdr:row>
          <xdr:rowOff>45720</xdr:rowOff>
        </xdr:to>
        <xdr:sp macro="" textlink="">
          <xdr:nvSpPr>
            <xdr:cNvPr id="15363" name="Drop Down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6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</xdr:colOff>
          <xdr:row>1</xdr:row>
          <xdr:rowOff>373380</xdr:rowOff>
        </xdr:from>
        <xdr:to>
          <xdr:col>5</xdr:col>
          <xdr:colOff>251460</xdr:colOff>
          <xdr:row>2</xdr:row>
          <xdr:rowOff>68580</xdr:rowOff>
        </xdr:to>
        <xdr:sp macro="" textlink="">
          <xdr:nvSpPr>
            <xdr:cNvPr id="15364" name="Drop Down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6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37644</xdr:colOff>
      <xdr:row>8</xdr:row>
      <xdr:rowOff>163968</xdr:rowOff>
    </xdr:from>
    <xdr:to>
      <xdr:col>3</xdr:col>
      <xdr:colOff>1077685</xdr:colOff>
      <xdr:row>10</xdr:row>
      <xdr:rowOff>97972</xdr:rowOff>
    </xdr:to>
    <xdr:sp macro="[73]!REFRESH1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162219" y="2040393"/>
          <a:ext cx="1040041" cy="35310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REFRESH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7</xdr:row>
          <xdr:rowOff>22860</xdr:rowOff>
        </xdr:from>
        <xdr:to>
          <xdr:col>5</xdr:col>
          <xdr:colOff>464820</xdr:colOff>
          <xdr:row>8</xdr:row>
          <xdr:rowOff>45720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7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</xdr:colOff>
          <xdr:row>1</xdr:row>
          <xdr:rowOff>373380</xdr:rowOff>
        </xdr:from>
        <xdr:to>
          <xdr:col>5</xdr:col>
          <xdr:colOff>480060</xdr:colOff>
          <xdr:row>2</xdr:row>
          <xdr:rowOff>68580</xdr:rowOff>
        </xdr:to>
        <xdr:sp macro="" textlink="">
          <xdr:nvSpPr>
            <xdr:cNvPr id="16386" name="Drop Down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7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</xdr:row>
      <xdr:rowOff>85725</xdr:rowOff>
    </xdr:from>
    <xdr:to>
      <xdr:col>16</xdr:col>
      <xdr:colOff>265465</xdr:colOff>
      <xdr:row>48</xdr:row>
      <xdr:rowOff>151461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447675"/>
          <a:ext cx="9876190" cy="7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54</xdr:row>
      <xdr:rowOff>95250</xdr:rowOff>
    </xdr:from>
    <xdr:to>
      <xdr:col>16</xdr:col>
      <xdr:colOff>598840</xdr:colOff>
      <xdr:row>101</xdr:row>
      <xdr:rowOff>8584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0" y="8924925"/>
          <a:ext cx="9876190" cy="75238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irxl/LOCALS~1/Temp/0307%20Financial%20Pages%20PDF%20templa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DOCUME~1/jkaxv/LOCALS~1/Temp/MFR_E_BJ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wcllf/LOCALS~1/Temp/MFR_E_BJ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VOL1/CORP/TECACTG/SHARDATA/FIN_REPT/FIN_REPT/Financial%20Reporting%20Team/Rate%20Case/MFR%20Dry%20Run/Kyrstin/2013%20Rate%20Case/B-2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irxl/LOCALS~1/Temp/June%202006/April%202006/Financial%20page%20PDF%20Template%20Apr%20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wmxt/AppData/Local/Microsoft/Windows/Temporary%20Internet%20Files/Content.Outlook/RPCK79KB/2012_7_RECON%20July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INTERNAL%20REPORTING/TEC/2012/2012%20RECON/2012_7_RECON%20July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_REPT\FIN_REPT\Financial%20Reporting%20Team\Rate%20Case\MFR%20Dry%20Run\Sarah\FINAL_MFRs_2014_03061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FIN_REPT\FIN_REPT\Financial%20Reporting%20Team\Rate%20Case\MFR%20Dry%20Run\Sarah\FINAL_MFRs_2014_03061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fjxp/LOCALS~1/Temp/1207_Financial%20Pag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fjxp/LOCALS~1/Temp/0507_Financial%20Pag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sites/controller/RateCase/Shared%20Documents/2013%20Filed%20MFRs/Formatted%202013%20MFRs%20(excel%20templates)/201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CLOSEOUT\PAGES\2006\Cash%20Flows\Cash%20Flow%20Presentation%20&amp;%20Detail\CASH_FLOW_%20DETAIL_05_20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fjxp/LOCALS~1/Temp/0707%20Fuel%20Pages_L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_REPT\FIN_REPT\Phil\CASH_FLOW_DETAIL_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CLOSEOUT\PAGES\2006\Cash%20Flows\2006%20Budget%20FINAL%20for%20CASH%20FLO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FIN_REPT/FIN_REPT/BUDGET/UPDATE/2007/EARNINGS%20ESTIMATES/2007_12&amp;0_EE%20Decemb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BUDGET\2007\2007%20Budget%20with%202006%20ACTUAL\2007%20Budget%20%20FINAL%2001_15_07%20w.%20tax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3/2003Budget%20with%20sale%20of%20gasifier%20&amp;%20depr%20adj%20A3-B4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etxb/Desktop/Base%20revenue%2003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GF&amp;P%20Change\2007GF&amp;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lh/Desktop/Book%20of%20Tabs%20Review/xSurv-2020%20MAR%20-%20Final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CLOSEOUT\PAGES\2006\JAN%20200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Documents%20and%20Settings/jetxb/Desktop/xSurv-06Dec_021407_FILE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FIN_REPT/FIN_REPT/BUDGET/2006/2006%20Forecasted%20Surveillance%20Reports/Budget/SR%202006%20Budget%20'06%20Factors%20File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FIN_REPT\FIN_REPT\RATE%20CASE%20TRIAL%20RUN%202007\2008%20Budget\C-6%20%202008%20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_REPT\REG_ACCT\SURV\ACTUAL\Prior%202016\xSurv%20Report_2012\xSurv-12Dec_REVISED_FILED_040513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FIN_REPT/FIN_REPT/RATE%20CASE%20TRIAL%20RUN/MFRTest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DOCUME~1/jkaxv/LOCALS~1/Temp/MFR_C-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PLANT\Rate%20Case\TEC%20O&amp;M\MFR%20for%20O&amp;M%20Templat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_REPT\FIN_REPT\Financial%20Reporting%20Team\Rate%20Case\MFR%20Dry%20Run\Sarah\MFR%20C%20Schedule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FIN_REPT/FIN_REPT/Financial%20Reporting%20Team/Rate%20Case/MFR%20Dry%20Run/Sarah/MFR%20C%20Schedul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fjxp/Desktop/DEC%202005%20New%20format%20tri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CLOSEOUT/PAGES/2006/FEB%202006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FIN_REPT/FIN_REPT/CLOSEOUT/PAGES/2004/FIN%20REPORT/JUNE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irxl/LOCALS~1/Temp/June%202006/March%202006/Financial%20page%20PDF%20Template%20Mar%20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fjxp/LOCALS~1/Temp/0407_Financial%20Pag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FUEL\ACTUAL\FIN_PAGE\Excel%20Fuel%20Pages\1205%20Fuel%20Pages_KF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FIN_REPT\FIN_REPT\Financial%20Reporting%20Team\Rate%20Case\MFR%20Dry%20Run\Sarah\MFR%20C%20Schedules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solidations\2018\06%2018\Emera%20HFM\BPC%20reports%20that%20tie%20to%20Emera\Energy%20Consol%20Detail%20YTD%20IS%20_BS_Emera%20Hierarchy_Jun%202018.xlt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AA%20Rate%20Case/Practice%20MFRs/MFRs_Practice/MFR_Amnerys_Revised_Reformat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Users/JKAXV/AppData/Local/Microsoft/Windows/Temporary%20Internet%20Files/Content.Outlook/R0XXJMNP/mfr_template_2014_budget_122012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KAXV/AppData/Local/Microsoft/Windows/Temporary%20Internet%20Files/Content.Outlook/R0XXJMNP/mfr_template_2014_budget_122012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irxl/LOCALS~1/Temp/Prior%20Years/Other%202006%20Files/06_SALPUR%20Orig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_REPT/FIN_REPT/CLOSEOUT/PAGES/2005/DEC%202005%20v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irxl/LOCALS~1/Temp/0407%20Fuel%20Pages_L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FWHW/My%20Documents/2003%20Budget/Final%20Files%20for%202003%20Budget/SOP%20for%20Final%20Budget%20-%2005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CLOSEOUT/PAGES/Revenue%20Pages/2007/3_Mar07_RVPG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USERS/JETXB/Thuy/Check%20Financial%20pages/0905%20CHECK%20PAGE%201%20TO%20%201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USERS\JETXB\Thuy\Check%20Financial%20pages\0905%20CHECK%20PAGE%201%20TO%20%201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FIN_REPT/FIN_REPT/BUDGET/2003/2003Budget%20February%204%20FINAL%20P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!%20Rate%20Case%20Skip/MFR-XLS/C-07%2020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!%20Rate%20Case%20Skip/MFR-XLS/ATax%20B-22-23%20C-22-25-26-27-28%20MFRs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USERS\JKLAS\Plant%20Accting\OOR%2012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OSEOUT\PAGES\2007\Regulatory%20Assets%20&amp;%20Liabilities\Regulatory%20Assets%20&amp;%20Liabilities%2003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FIN_REPT/FIN_REPT/BUDGET/2003/SUMACCT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_REPT/FIN_REPT/CORPORATE%20RESPONSIBILITY/2005/Reserves/2005%20Budget%20with%2004%20Actuals%20and%20Budget%20Compa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DOCUME~1/jkrbk/LOCALS~1/Temp/MFR_2008%20Actu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krbk/LOCALS~1/Temp/MFR_2008%20Actu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LT_ACCT/Data%20&amp;%20Apps/DATA/2003%20Monthly%20Reports/May_ja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_REPT\REG_ACCT\SURV\ACTUAL\2019%20S.R\xSurv-2019%20SEP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Documents%20and%20Settings/jetxb/Desktop/SR%202007%20Budget_Final_FILED_0227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FIN_REPT/REG_ACCT/SURV/2021%20Rate%20Case/xSurv-2019%20DEC%20FIN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jac/Downloads/2022%20Budget%20SR%20DRAFT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ial%20Reporting\Rate%20Case\MFRs\MFRs_Jas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FIN_REPT/REG_ACCT/SURV/ACTUAL/12month/xSurv%20Report_2003/xSurv-03Dec%20Fi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irxl/LOCALS~1/Temp/3_March%20Revenue%20Pag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TECACTG/SHARDATA/PLANT/4%20FORECAST/Monthly%20Forecast/SOP-Forecast/PGS/2018/2+10/CAPEX/REV%20CIBS%20DRAFT3_02+10%20PGS%20Capital%20Forecast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sites/controller/RateCase/MFR%20%20Final/Working%20Files%20(Schd.%20A-G)/Schedule%20C/C-08,%20C-36,%20C-38%20-%20In%20Progress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AL_BALANCE_REPORT2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AL_BALANCE_SORT4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IN_REPT\Financial%20Reporting%20Team\Rate%20Case\MFRs%20-%202021%20Rate%20Case\Sarah\C-1,%20C-2,%20C-3,%20C-4_2021_Ready%20for%20Review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AZA7\Documents%20and%20Settings\updxt\My%20Documents\elimj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kaxv/LOCALS~1/Temp/MFR_E_BJ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Table of Contents"/>
      <sheetName val="Page 1A"/>
      <sheetName val="Page 1B"/>
      <sheetName val="Page 2A"/>
      <sheetName val="Page 2B"/>
      <sheetName val="Page 3A"/>
      <sheetName val="Page 3B"/>
      <sheetName val="Page 3C"/>
      <sheetName val="Page 3D"/>
      <sheetName val="Page 4A"/>
      <sheetName val="Page 4B"/>
      <sheetName val="Page 5A"/>
      <sheetName val="Page 5B"/>
      <sheetName val="Page 6"/>
      <sheetName val="Page 6A"/>
      <sheetName val="Page 7"/>
      <sheetName val="Page 8"/>
      <sheetName val="Page 9"/>
      <sheetName val="Page 10"/>
      <sheetName val="Page 11A"/>
      <sheetName val="Page 11B"/>
      <sheetName val="Page 12"/>
      <sheetName val="Page 13A"/>
      <sheetName val="Page 13B"/>
      <sheetName val="Page 14A"/>
      <sheetName val="Page 14B"/>
      <sheetName val="Page 15A"/>
      <sheetName val="Page 15B"/>
      <sheetName val="Page 16A"/>
      <sheetName val="Page 16A (2)"/>
      <sheetName val="Page 16B"/>
      <sheetName val="Page 16B (2)"/>
      <sheetName val="Page 17"/>
      <sheetName val="Page 18A"/>
      <sheetName val="Page 18B"/>
      <sheetName val="Page 19A"/>
      <sheetName val="Page 19B"/>
      <sheetName val="Page 20A"/>
      <sheetName val="Page 20B"/>
      <sheetName val="Page 21A"/>
      <sheetName val="Page 21B"/>
      <sheetName val="Page 22A"/>
      <sheetName val="Page 22B"/>
      <sheetName val="Page 23A"/>
      <sheetName val="Page 23B"/>
      <sheetName val="Page 24A"/>
      <sheetName val="Page 24B"/>
      <sheetName val="Page 25A"/>
      <sheetName val="Page 25B"/>
      <sheetName val="Page 26A"/>
      <sheetName val="Page 26B"/>
      <sheetName val="Page 27A"/>
      <sheetName val="Page 27B"/>
      <sheetName val="Page 28A"/>
      <sheetName val="Page 28B"/>
      <sheetName val="Page 29A"/>
      <sheetName val="Page 2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3"/>
      <sheetName val="E-13a"/>
      <sheetName val="E-13b"/>
      <sheetName val="E-13c"/>
      <sheetName val="E-13d"/>
      <sheetName val="F-14"/>
      <sheetName val="E-16"/>
      <sheetName val="F-4"/>
      <sheetName val="Data-Histor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3"/>
      <sheetName val="E-13a"/>
      <sheetName val="E-13b"/>
      <sheetName val="E-13c"/>
      <sheetName val="E-13d"/>
      <sheetName val="F-14"/>
      <sheetName val="E-16"/>
      <sheetName val="F-4"/>
      <sheetName val="Data-Historic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-21"/>
      <sheetName val="DL 1211"/>
      <sheetName val="Query"/>
      <sheetName val="SAP"/>
      <sheetName val="I&amp;D Detail"/>
      <sheetName val="22812"/>
      <sheetName val="2282010"/>
      <sheetName val="2282020 and 30"/>
      <sheetName val="2282040"/>
      <sheetName val="2282010 (2)"/>
      <sheetName val="2282020"/>
      <sheetName val="2282040 (2)"/>
      <sheetName val="Sheet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Table of Contents"/>
      <sheetName val="Page 1A"/>
      <sheetName val="Page 1B"/>
      <sheetName val="Page 2A"/>
      <sheetName val="Page 2B"/>
      <sheetName val="Page 3A"/>
      <sheetName val="Page 3B"/>
      <sheetName val="Page 3C"/>
      <sheetName val="Page 3D"/>
      <sheetName val="Page 4A"/>
      <sheetName val="Page 4B"/>
      <sheetName val="Page 5A"/>
      <sheetName val="Page 5B"/>
      <sheetName val="Page 6"/>
      <sheetName val="Page 6A"/>
      <sheetName val="Page 7"/>
      <sheetName val="Page 8"/>
      <sheetName val="Page 9"/>
      <sheetName val="Page 10"/>
      <sheetName val="Page 11A"/>
      <sheetName val="Page 11B"/>
      <sheetName val="Page 12"/>
      <sheetName val="Page 13A"/>
      <sheetName val="Page 13B"/>
      <sheetName val="Page 14A"/>
      <sheetName val="Page 14B"/>
      <sheetName val="Page 15A"/>
      <sheetName val="Page 15B"/>
      <sheetName val="Page 16A"/>
      <sheetName val="Page 16A (2)"/>
      <sheetName val="Page 16B"/>
      <sheetName val="Page 16B (2)"/>
      <sheetName val="Page 17"/>
      <sheetName val="Page 18A"/>
      <sheetName val="Page 18B"/>
      <sheetName val="Page 19A"/>
      <sheetName val="Page 19B"/>
      <sheetName val="Page 20A"/>
      <sheetName val="Page 20B"/>
      <sheetName val="Page 21A"/>
      <sheetName val="Page 21B"/>
      <sheetName val="Page 22A"/>
      <sheetName val="Page 22B"/>
      <sheetName val="Page 23A"/>
      <sheetName val="Page 23B"/>
      <sheetName val="Page 24A"/>
      <sheetName val="Page 24B"/>
      <sheetName val="Page 25A"/>
      <sheetName val="Page 25B"/>
      <sheetName val="Page 26A"/>
      <sheetName val="Page 26B"/>
      <sheetName val="Page 27A"/>
      <sheetName val="Page 27B"/>
      <sheetName val="Page 28A"/>
      <sheetName val="Page 28B"/>
      <sheetName val="Page 29A"/>
      <sheetName val="Page 29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/>
      <sheetData sheetId="37" refreshError="1"/>
      <sheetData sheetId="38"/>
      <sheetData sheetId="39" refreshError="1"/>
      <sheetData sheetId="40"/>
      <sheetData sheetId="41" refreshError="1"/>
      <sheetData sheetId="42"/>
      <sheetData sheetId="43" refreshError="1"/>
      <sheetData sheetId="44"/>
      <sheetData sheetId="45" refreshError="1"/>
      <sheetData sheetId="46"/>
      <sheetData sheetId="47" refreshError="1"/>
      <sheetData sheetId="48"/>
      <sheetData sheetId="49" refreshError="1"/>
      <sheetData sheetId="50"/>
      <sheetData sheetId="51" refreshError="1"/>
      <sheetData sheetId="52"/>
      <sheetData sheetId="53" refreshError="1"/>
      <sheetData sheetId="54"/>
      <sheetData sheetId="55"/>
      <sheetData sheetId="56"/>
      <sheetData sheetId="5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CF 9&amp;3 VS BUDGET"/>
      <sheetName val="DATA 2011"/>
      <sheetName val="Data 2012"/>
      <sheetName val="GL Lookup"/>
      <sheetName val="RECON Detail"/>
      <sheetName val="Presentation pages"/>
      <sheetName val="RECONS Variance"/>
      <sheetName val="RECONS Variance (2)"/>
      <sheetName val="O&amp;M reconcile"/>
      <sheetName val="Sheet1"/>
      <sheetName val="MEMO"/>
      <sheetName val="DOWNLOAD"/>
      <sheetName val="New format"/>
      <sheetName val="MTHLY RECON"/>
      <sheetName val="OTHER"/>
      <sheetName val="QTR RECON"/>
      <sheetName val="OOR"/>
      <sheetName val="O_INC_DED"/>
      <sheetName val="OTHER (2)"/>
      <sheetName val="BALANCE SH."/>
      <sheetName val="INCOME STAT."/>
      <sheetName val="BS ACCTS"/>
      <sheetName val="Conversion file"/>
      <sheetName val="IS ACCTS"/>
      <sheetName val="CASH FLOWS"/>
      <sheetName val="CASH FLOWS BKUP"/>
      <sheetName val="New CF Pres"/>
      <sheetName val="CF impact"/>
      <sheetName val="CASH FLOWS (95)"/>
      <sheetName val="CASH FLOWS BKUP (95)"/>
      <sheetName val="PLANT"/>
      <sheetName val="CF Hybrid"/>
      <sheetName val="OTHER INC.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CAPITAL"/>
      <sheetName val="TEC_Earning Analysis"/>
      <sheetName val="Business Plan"/>
      <sheetName val="Estimates Recon"/>
      <sheetName val="STOCK"/>
      <sheetName val="REVENUE"/>
      <sheetName val="CONS ROI"/>
      <sheetName val="ENVIR ROI"/>
      <sheetName val="OBISACCTS"/>
      <sheetName val="VISACCTS"/>
      <sheetName val="PYISACCTS"/>
      <sheetName val="V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N E L"/>
      <sheetName val="OBBSACCTS"/>
      <sheetName val="VBSACCTS"/>
      <sheetName val="CF Recon "/>
      <sheetName val="HEADING"/>
      <sheetName val="RECONS"/>
      <sheetName val="RANGENAMES"/>
      <sheetName val="Polk_recon"/>
      <sheetName val="OBINCOME STAT."/>
      <sheetName val="OBREVENUE"/>
      <sheetName val="OOR VAR"/>
      <sheetName val="BUDGET RECON"/>
      <sheetName val="PROCEDURES"/>
      <sheetName val="EE Procedures"/>
      <sheetName val="2010 CF Budget"/>
      <sheetName val="10 CF BUD WKST"/>
      <sheetName val="2009 BS A Budget (FINAL)"/>
      <sheetName val="2009 BS L Budget (FINAL)"/>
      <sheetName val="TECO BS TEMPLATE"/>
      <sheetName val="2009 IS Budget  (FINAL)"/>
      <sheetName val="TECO IS TEMPLATE"/>
      <sheetName val="Review sheet"/>
      <sheetName val="CF detail"/>
      <sheetName val="BALANCE SH. (new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CF 9&amp;3 VS BUDGET"/>
      <sheetName val="DATA 2011"/>
      <sheetName val="Data 2012"/>
      <sheetName val="GL Lookup"/>
      <sheetName val="RECON Detail"/>
      <sheetName val="Presentation pages"/>
      <sheetName val="RECONS Variance"/>
      <sheetName val="RECONS Variance (2)"/>
      <sheetName val="O&amp;M reconcile"/>
      <sheetName val="Sheet1"/>
      <sheetName val="MEMO"/>
      <sheetName val="DOWNLOAD"/>
      <sheetName val="New format"/>
      <sheetName val="MTHLY RECON"/>
      <sheetName val="OTHER"/>
      <sheetName val="QTR RECON"/>
      <sheetName val="OOR"/>
      <sheetName val="O_INC_DED"/>
      <sheetName val="OTHER (2)"/>
      <sheetName val="BALANCE SH."/>
      <sheetName val="INCOME STAT."/>
      <sheetName val="BS ACCTS"/>
      <sheetName val="Conversion file"/>
      <sheetName val="IS ACCTS"/>
      <sheetName val="CASH FLOWS"/>
      <sheetName val="CASH FLOWS BKUP"/>
      <sheetName val="New CF Pres"/>
      <sheetName val="CF impact"/>
      <sheetName val="CASH FLOWS (95)"/>
      <sheetName val="CASH FLOWS BKUP (95)"/>
      <sheetName val="PLANT"/>
      <sheetName val="CF Hybrid"/>
      <sheetName val="OTHER INC.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CAPITAL"/>
      <sheetName val="TEC_Earning Analysis"/>
      <sheetName val="Business Plan"/>
      <sheetName val="Estimates Recon"/>
      <sheetName val="STOCK"/>
      <sheetName val="REVENUE"/>
      <sheetName val="CONS ROI"/>
      <sheetName val="ENVIR ROI"/>
      <sheetName val="OBISACCTS"/>
      <sheetName val="VISACCTS"/>
      <sheetName val="PYISACCTS"/>
      <sheetName val="V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N E L"/>
      <sheetName val="OBBSACCTS"/>
      <sheetName val="VBSACCTS"/>
      <sheetName val="CF Recon "/>
      <sheetName val="HEADING"/>
      <sheetName val="RECONS"/>
      <sheetName val="RANGENAMES"/>
      <sheetName val="Polk_recon"/>
      <sheetName val="OBINCOME STAT."/>
      <sheetName val="OBREVENUE"/>
      <sheetName val="OOR VAR"/>
      <sheetName val="BUDGET RECON"/>
      <sheetName val="PROCEDURES"/>
      <sheetName val="EE Procedures"/>
      <sheetName val="2010 CF Budget"/>
      <sheetName val="10 CF BUD WKST"/>
      <sheetName val="2009 BS A Budget (FINAL)"/>
      <sheetName val="2009 BS L Budget (FINAL)"/>
      <sheetName val="TECO BS TEMPLATE"/>
      <sheetName val="2009 IS Budget  (FINAL)"/>
      <sheetName val="TECO IS TEMPLATE"/>
      <sheetName val="Review sheet"/>
      <sheetName val="CF detail"/>
      <sheetName val="BALANCE SH. (new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_FAC"/>
      <sheetName val="SEPSTUDY"/>
      <sheetName val="O_M"/>
      <sheetName val="Cap Struct"/>
      <sheetName val="BALSHT"/>
      <sheetName val="A-1"/>
      <sheetName val="B-1"/>
      <sheetName val="B-2"/>
      <sheetName val="B-3"/>
      <sheetName val="B-5"/>
      <sheetName val="B-5 (detailed)"/>
      <sheetName val="B-17"/>
      <sheetName val="B-6"/>
      <sheetName val="NOI"/>
      <sheetName val="C-1"/>
      <sheetName val="C-2"/>
      <sheetName val="C-3"/>
      <sheetName val="C-4"/>
      <sheetName val="C-5"/>
      <sheetName val="C-11"/>
      <sheetName val="C-23"/>
      <sheetName val="C-44"/>
      <sheetName val="D-1a"/>
      <sheetName val="D-1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_FAC"/>
      <sheetName val="SEPSTUDY"/>
      <sheetName val="O_M"/>
      <sheetName val="Cap Struct"/>
      <sheetName val="BALSHT"/>
      <sheetName val="A-1"/>
      <sheetName val="B-1"/>
      <sheetName val="B-2"/>
      <sheetName val="B-3"/>
      <sheetName val="B-5"/>
      <sheetName val="B-5 (detailed)"/>
      <sheetName val="B-17"/>
      <sheetName val="B-6"/>
      <sheetName val="NOI"/>
      <sheetName val="C-1"/>
      <sheetName val="C-2"/>
      <sheetName val="C-3"/>
      <sheetName val="C-4"/>
      <sheetName val="C-5"/>
      <sheetName val="C-11"/>
      <sheetName val="C-23"/>
      <sheetName val="C-44"/>
      <sheetName val="D-1a"/>
      <sheetName val="D-1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Table of Contents"/>
      <sheetName val="Page 1A"/>
      <sheetName val="Page 1B"/>
      <sheetName val="Page 1C"/>
      <sheetName val="Page 2A"/>
      <sheetName val="Page 2B"/>
      <sheetName val="Page 2C"/>
      <sheetName val="Page 2D"/>
      <sheetName val="Page 3A"/>
      <sheetName val="Page 3B"/>
      <sheetName val="Page 3C"/>
      <sheetName val="Page 3D"/>
      <sheetName val="Page 4A"/>
      <sheetName val="Page 4B "/>
      <sheetName val="Page 5A"/>
      <sheetName val="Page 5B"/>
      <sheetName val="Page 6"/>
      <sheetName val="Page 6A"/>
      <sheetName val="Page 7"/>
      <sheetName val="Page 8"/>
      <sheetName val="Page 9"/>
      <sheetName val="Page 10"/>
      <sheetName val="Page 11A"/>
      <sheetName val="Page 11B"/>
      <sheetName val="Page 12"/>
      <sheetName val="Page 13A"/>
      <sheetName val="Page 13B"/>
      <sheetName val="Page 14A"/>
      <sheetName val="Page 14B"/>
      <sheetName val="Page 14C"/>
      <sheetName val="Page 15A"/>
      <sheetName val="Page 15B"/>
      <sheetName val="Page 15C"/>
      <sheetName val="Page 16A (1)"/>
      <sheetName val="Page 16A (2)"/>
      <sheetName val="Page 16B (1)"/>
      <sheetName val="Page 16B (2)"/>
      <sheetName val="Page 16C (1)"/>
      <sheetName val="Page 16C (2)"/>
      <sheetName val="PG 17"/>
      <sheetName val="Page 18A"/>
      <sheetName val="Page 18B"/>
      <sheetName val="Page 19A"/>
      <sheetName val="Page 19B"/>
      <sheetName val="Page 20A"/>
      <sheetName val="Page 20B"/>
      <sheetName val="Page 21A"/>
      <sheetName val="Page 21B"/>
      <sheetName val="Page 22A"/>
      <sheetName val="Page 22B"/>
      <sheetName val="Page 23A"/>
      <sheetName val="Page 23B"/>
      <sheetName val="Page 24A"/>
      <sheetName val="Page 24B"/>
      <sheetName val="Page 25A"/>
      <sheetName val="Page 25B"/>
      <sheetName val="Page 26A"/>
      <sheetName val="Page 26B"/>
      <sheetName val="Page 27A"/>
      <sheetName val="Page 27B"/>
      <sheetName val="Page 28A"/>
      <sheetName val="Page 28B"/>
      <sheetName val="Page 29A"/>
      <sheetName val="Page 2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Table of Contents"/>
      <sheetName val="Page 1A"/>
      <sheetName val="Page 1B"/>
      <sheetName val="Page 2A"/>
      <sheetName val="Page 2B"/>
      <sheetName val="Page 3A"/>
      <sheetName val="Page 3B"/>
      <sheetName val="Page 3C"/>
      <sheetName val="Page 3D"/>
      <sheetName val="Page 4A"/>
      <sheetName val="Page 4B"/>
      <sheetName val="Page 5A"/>
      <sheetName val="Page 5B"/>
      <sheetName val="Page 6"/>
      <sheetName val="Page 6A"/>
      <sheetName val="Page 7"/>
      <sheetName val="Page 8"/>
      <sheetName val="Page 9"/>
      <sheetName val="Page 10"/>
      <sheetName val="Page 11A"/>
      <sheetName val="Page 11B"/>
      <sheetName val="Page 12"/>
      <sheetName val="Page 13A"/>
      <sheetName val="Page 13B"/>
      <sheetName val="Page 14A"/>
      <sheetName val="Page 14B"/>
      <sheetName val="Page 15A"/>
      <sheetName val="Page 15B"/>
      <sheetName val="Page 16A (1)"/>
      <sheetName val="Page 16A (2)"/>
      <sheetName val="Page 16B (1)"/>
      <sheetName val="Page 16B (2)"/>
      <sheetName val="PG 17 "/>
      <sheetName val="Page 18A"/>
      <sheetName val="Page 18B"/>
      <sheetName val="Page 19A"/>
      <sheetName val="Page 19B"/>
      <sheetName val="Page 20A"/>
      <sheetName val="Page 20B"/>
      <sheetName val="Page 21A"/>
      <sheetName val="Page 21B"/>
      <sheetName val="Page 22A"/>
      <sheetName val="Page 22B"/>
      <sheetName val="Page 23A"/>
      <sheetName val="Page 23B"/>
      <sheetName val="Page 24A"/>
      <sheetName val="Page 24B"/>
      <sheetName val="Page 25A"/>
      <sheetName val="Page 25B"/>
      <sheetName val="Page 26A"/>
      <sheetName val="Page 26B"/>
      <sheetName val="Page 27A"/>
      <sheetName val="Page 27B"/>
      <sheetName val="Page 28A"/>
      <sheetName val="Page 28B"/>
      <sheetName val="Page 29A"/>
      <sheetName val="Page 2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EPSTUDY"/>
      <sheetName val="O_M"/>
      <sheetName val="Cap Struct"/>
      <sheetName val="BALSHT"/>
      <sheetName val="B-5 (detailed)"/>
      <sheetName val="NOI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 (2)"/>
      <sheetName val="Detail "/>
      <sheetName val="Sheet1"/>
      <sheetName val="Page 4"/>
      <sheetName val="DOWNLOAD"/>
      <sheetName val="2005_BUDGET"/>
      <sheetName val="DL1204"/>
      <sheetName val="DEC03 DOWNLOAD"/>
      <sheetName val="TEST Presentation"/>
      <sheetName val="CF Pres"/>
      <sheetName val="Presentation"/>
      <sheetName val="Detail (Old version)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check"/>
      <sheetName val="Actual check"/>
      <sheetName val="COMPARE"/>
      <sheetName val="ACCT ADDS"/>
      <sheetName val="FD 2006"/>
      <sheetName val="FD 2007"/>
      <sheetName val="FD Budget"/>
      <sheetName val="BUDGET"/>
      <sheetName val="LAST YEAR"/>
      <sheetName val="DOWNLOAD"/>
      <sheetName val="IGN"/>
      <sheetName val="PG 19  A_B"/>
      <sheetName val="PG 20  A_B"/>
      <sheetName val="PG 21  A_B"/>
      <sheetName val="PG 22  A_B"/>
      <sheetName val="PG 23  A_B"/>
      <sheetName val="PG 24  A_B"/>
      <sheetName val="PG 25  A_B"/>
      <sheetName val="PG 26  A_B"/>
      <sheetName val="PG 27 A_B"/>
      <sheetName val="21"/>
      <sheetName val="Financial Pages"/>
      <sheetName val="FD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 ENERGY"/>
      <sheetName val="Download"/>
      <sheetName val="Page 1"/>
      <sheetName val="Estimate"/>
      <sheetName val="PEC Income Stmt"/>
      <sheetName val="Consolidated IS"/>
      <sheetName val="PEC Budget IS"/>
      <sheetName val="IS Worksheet"/>
      <sheetName val="PEC Budg IS WKT"/>
      <sheetName val="Page 2"/>
      <sheetName val="Page 3"/>
      <sheetName val="Consolidated BS"/>
      <sheetName val="BS Worksheet"/>
      <sheetName val="Page 4"/>
      <sheetName val="CF Pres"/>
      <sheetName val="RECONCILATION"/>
      <sheetName val="2002_BUDGET"/>
      <sheetName val="Cons. CF"/>
      <sheetName val="TECO ENERGY"/>
      <sheetName val="DOWNLOAD01"/>
      <sheetName val="Page 5"/>
      <sheetName val="Page 6"/>
      <sheetName val="Page 7"/>
      <sheetName val="Page 8"/>
      <sheetName val="Page 9"/>
      <sheetName val="Page 10"/>
      <sheetName val="Page 11"/>
      <sheetName val="UPDATES"/>
      <sheetName val="Reformat Cons"/>
      <sheetName val="RegulatoryInfo"/>
      <sheetName val="ESOP GOALS"/>
      <sheetName val="REG. A. L."/>
      <sheetName val="Detail"/>
      <sheetName val="Presentation"/>
      <sheetName val="DOWNLOAD98"/>
      <sheetName val="1999_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PROCEDURES"/>
      <sheetName val="CF 9&amp;3 VS BUDGET"/>
      <sheetName val="DOWNLOAD"/>
      <sheetName val="MACRO"/>
      <sheetName val="MEMO"/>
      <sheetName val="Quarterly Recons Budget"/>
      <sheetName val="MTHLY RECON"/>
      <sheetName val="Estimates Recon"/>
      <sheetName val="Cash Pres 1"/>
      <sheetName val="Cash Pres 2"/>
      <sheetName val="Cash Pres 3"/>
      <sheetName val="Cash Pres 4"/>
      <sheetName val="CF GOALS"/>
      <sheetName val="FOR INCENTIVE GOAL"/>
      <sheetName val="INCOME STAT."/>
      <sheetName val="BALANCE SH."/>
      <sheetName val="CASH FLOWS"/>
      <sheetName val="CF BKUP TECO ENERGY"/>
      <sheetName val="CASH FLOWS BKUP"/>
      <sheetName val="CAPITAL"/>
      <sheetName val="OTHER INC."/>
      <sheetName val="BS ACCTS"/>
      <sheetName val="IS ACCTS"/>
      <sheetName val="GOAL 7 BUD"/>
      <sheetName val="OOR TEFIS"/>
      <sheetName val="OOR"/>
      <sheetName val="O_INC_DED"/>
      <sheetName val="O_INC_DED TEFIS"/>
      <sheetName val="DEF REV INT 99"/>
      <sheetName val="DEF REV INT 98"/>
      <sheetName val="DEF REV JE"/>
      <sheetName val="REV REFUND "/>
      <sheetName val="STOCK"/>
      <sheetName val="REVENUE"/>
      <sheetName val="O M"/>
      <sheetName val="CONS ROI"/>
      <sheetName val="ENVIR ROI"/>
      <sheetName val="INT ANALYSIS"/>
      <sheetName val="DEF REV INT 95"/>
      <sheetName val="DEF REV INT 96"/>
      <sheetName val="DEF REV INT 97"/>
      <sheetName val="OOR MEMO"/>
      <sheetName val="ROE"/>
      <sheetName val="PLANT"/>
      <sheetName val="OUTPUT TO LINES"/>
      <sheetName val="OTHER"/>
      <sheetName val="PE_C_actual"/>
      <sheetName val="PE_C Bud"/>
      <sheetName val="HEADING"/>
      <sheetName val="OBBSACCTS"/>
      <sheetName val="OBISACCTS"/>
      <sheetName val="VBSACCTS"/>
      <sheetName val="VISACCTS"/>
      <sheetName val="PYBSACCTS"/>
      <sheetName val="PYISACCTS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TECO Energy IS"/>
      <sheetName val="ENRGYCONSOL"/>
      <sheetName val="TECO Energy BS"/>
      <sheetName val="TECO Energy CF"/>
      <sheetName val="CASH"/>
      <sheetName val="Download Dec 2004"/>
      <sheetName val="ASSUMPTIONS"/>
      <sheetName val="INTEREST EXP"/>
      <sheetName val="INT EXP"/>
      <sheetName val="FUEL RECON"/>
      <sheetName val="TESAM FINANCIALS"/>
      <sheetName val="PE_C for TESAM"/>
      <sheetName val="TESAM TEMPLATE"/>
      <sheetName val="04Forecast"/>
      <sheetName val="05Total"/>
      <sheetName val="05Monthly"/>
      <sheetName val="06Total"/>
      <sheetName val="04BS"/>
      <sheetName val="05BS"/>
      <sheetName val="06BS"/>
      <sheetName val="04CF"/>
      <sheetName val="05CF"/>
      <sheetName val="05CFSTMT"/>
      <sheetName val="06CF"/>
      <sheetName val="RE"/>
      <sheetName val="Sheet1"/>
      <sheetName val="Cash Flow Goal"/>
      <sheetName val="Cash Flow Goal Rev"/>
      <sheetName val="CM Variance Explanations"/>
      <sheetName val="YTD Variance Explanations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/>
      <sheetData sheetId="46" refreshError="1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New format"/>
      <sheetName val="New format (comp. to org. budg)"/>
      <sheetName val="MTHLY RECON"/>
      <sheetName val="QTR RECON"/>
      <sheetName val="OTHER"/>
      <sheetName val="Estimates Recon (to org. budge)"/>
      <sheetName val="Estimates Recon"/>
      <sheetName val="Cash Pres 1"/>
      <sheetName val="Cash Pres 2"/>
      <sheetName val="Cash Pres 3"/>
      <sheetName val="Cash Pres 4"/>
      <sheetName val="CF GOALS"/>
      <sheetName val="FOR INCENTIVE GOAL"/>
      <sheetName val="INCOME STAT."/>
      <sheetName val="BALANCE SH."/>
      <sheetName val="CF BKUP TECO ENERGY"/>
      <sheetName val="CASH FLOWS"/>
      <sheetName val="CASH FLOWS BKUP"/>
      <sheetName val="IS ACCTS"/>
      <sheetName val="O M"/>
      <sheetName val="BS ACCTS"/>
      <sheetName val="OOR"/>
      <sheetName val="O_INC_DED"/>
      <sheetName val="CAPITAL"/>
      <sheetName val="OTHER (2)"/>
      <sheetName val="OTHER INC.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STOCK"/>
      <sheetName val="REVENUE"/>
      <sheetName val="CONS ROI"/>
      <sheetName val="ENVIR ROI"/>
      <sheetName val="INT ANALYSIS"/>
      <sheetName val="DEF REV INT 95"/>
      <sheetName val="DEF REV INT 96"/>
      <sheetName val="DEF REV INT 97"/>
      <sheetName val="OOR MEMO"/>
      <sheetName val="ROE"/>
      <sheetName val="PLANT"/>
      <sheetName val="OTL"/>
      <sheetName val="PROCEDURES"/>
      <sheetName val="MEMO"/>
      <sheetName val="PE_C_actual"/>
      <sheetName val="PE_C Bud"/>
      <sheetName val="MACRO"/>
      <sheetName val="HEADING"/>
      <sheetName val="OBISACCTS"/>
      <sheetName val="OBBSACCTS"/>
      <sheetName val="VBSACCTS"/>
      <sheetName val="VISACCTS"/>
      <sheetName val="VPYBSACCTS"/>
      <sheetName val="VPYISACCTS"/>
      <sheetName val="PYBSACCTS"/>
      <sheetName val="PYISACCTS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TECO Energy IS"/>
      <sheetName val="ENRGYCONSOL"/>
      <sheetName val="TECO Energy BS"/>
      <sheetName val="TECO Energy CF"/>
      <sheetName val="CASH"/>
      <sheetName val="Download Dec 2004"/>
      <sheetName val="ASSUMPTIONS"/>
      <sheetName val="INTEREST EXP"/>
      <sheetName val="INT EXP"/>
      <sheetName val="FUEL RECON"/>
      <sheetName val="TESAM FINANCIALS"/>
      <sheetName val="PE_C for TESAM"/>
      <sheetName val="TESAM TEMPLATE"/>
      <sheetName val="04Forecast"/>
      <sheetName val="05Total"/>
      <sheetName val="05Monthly"/>
      <sheetName val="06Total"/>
      <sheetName val="04BS"/>
      <sheetName val="05BS"/>
      <sheetName val="06BS"/>
      <sheetName val="04CF"/>
      <sheetName val="05CF"/>
      <sheetName val="05CFSTMT"/>
      <sheetName val="06CF"/>
      <sheetName val="RE"/>
      <sheetName val="Sheet1"/>
      <sheetName val="Cash Flow Goal"/>
      <sheetName val="Cash Flow Goal Rev"/>
      <sheetName val="CM Variance Explanations"/>
      <sheetName val="YTD Variance Explanations"/>
      <sheetName val="EE Procedures"/>
      <sheetName val="Quarterly Recons Budget"/>
      <sheetName val="CF Recon (Budget)"/>
      <sheetName val="CF Recon (Forecast)"/>
      <sheetName val="Review sheet"/>
      <sheetName val="DL1205"/>
      <sheetName val="216.01"/>
      <sheetName val="07 CF BUD WKST"/>
      <sheetName val="2007 CF Budge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DL12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PROCEDURES"/>
      <sheetName val="CF 9&amp;3 VS BUDGET"/>
      <sheetName val="MEMO"/>
      <sheetName val="ASSUMPTIONS"/>
      <sheetName val="DOWNLOAD"/>
      <sheetName val="MACRO"/>
      <sheetName val="MTHLY RECON"/>
      <sheetName val="Estimates Recon"/>
      <sheetName val="O M"/>
      <sheetName val="INCOME STAT."/>
      <sheetName val="Business Plan"/>
      <sheetName val="Fin. Stmts"/>
      <sheetName val="BALANCE SH."/>
      <sheetName val="Cash Pres 1"/>
      <sheetName val="Cash Pres 2"/>
      <sheetName val="Cash Pres 3"/>
      <sheetName val="Cash Pres 4"/>
      <sheetName val="CF GOALS"/>
      <sheetName val="FOR INCENTIVE GOAL"/>
      <sheetName val="CASH FLOWS"/>
      <sheetName val="CASH FLOWS BKUP"/>
      <sheetName val="CF BKUP TECO ENERGY"/>
      <sheetName val="CAPITAL"/>
      <sheetName val="ROE"/>
      <sheetName val="STOCK"/>
      <sheetName val="REVENUE"/>
      <sheetName val="OTHER INC."/>
      <sheetName val="Gasifier Amort."/>
      <sheetName val="BS ACCTS"/>
      <sheetName val="IS ACCTS"/>
      <sheetName val="OOR"/>
      <sheetName val="GOAL 7 BUD"/>
      <sheetName val="OOR TEFIS"/>
      <sheetName val="O_INC_DED"/>
      <sheetName val="O_INC_DED TEFIS"/>
      <sheetName val="DEF REV INT 99"/>
      <sheetName val="DEF REV INT 98"/>
      <sheetName val="DEF REV JE"/>
      <sheetName val="REV REFUND "/>
      <sheetName val="INT EXP"/>
      <sheetName val="INT ANALYSIS"/>
      <sheetName val="DEF REV INT 95"/>
      <sheetName val="DEF REV INT 96"/>
      <sheetName val="DEF REV INT 97"/>
      <sheetName val="OOR MEMO"/>
      <sheetName val="PLANT"/>
      <sheetName val="HEADING"/>
      <sheetName val="OBBSACCTS"/>
      <sheetName val="OBISACCTS"/>
      <sheetName val="VBSACCTS"/>
      <sheetName val="VISACCTS"/>
      <sheetName val="CONS ROI"/>
      <sheetName val="ENVIR ROI"/>
      <sheetName val="OTHER"/>
      <sheetName val="ENRGYCONSOL"/>
      <sheetName val="ENRGY PLAN BOOK"/>
      <sheetName val="PYBSACCTS"/>
      <sheetName val="PYISACCTS"/>
      <sheetName val="RECONS"/>
      <sheetName val="RANGENAMES"/>
      <sheetName val="PE_C_actual"/>
      <sheetName val="PE_C Bud"/>
      <sheetName val="Polk_recon"/>
      <sheetName val="OUTPUT TO LINES"/>
      <sheetName val="OBINCOME STAT."/>
      <sheetName val="OBREVENUE"/>
      <sheetName val="OOR VAR"/>
      <sheetName val="BUDGET RECON"/>
      <sheetName val="FUEL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#REF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Manual Data"/>
      <sheetName val="OR Info"/>
      <sheetName val="Sheet1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ANNUAL"/>
      <sheetName val="Surplus MWH"/>
      <sheetName val="Polk 1 Gasifier EAF"/>
      <sheetName val="Jan - Sep"/>
      <sheetName val="Oct - Dec"/>
      <sheetName val="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 ACCOUNTS"/>
      <sheetName val="SURV ACCOUNTS"/>
      <sheetName val="T.O.C."/>
      <sheetName val="SURV INPUTS"/>
      <sheetName val="WC INPUTS"/>
      <sheetName val="WC"/>
      <sheetName val="SURV REPORT"/>
      <sheetName val="SR Sch 2-3-3"/>
      <sheetName val="cap struc adj"/>
      <sheetName val="cap struc adj yr end"/>
      <sheetName val="Cap struc avg"/>
      <sheetName val="Cap struc yer-end"/>
      <sheetName val="RB vs CAP"/>
      <sheetName val="TRANS SEP"/>
      <sheetName val="PRINTING"/>
      <sheetName val="2018-2019Jun"/>
      <sheetName val="COMP to Act"/>
      <sheetName val="COMP to monthly"/>
      <sheetName val="COMP to Budget"/>
      <sheetName val="COMP to forecast"/>
      <sheetName val="ROE Recon Actual"/>
      <sheetName val="ROE Recon Forecast"/>
      <sheetName val="ROE Recon Budget"/>
      <sheetName val="ROE Ratios"/>
      <sheetName val="ROR Adjustments"/>
      <sheetName val="Equity Adjustments"/>
      <sheetName val="ROE Detail"/>
      <sheetName val="Misc Adj's tab N"/>
      <sheetName val="OCI and Adj's Tab MC"/>
      <sheetName val="Cash Flow tab W"/>
      <sheetName val="NOTE"/>
      <sheetName val="Doc Re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INPUTS"/>
      <sheetName val="SURV REPORT"/>
      <sheetName val="Update Sep Factors"/>
      <sheetName val="TRANS SEP"/>
      <sheetName val="WC INPUTS"/>
      <sheetName val="PRINTING"/>
      <sheetName val="WC"/>
      <sheetName val="NOTE"/>
      <sheetName val="RB vs CAP"/>
      <sheetName val="COMP Plan"/>
      <sheetName val="COMP Plan by AT"/>
      <sheetName val="COMP Act 2005"/>
      <sheetName val="COMP 12-2 vs 02-6"/>
      <sheetName val="COMP after ARO adj"/>
      <sheetName val="05 vs 06 COS"/>
      <sheetName val="COMP Stretch"/>
      <sheetName val="JSC Request"/>
      <sheetName val="ROE Ratios"/>
      <sheetName val="ROR Adjustments"/>
      <sheetName val="Equity Adjustments"/>
      <sheetName val="ROE Recon"/>
      <sheetName val="Recon Summary"/>
      <sheetName val="NI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6"/>
      <sheetName val="C-6 (2)"/>
      <sheetName val="C-6 (3)"/>
      <sheetName val="C-6 (4)"/>
      <sheetName val="Historical Actual"/>
      <sheetName val="Historical Budget"/>
      <sheetName val="Probud 08"/>
      <sheetName val="Historical Actual_other"/>
      <sheetName val="Historical Budget_other"/>
      <sheetName val="2003 Fuel Budget"/>
      <sheetName val="DL 1207"/>
      <sheetName val="DL 1206"/>
      <sheetName val="DL 1205"/>
      <sheetName val="DL 1204"/>
      <sheetName val="DL 1203"/>
      <sheetName val="IS ACCTS 2008"/>
      <sheetName val="IS ACCTS 2007"/>
      <sheetName val="IS ACCTS 2006"/>
      <sheetName val="IS ACCTS 2005"/>
      <sheetName val="IS ACCTS 2004"/>
      <sheetName val="IS ACCTS 2003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SR Sch 2-3-3"/>
      <sheetName val="cap struc adj"/>
      <sheetName val="cap struc adj yr end"/>
      <sheetName val="RB vs CAP"/>
      <sheetName val="TRANS SEP"/>
      <sheetName val="WC INPUTS"/>
      <sheetName val="WC"/>
      <sheetName val="PRINTING"/>
      <sheetName val="COMP to Act"/>
      <sheetName val="COMP to 11+1"/>
      <sheetName val="COMP to Budget"/>
      <sheetName val="ROE Ratios"/>
      <sheetName val="ROR Adjustments"/>
      <sheetName val="Equity Adjustments"/>
      <sheetName val="ROE Recon Actual"/>
      <sheetName val="ROE Recon Prior"/>
      <sheetName val="ROE Recon Actual &amp; Forc"/>
      <sheetName val="OCI and Adj's"/>
      <sheetName val="Misc Adj's"/>
      <sheetName val="NOTE"/>
      <sheetName val="Cash 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A-2"/>
      <sheetName val="A-3"/>
      <sheetName val="A-4"/>
      <sheetName val="A-5"/>
      <sheetName val="B-1"/>
      <sheetName val="B-2"/>
      <sheetName val="B-3"/>
      <sheetName val="B-4"/>
      <sheetName val="B-5"/>
      <sheetName val="B-6"/>
      <sheetName val="B-7"/>
      <sheetName val="B-8"/>
      <sheetName val="B-9"/>
      <sheetName val="B-10"/>
      <sheetName val="B-11"/>
      <sheetName val="B-12"/>
      <sheetName val="B-13"/>
      <sheetName val="B-14"/>
      <sheetName val="B-15"/>
      <sheetName val="B-16"/>
      <sheetName val="B-17"/>
      <sheetName val="B-18"/>
      <sheetName val="B-19"/>
      <sheetName val="B-20"/>
      <sheetName val="B-21"/>
      <sheetName val="B-22"/>
      <sheetName val="B-23"/>
      <sheetName val="B-24"/>
      <sheetName val="B-25"/>
      <sheetName val="C-1"/>
      <sheetName val="C-2"/>
      <sheetName val="C-3"/>
      <sheetName val="C-4"/>
      <sheetName val="C-5"/>
      <sheetName val="C-6"/>
      <sheetName val="C-7"/>
      <sheetName val="C-8"/>
      <sheetName val="C-9"/>
      <sheetName val="C-10"/>
      <sheetName val="C-11"/>
      <sheetName val="C-12"/>
      <sheetName val="C-13"/>
      <sheetName val="C-14"/>
      <sheetName val="C-15"/>
      <sheetName val="C-16"/>
      <sheetName val="C-17"/>
      <sheetName val="C-18"/>
      <sheetName val="C-19"/>
      <sheetName val="C-20"/>
      <sheetName val="C-21"/>
      <sheetName val="C-22"/>
      <sheetName val="C-23"/>
      <sheetName val="C-24"/>
      <sheetName val="C-25"/>
      <sheetName val="C-26"/>
      <sheetName val="C-27"/>
      <sheetName val="C-28"/>
      <sheetName val="C-29"/>
      <sheetName val="C-30"/>
      <sheetName val="C-31"/>
      <sheetName val="C-32"/>
      <sheetName val="C-33"/>
      <sheetName val="C-34"/>
      <sheetName val="C-35"/>
      <sheetName val="C-36"/>
      <sheetName val="C-37"/>
      <sheetName val="C-38"/>
      <sheetName val="C-39"/>
      <sheetName val="C-40"/>
      <sheetName val="C-41"/>
      <sheetName val="C-42"/>
      <sheetName val="C-43"/>
      <sheetName val="C-44"/>
      <sheetName val="D-1a"/>
      <sheetName val="D-1b"/>
      <sheetName val="D-2"/>
      <sheetName val="D-3"/>
      <sheetName val="D-4a"/>
      <sheetName val="D-4b"/>
      <sheetName val="D-5"/>
      <sheetName val="D-6"/>
      <sheetName val="D-7"/>
      <sheetName val="D-8"/>
      <sheetName val="D-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-4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-8"/>
      <sheetName val="C-30"/>
      <sheetName val="C-31"/>
      <sheetName val="C-35"/>
      <sheetName val="C-36"/>
      <sheetName val="C-38"/>
      <sheetName val="C-39"/>
      <sheetName val="C-40"/>
      <sheetName val="C-41"/>
      <sheetName val="C-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Data"/>
      <sheetName val="Schedules"/>
      <sheetName val="A-1"/>
      <sheetName val="A-2"/>
      <sheetName val="A-3"/>
      <sheetName val="A-4"/>
      <sheetName val="A-5"/>
      <sheetName val="BalDat"/>
      <sheetName val="BsWksHY"/>
      <sheetName val="B-1"/>
      <sheetName val="B-2"/>
      <sheetName val="B-3"/>
      <sheetName val="B-4"/>
      <sheetName val="B-5"/>
      <sheetName val="B-6"/>
      <sheetName val="B-7"/>
      <sheetName val="B-8"/>
      <sheetName val="B-9"/>
      <sheetName val="B-10"/>
      <sheetName val="B-11"/>
      <sheetName val="B-12"/>
      <sheetName val="B-13"/>
      <sheetName val="B-14"/>
      <sheetName val="B-15"/>
      <sheetName val="B-16"/>
      <sheetName val="B-17"/>
      <sheetName val="B-18"/>
      <sheetName val="B-19"/>
      <sheetName val="B-20"/>
      <sheetName val="B-21"/>
      <sheetName val="B-22"/>
      <sheetName val="B-23"/>
      <sheetName val="B-24"/>
      <sheetName val="B-25"/>
      <sheetName val="C-1"/>
      <sheetName val="C-2"/>
      <sheetName val="C-3"/>
      <sheetName val="C-4"/>
      <sheetName val="C-5"/>
      <sheetName val="C-6"/>
      <sheetName val="C-7"/>
      <sheetName val="C-8"/>
      <sheetName val="C-9"/>
      <sheetName val="C-10"/>
      <sheetName val="C-11"/>
      <sheetName val="C-12"/>
      <sheetName val="C-13"/>
      <sheetName val="C-14"/>
      <sheetName val="C-15"/>
      <sheetName val="C-16"/>
      <sheetName val="C-17"/>
      <sheetName val="C-18"/>
      <sheetName val="C-19"/>
      <sheetName val="C-20"/>
      <sheetName val="C-21"/>
      <sheetName val="C-22"/>
      <sheetName val="C-23"/>
      <sheetName val="C-24"/>
      <sheetName val="C-25"/>
      <sheetName val="C-26"/>
      <sheetName val="C-27"/>
      <sheetName val="C-28"/>
      <sheetName val="C-29"/>
      <sheetName val="C-30"/>
      <sheetName val="C-31"/>
      <sheetName val="C-32"/>
      <sheetName val="C-33"/>
      <sheetName val="C-34"/>
      <sheetName val="C-35"/>
      <sheetName val="C-36"/>
      <sheetName val="C-37"/>
      <sheetName val="C-38"/>
      <sheetName val="C-39"/>
      <sheetName val="C-40"/>
      <sheetName val="C-41"/>
      <sheetName val="C-42"/>
      <sheetName val="C-43"/>
      <sheetName val="C-44"/>
      <sheetName val="D-1a"/>
      <sheetName val="D-4a"/>
      <sheetName val="D-4b"/>
      <sheetName val="D-5"/>
      <sheetName val="D-6"/>
      <sheetName val="D-7"/>
      <sheetName val="D-8"/>
      <sheetName val="D-9"/>
    </sheetNames>
    <sheetDataSet>
      <sheetData sheetId="0" refreshError="1">
        <row r="6">
          <cell r="B6" t="str">
            <v>2019####-EI</v>
          </cell>
        </row>
        <row r="7">
          <cell r="B7" t="str">
            <v>DOCKET No. 2019####-EI</v>
          </cell>
        </row>
        <row r="12">
          <cell r="B12">
            <v>2020</v>
          </cell>
        </row>
        <row r="13">
          <cell r="B13">
            <v>2019</v>
          </cell>
        </row>
        <row r="14">
          <cell r="B14">
            <v>2018</v>
          </cell>
        </row>
        <row r="24">
          <cell r="B24" t="str">
            <v>Projected Test Year Ended 12/31/2020</v>
          </cell>
        </row>
        <row r="25">
          <cell r="B25" t="str">
            <v>Projected Prior Year Ended 12/31/2019</v>
          </cell>
        </row>
        <row r="26">
          <cell r="B26" t="str">
            <v>Historical Prior Year Ended 12/31/2018</v>
          </cell>
        </row>
      </sheetData>
      <sheetData sheetId="1" refreshError="1">
        <row r="3">
          <cell r="C3" t="str">
            <v>Schedule A-1</v>
          </cell>
          <cell r="D3" t="str">
            <v>FULL REVENUE REQUIREMENTS INCREASE REQUESTED</v>
          </cell>
          <cell r="E3" t="str">
            <v>J. S. Chronister</v>
          </cell>
          <cell r="F3" t="str">
            <v>B-1,C-1,C-44,D-1a</v>
          </cell>
          <cell r="G3" t="str">
            <v xml:space="preserve"> </v>
          </cell>
        </row>
        <row r="4">
          <cell r="C4" t="str">
            <v>Schedule A-2</v>
          </cell>
          <cell r="D4" t="str">
            <v>FULL REVENUE REQUIREMENTS BILL COMPARISON - TYPICAL MONTHLY BILLS</v>
          </cell>
          <cell r="E4" t="str">
            <v>W. R. Ashburn</v>
          </cell>
          <cell r="F4" t="str">
            <v>E-13c, E-14 Supplement</v>
          </cell>
          <cell r="G4" t="str">
            <v xml:space="preserve"> </v>
          </cell>
        </row>
        <row r="5">
          <cell r="C5" t="str">
            <v>Schedule A-3</v>
          </cell>
          <cell r="D5" t="str">
            <v>SUMMARY OF TARIFFS</v>
          </cell>
          <cell r="E5" t="str">
            <v>W. R. Ashburn</v>
          </cell>
          <cell r="F5" t="str">
            <v>E-7, E-14 Supplement</v>
          </cell>
        </row>
        <row r="6">
          <cell r="C6" t="str">
            <v>Schedule A-4</v>
          </cell>
          <cell r="D6" t="str">
            <v>INTERIM REVENUE REQUIREMENTS INCREASE REQUESTED</v>
          </cell>
          <cell r="E6" t="str">
            <v>Not Applicable</v>
          </cell>
        </row>
        <row r="7">
          <cell r="C7" t="str">
            <v>Schedule A-5</v>
          </cell>
          <cell r="D7" t="str">
            <v>INTERIM REVENUE REQUIREMENTS BILL COMPARISON - TYPICAL MONTHLY BILLS</v>
          </cell>
          <cell r="E7" t="str">
            <v>Not Applicable</v>
          </cell>
        </row>
        <row r="9">
          <cell r="C9" t="str">
            <v>Schedule B-1</v>
          </cell>
          <cell r="D9" t="str">
            <v>ADJUSTED RATE BASE</v>
          </cell>
          <cell r="E9" t="str">
            <v>J. S. Chronister/W. R. Ashburn</v>
          </cell>
          <cell r="F9" t="str">
            <v>B-2, B-3, B-6</v>
          </cell>
          <cell r="G9" t="str">
            <v>A-1</v>
          </cell>
        </row>
        <row r="10">
          <cell r="C10" t="str">
            <v>Schedule B-2</v>
          </cell>
          <cell r="D10" t="str">
            <v>RATE BASE ADJUSTMENTS</v>
          </cell>
          <cell r="E10" t="str">
            <v>J. S. Chronister/W. R. Ashburn</v>
          </cell>
          <cell r="F10" t="str">
            <v xml:space="preserve"> </v>
          </cell>
          <cell r="G10" t="str">
            <v>B-1</v>
          </cell>
        </row>
        <row r="11">
          <cell r="C11" t="str">
            <v>Schedule B-3</v>
          </cell>
          <cell r="D11" t="str">
            <v>13 MONTH AVERAGE BALANCE SHEET - SYSTEM BASIS</v>
          </cell>
          <cell r="E11" t="str">
            <v>J. S. Chronister</v>
          </cell>
          <cell r="F11" t="str">
            <v xml:space="preserve"> </v>
          </cell>
          <cell r="G11" t="str">
            <v>B-1</v>
          </cell>
        </row>
        <row r="12">
          <cell r="C12" t="str">
            <v>Schedule B-4</v>
          </cell>
          <cell r="D12" t="str">
            <v>TWO YEAR HISTORICAL BALANCE SHEET</v>
          </cell>
          <cell r="E12" t="str">
            <v>J. S. Chronister</v>
          </cell>
          <cell r="F12" t="str">
            <v xml:space="preserve"> </v>
          </cell>
        </row>
        <row r="13">
          <cell r="C13" t="str">
            <v>Schedule B-5</v>
          </cell>
          <cell r="D13" t="str">
            <v>DETAIL OF CHANGES IN RATE BASE</v>
          </cell>
          <cell r="E13" t="str">
            <v>J. S. Chronister</v>
          </cell>
          <cell r="F13" t="str">
            <v xml:space="preserve"> </v>
          </cell>
          <cell r="G13" t="str">
            <v>B-6</v>
          </cell>
        </row>
        <row r="14">
          <cell r="C14" t="str">
            <v>Schedule B-6</v>
          </cell>
          <cell r="D14" t="str">
            <v>JURISDICTIONAL SEPARATION FACTORS-RATE BASE</v>
          </cell>
          <cell r="E14" t="str">
            <v>J. S. Chronister/W. R. Ashburn</v>
          </cell>
          <cell r="F14" t="str">
            <v>B-5, B-7, B-9, B-15, B-16, B-17</v>
          </cell>
          <cell r="G14" t="str">
            <v>B-1</v>
          </cell>
        </row>
        <row r="15">
          <cell r="C15" t="str">
            <v>Schedule B-7</v>
          </cell>
          <cell r="D15" t="str">
            <v>PLANT BALANCES BY ACCOUNT AND SUB-ACCOUNT</v>
          </cell>
          <cell r="E15" t="str">
            <v>J. S. Chronister</v>
          </cell>
          <cell r="F15" t="str">
            <v>B-8, B-11</v>
          </cell>
          <cell r="G15" t="str">
            <v>B-3, B-6</v>
          </cell>
        </row>
        <row r="16">
          <cell r="C16" t="str">
            <v>Schedule B-8</v>
          </cell>
          <cell r="D16" t="str">
            <v>MONTHLY PLANT BALANCES TEST YEAR-13 MONTHS</v>
          </cell>
          <cell r="E16" t="str">
            <v>J. S. Chronister</v>
          </cell>
          <cell r="F16" t="str">
            <v xml:space="preserve"> </v>
          </cell>
          <cell r="G16" t="str">
            <v>B-7</v>
          </cell>
        </row>
        <row r="17">
          <cell r="C17" t="str">
            <v>Schedule B-9</v>
          </cell>
          <cell r="D17" t="str">
            <v>DEPRECIATION RESERVE BALANCES BY ACCOUNT AND SUB-ACCOUNT</v>
          </cell>
          <cell r="E17" t="str">
            <v>J. S. Chronister</v>
          </cell>
          <cell r="F17" t="str">
            <v>B-10, B-11</v>
          </cell>
          <cell r="G17" t="str">
            <v>B-3, B-6</v>
          </cell>
        </row>
        <row r="18">
          <cell r="C18" t="str">
            <v>Schedule B-10</v>
          </cell>
          <cell r="D18" t="str">
            <v>MONTHLY RESERVE BALANCES TEST YEAR-13 MONTHS</v>
          </cell>
          <cell r="E18" t="str">
            <v>J. S. Chronister</v>
          </cell>
          <cell r="G18" t="str">
            <v>B-9</v>
          </cell>
        </row>
        <row r="19">
          <cell r="C19" t="str">
            <v>Schedule B-11</v>
          </cell>
          <cell r="D19" t="str">
            <v>CAPITAL ADDITIONS AND RETIREMENTS</v>
          </cell>
          <cell r="E19" t="str">
            <v>J. S. Chronister/M. J. Hornick</v>
          </cell>
          <cell r="G19" t="str">
            <v>B-7, B-9</v>
          </cell>
        </row>
        <row r="20">
          <cell r="C20" t="str">
            <v>Schedule B-12</v>
          </cell>
          <cell r="D20" t="str">
            <v>PRODUCTION PLANT ADDITIONS</v>
          </cell>
          <cell r="E20" t="str">
            <v>J. S. Chronister/M. J. Hornick</v>
          </cell>
          <cell r="G20" t="str">
            <v>B-7, B-9</v>
          </cell>
        </row>
        <row r="21">
          <cell r="C21" t="str">
            <v>Schedule B-13</v>
          </cell>
          <cell r="D21" t="str">
            <v>CONSTRUCTION WORK IN PROGRESS</v>
          </cell>
          <cell r="E21" t="str">
            <v>J. S. Chronister/M. J. Hornick/</v>
          </cell>
          <cell r="G21" t="str">
            <v>B-3</v>
          </cell>
        </row>
        <row r="22">
          <cell r="E22" t="str">
            <v>S. E. Young/W. R. Ashburn</v>
          </cell>
        </row>
        <row r="23">
          <cell r="C23" t="str">
            <v>Schedule B-14</v>
          </cell>
          <cell r="D23" t="str">
            <v>EARNINGS TEST</v>
          </cell>
          <cell r="E23" t="str">
            <v>S. W. Callahan</v>
          </cell>
          <cell r="F23" t="str">
            <v>D-1a, D-9</v>
          </cell>
        </row>
        <row r="24">
          <cell r="C24" t="str">
            <v>Schedule B-15</v>
          </cell>
          <cell r="D24" t="str">
            <v>PROPERTY HELD FOR FUTURE USE-13 MONTH AVERAGE</v>
          </cell>
          <cell r="E24" t="str">
            <v>J. S. Chronister/W. R. Ashburn</v>
          </cell>
        </row>
        <row r="25">
          <cell r="E25" t="str">
            <v>S. E. Young</v>
          </cell>
        </row>
        <row r="26">
          <cell r="C26" t="str">
            <v>Schedule B-16</v>
          </cell>
          <cell r="D26" t="str">
            <v>NUCLEAR FUEL BALANCES</v>
          </cell>
          <cell r="E26" t="str">
            <v>Not Applicable</v>
          </cell>
        </row>
        <row r="27">
          <cell r="C27" t="str">
            <v>Schedule B-17</v>
          </cell>
          <cell r="D27" t="str">
            <v>WORKING CAPITAL-13 MONTH AVERAGE</v>
          </cell>
          <cell r="E27" t="str">
            <v>J. S. Chronister/W. R. Ashburn</v>
          </cell>
          <cell r="F27" t="str">
            <v>B-3</v>
          </cell>
        </row>
        <row r="28">
          <cell r="C28" t="str">
            <v>Schedule B-18</v>
          </cell>
          <cell r="D28" t="str">
            <v>FUEL INVENTORY BY PLANT</v>
          </cell>
          <cell r="E28" t="str">
            <v>J. S. Chronister / J.B. Caldwell</v>
          </cell>
        </row>
        <row r="29">
          <cell r="C29" t="str">
            <v>Schedule B-19</v>
          </cell>
          <cell r="D29" t="str">
            <v>MISCELLANEOUS DEFERRED DEBITS</v>
          </cell>
          <cell r="E29" t="str">
            <v>J. S. Chronister</v>
          </cell>
          <cell r="F29" t="str">
            <v>B-3</v>
          </cell>
        </row>
        <row r="30">
          <cell r="C30" t="str">
            <v>Schedule B-20</v>
          </cell>
          <cell r="D30" t="str">
            <v>OTHER DEFERRED CREDITS</v>
          </cell>
          <cell r="E30" t="str">
            <v>J. S. Chronister</v>
          </cell>
          <cell r="F30" t="str">
            <v>B-3</v>
          </cell>
        </row>
        <row r="31">
          <cell r="C31" t="str">
            <v>Schedule B-21</v>
          </cell>
          <cell r="D31" t="str">
            <v>ACCUMULATED PROVISION ACCOUNTS-228.1, 228.2 AND 228.4</v>
          </cell>
          <cell r="E31" t="str">
            <v>J. S. Chronister/E. L. Carson</v>
          </cell>
          <cell r="G31" t="str">
            <v>B-3</v>
          </cell>
        </row>
        <row r="32">
          <cell r="C32" t="str">
            <v>Schedule B-22</v>
          </cell>
          <cell r="D32" t="str">
            <v>TOTAL ACCUMULATED DEFERRED INCOME TAXES</v>
          </cell>
          <cell r="E32" t="str">
            <v>J. S. Chronister</v>
          </cell>
        </row>
        <row r="33">
          <cell r="C33" t="str">
            <v>Schedule B-23</v>
          </cell>
          <cell r="D33" t="str">
            <v>INVESTMENT TAX CREDITS-ANNUAL ANALYSIS</v>
          </cell>
          <cell r="E33" t="str">
            <v>J. S. Chronister</v>
          </cell>
        </row>
        <row r="34">
          <cell r="C34" t="str">
            <v>Schedule B-24</v>
          </cell>
          <cell r="D34" t="str">
            <v>LEASING ARRANGEMENTS</v>
          </cell>
          <cell r="E34" t="str">
            <v>J. S. Chronister</v>
          </cell>
        </row>
        <row r="35">
          <cell r="C35" t="str">
            <v>Schedule B-25</v>
          </cell>
          <cell r="D35" t="str">
            <v>ACCOUNTING POLICY CHANGES AFFECTING RATE BASE</v>
          </cell>
          <cell r="E35" t="str">
            <v>J. S. Chronister</v>
          </cell>
        </row>
        <row r="37">
          <cell r="C37" t="str">
            <v>Schedule C-1</v>
          </cell>
          <cell r="D37" t="str">
            <v xml:space="preserve">ADJUSTED JURISDICTIONAL NET OPERATING INCOME </v>
          </cell>
          <cell r="E37" t="str">
            <v>J. S. Chronister/W. R. Ashburn</v>
          </cell>
          <cell r="F37" t="str">
            <v>C-2, C-4, C-6</v>
          </cell>
          <cell r="G37" t="str">
            <v>A-1</v>
          </cell>
        </row>
        <row r="38">
          <cell r="C38" t="str">
            <v>Schedule C-2</v>
          </cell>
          <cell r="D38" t="str">
            <v>NET OPERATING INCOME ADJUSTMENTS</v>
          </cell>
          <cell r="E38" t="str">
            <v>J. S. Chronister</v>
          </cell>
          <cell r="F38" t="str">
            <v>C-3</v>
          </cell>
          <cell r="G38" t="str">
            <v>C-1</v>
          </cell>
        </row>
        <row r="39">
          <cell r="C39" t="str">
            <v>Schedule C-3</v>
          </cell>
          <cell r="D39" t="str">
            <v>JURISDICTIONAL NET OPERATING INCOME ADJUSTMENTS</v>
          </cell>
          <cell r="E39" t="str">
            <v>J. S. Chronister/W. R. Ashburn</v>
          </cell>
          <cell r="G39" t="str">
            <v>C-2</v>
          </cell>
        </row>
        <row r="40">
          <cell r="C40" t="str">
            <v>Schedule C-4</v>
          </cell>
          <cell r="D40" t="str">
            <v>JURISDICTIONAL SEPARATION FACTORS-NET OPERATING INCOME</v>
          </cell>
          <cell r="E40" t="str">
            <v>J. S. Chronister/W. R. Ashburn</v>
          </cell>
          <cell r="F40" t="str">
            <v>C-19, C-20, C-21, C-22</v>
          </cell>
          <cell r="G40" t="str">
            <v>C-1</v>
          </cell>
        </row>
        <row r="41">
          <cell r="C41" t="str">
            <v>Schedule C-5</v>
          </cell>
          <cell r="D41" t="str">
            <v>OPERATING REVENUES DETAIL</v>
          </cell>
          <cell r="E41" t="str">
            <v>J. S. Chronister/W. R. Ashburn</v>
          </cell>
        </row>
        <row r="42">
          <cell r="C42" t="str">
            <v>Schedule C-6</v>
          </cell>
          <cell r="D42" t="str">
            <v>BUDGETED VERSUS ACTUAL OPERATING REVENUES AND EXPENSES</v>
          </cell>
          <cell r="E42" t="str">
            <v>J. S. Chronister</v>
          </cell>
          <cell r="G42" t="str">
            <v>C-9, C-33, C-36</v>
          </cell>
        </row>
        <row r="43">
          <cell r="C43" t="str">
            <v>Schedule C-7</v>
          </cell>
          <cell r="D43" t="str">
            <v>OPERATION AND MAINTENANCE EXPENSES-TEST YEAR</v>
          </cell>
          <cell r="E43" t="str">
            <v>Not Applicable</v>
          </cell>
        </row>
        <row r="44">
          <cell r="C44" t="str">
            <v>Schedule C-8</v>
          </cell>
          <cell r="D44" t="str">
            <v>DETAIL OF CHANGES IN EXPENSES</v>
          </cell>
          <cell r="E44" t="str">
            <v>J. S. Chronister/M. J. Hornick</v>
          </cell>
          <cell r="G44" t="str">
            <v>C-4</v>
          </cell>
        </row>
        <row r="45">
          <cell r="E45" t="str">
            <v>S. E. Young/J. B. Caldwell/B. J. Register</v>
          </cell>
        </row>
        <row r="46">
          <cell r="C46" t="str">
            <v>Schedule C-9</v>
          </cell>
          <cell r="D46" t="str">
            <v>FIVE YEAR ANALYSIS-CHANGE IN COST</v>
          </cell>
          <cell r="E46" t="str">
            <v>J. S. Chronister/M. J. Hornick</v>
          </cell>
          <cell r="F46" t="str">
            <v>C-6</v>
          </cell>
        </row>
        <row r="47">
          <cell r="E47" t="str">
            <v>S. E. Young/J. B. Caldwell</v>
          </cell>
        </row>
        <row r="48">
          <cell r="C48" t="str">
            <v>Schedule C-10</v>
          </cell>
          <cell r="D48" t="str">
            <v>DETAIL OF RATE CASE EXPENSES FOR OUTSIDE CONSULTANTS</v>
          </cell>
          <cell r="E48" t="str">
            <v>J. S. Chronister</v>
          </cell>
        </row>
        <row r="49">
          <cell r="C49" t="str">
            <v>Schedule C-11</v>
          </cell>
          <cell r="D49" t="str">
            <v>UNCOLLECTIBLE ACCOUNTS</v>
          </cell>
          <cell r="E49" t="str">
            <v>J. S. Chronister</v>
          </cell>
          <cell r="G49" t="str">
            <v>C-44</v>
          </cell>
        </row>
        <row r="50">
          <cell r="C50" t="str">
            <v>Schedule C-12</v>
          </cell>
          <cell r="D50" t="str">
            <v>ADMINISTRATIVE EXPENSES</v>
          </cell>
          <cell r="E50" t="str">
            <v>J. S. Chronister</v>
          </cell>
          <cell r="F50" t="str">
            <v>C-4, C-6, C-13</v>
          </cell>
        </row>
        <row r="51">
          <cell r="C51" t="str">
            <v>Schedule C-13</v>
          </cell>
          <cell r="D51" t="str">
            <v>MISCELLANEOUS GENERAL EXPENSES</v>
          </cell>
          <cell r="E51" t="str">
            <v>J. S. Chronister/W. R. Ashburn</v>
          </cell>
          <cell r="G51" t="str">
            <v>C-12</v>
          </cell>
        </row>
        <row r="52">
          <cell r="C52" t="str">
            <v>Schedule C-14</v>
          </cell>
          <cell r="D52" t="str">
            <v>ADVERTISING EXPENSES</v>
          </cell>
          <cell r="E52" t="str">
            <v>J. S. Chronister/W. R. Ashburn</v>
          </cell>
        </row>
        <row r="53">
          <cell r="C53" t="str">
            <v>Schedule C-15</v>
          </cell>
          <cell r="D53" t="str">
            <v>INDUSTRY ASSOCIATION DUES</v>
          </cell>
          <cell r="E53" t="str">
            <v>J. S. Chronister/W. R. Ashburn</v>
          </cell>
          <cell r="F53" t="str">
            <v>F-8</v>
          </cell>
        </row>
        <row r="54">
          <cell r="C54" t="str">
            <v>Schedule C-16</v>
          </cell>
          <cell r="D54" t="str">
            <v>OUTSIDE PROFESSIONAL SERVICES</v>
          </cell>
          <cell r="E54" t="str">
            <v>J. S. Chronister</v>
          </cell>
          <cell r="G54" t="str">
            <v>C-12</v>
          </cell>
        </row>
        <row r="55">
          <cell r="C55" t="str">
            <v>Schedule C-17</v>
          </cell>
          <cell r="D55" t="str">
            <v>PENSION COST</v>
          </cell>
          <cell r="E55" t="str">
            <v>J. S. Chronister/B. J. Register</v>
          </cell>
        </row>
        <row r="56">
          <cell r="C56" t="str">
            <v>Schedule C-18</v>
          </cell>
          <cell r="D56" t="str">
            <v>LOBBYING EXPENSES, OTHER POLITICAL EXPENSES &amp; CIVIC/CHARITABLE CONTRIBUTIONS</v>
          </cell>
          <cell r="E56" t="str">
            <v>J. S. Chronister</v>
          </cell>
        </row>
        <row r="57">
          <cell r="C57" t="str">
            <v>Schedule C-19</v>
          </cell>
          <cell r="D57" t="str">
            <v>AMORTIZATION/RECOVERY SCHEDULE-12 MONTHS</v>
          </cell>
          <cell r="E57" t="str">
            <v>J. S. Chronister</v>
          </cell>
        </row>
        <row r="58">
          <cell r="C58" t="str">
            <v>Schedule C-20</v>
          </cell>
          <cell r="D58" t="str">
            <v>TAXES OTHER THAN INCOME TAXES</v>
          </cell>
          <cell r="E58" t="str">
            <v>J. S. Chronister/W. R. Ashburn</v>
          </cell>
          <cell r="F58" t="str">
            <v>C-21</v>
          </cell>
          <cell r="G58" t="str">
            <v>C-4</v>
          </cell>
        </row>
        <row r="59">
          <cell r="C59" t="str">
            <v>Schedule C-21</v>
          </cell>
          <cell r="D59" t="str">
            <v>REVENUE TAXES</v>
          </cell>
          <cell r="E59" t="str">
            <v>J. S. Chronister</v>
          </cell>
          <cell r="F59" t="str">
            <v>C-5</v>
          </cell>
          <cell r="G59" t="str">
            <v>C-20</v>
          </cell>
        </row>
        <row r="60">
          <cell r="C60" t="str">
            <v>Schedule C-22</v>
          </cell>
          <cell r="D60" t="str">
            <v>STATE AND FEDERAL  INCOME TAX CALCULATION</v>
          </cell>
          <cell r="E60" t="str">
            <v>J. S. Chronister</v>
          </cell>
          <cell r="F60" t="str">
            <v>C-23</v>
          </cell>
          <cell r="G60" t="str">
            <v>C-4</v>
          </cell>
        </row>
        <row r="61">
          <cell r="C61" t="str">
            <v>Schedule C-23</v>
          </cell>
          <cell r="D61" t="str">
            <v>INTEREST IN TAX EXPENSE CALCULATION</v>
          </cell>
          <cell r="E61" t="str">
            <v>J. S. Chronister</v>
          </cell>
          <cell r="F61" t="str">
            <v>D-1a, D-1b</v>
          </cell>
          <cell r="G61" t="str">
            <v>C-22, C-4</v>
          </cell>
        </row>
        <row r="62">
          <cell r="C62" t="str">
            <v>Schedule C-24</v>
          </cell>
          <cell r="D62" t="str">
            <v>PARENT(S) DEBT INFORMATION</v>
          </cell>
          <cell r="E62" t="str">
            <v>S. W. Callahan</v>
          </cell>
        </row>
        <row r="63">
          <cell r="C63" t="str">
            <v>Schedule C-25</v>
          </cell>
          <cell r="D63" t="str">
            <v>DEFERRED TAX ADJUSTMENT</v>
          </cell>
          <cell r="E63" t="str">
            <v>J. S. Chronister</v>
          </cell>
        </row>
        <row r="64">
          <cell r="C64" t="str">
            <v>Schedule C-26</v>
          </cell>
          <cell r="D64" t="str">
            <v>INCOME TAX RETURNS</v>
          </cell>
          <cell r="E64" t="str">
            <v>J. S. Chronister</v>
          </cell>
        </row>
        <row r="65">
          <cell r="C65" t="str">
            <v>Schedule C-27</v>
          </cell>
          <cell r="D65" t="str">
            <v>CONSOLIDATED TAX INFORMATION</v>
          </cell>
          <cell r="E65" t="str">
            <v>J. S. Chronister</v>
          </cell>
        </row>
        <row r="66">
          <cell r="C66" t="str">
            <v>Schedule C-28</v>
          </cell>
          <cell r="D66" t="str">
            <v>MISCELLANEOUS TAX INFORMATION</v>
          </cell>
          <cell r="E66" t="str">
            <v>J. S. Chronister</v>
          </cell>
        </row>
        <row r="67">
          <cell r="C67" t="str">
            <v>Schedule C-29</v>
          </cell>
          <cell r="D67" t="str">
            <v>GAINS AND LOSSES ON DISPOSITION OF PLANT AND PROPERTY</v>
          </cell>
          <cell r="E67" t="str">
            <v>J. S. Chronister</v>
          </cell>
        </row>
        <row r="68">
          <cell r="C68" t="str">
            <v>Schedule C-30</v>
          </cell>
          <cell r="D68" t="str">
            <v>TRANSACTIONS WITH AFFILIATED COMPANIES</v>
          </cell>
          <cell r="E68" t="str">
            <v>J. S. Chronister</v>
          </cell>
          <cell r="G68" t="str">
            <v>C-31</v>
          </cell>
        </row>
        <row r="69">
          <cell r="C69" t="str">
            <v>Schedule C-31</v>
          </cell>
          <cell r="D69" t="str">
            <v>AFFILIATED COMPANY RELATIONSHIPS</v>
          </cell>
          <cell r="E69" t="str">
            <v>J. S. Chronister</v>
          </cell>
          <cell r="G69" t="str">
            <v>C-30</v>
          </cell>
        </row>
        <row r="70">
          <cell r="C70" t="str">
            <v>Schedule C-32</v>
          </cell>
          <cell r="D70" t="str">
            <v>NON-UTILITY OPERATIONS UTILIZING UTILITY ASSETS</v>
          </cell>
          <cell r="E70" t="str">
            <v>J. S. Chronister</v>
          </cell>
        </row>
        <row r="71">
          <cell r="C71" t="str">
            <v>Schedule C-33</v>
          </cell>
          <cell r="D71" t="str">
            <v>PERFORMANCE INDICES</v>
          </cell>
          <cell r="E71" t="str">
            <v>J. S. Chronister/M. J. Hornick</v>
          </cell>
          <cell r="F71" t="str">
            <v>C-40, C-6, B-4</v>
          </cell>
        </row>
        <row r="72">
          <cell r="E72" t="str">
            <v>S. E. Young/L . L. Cifuentes</v>
          </cell>
        </row>
        <row r="73">
          <cell r="C73" t="str">
            <v>Schedule C-34</v>
          </cell>
          <cell r="D73" t="str">
            <v>STATISTICAL INFORMATION</v>
          </cell>
          <cell r="E73" t="str">
            <v>L. L. Cifuentes/S. E. Young</v>
          </cell>
        </row>
        <row r="74">
          <cell r="E74" t="str">
            <v>M. J Hornick</v>
          </cell>
        </row>
        <row r="75">
          <cell r="C75" t="str">
            <v>Schedule C-35</v>
          </cell>
          <cell r="D75" t="str">
            <v>PAYROLL AND FRINGE BENEFIT INCREASES COMPARED TO CPI</v>
          </cell>
          <cell r="E75" t="str">
            <v>J. S. Chronister/B. J. Register</v>
          </cell>
          <cell r="F75" t="str">
            <v>C-6, C-40</v>
          </cell>
        </row>
        <row r="76">
          <cell r="E76" t="str">
            <v>L. L. Cifuentes</v>
          </cell>
        </row>
        <row r="77">
          <cell r="C77" t="str">
            <v>Schedule C-36</v>
          </cell>
          <cell r="D77" t="str">
            <v>NON-FUEL OPERATION AND MAINTENANCE EXPENSE COMPARED TO CPI</v>
          </cell>
          <cell r="E77" t="str">
            <v>J. S. Chronister/B. J. Register</v>
          </cell>
          <cell r="F77" t="str">
            <v>C-6, C-38, C-40</v>
          </cell>
        </row>
        <row r="78">
          <cell r="E78" t="str">
            <v>L. L. Cifuentes</v>
          </cell>
        </row>
        <row r="79">
          <cell r="C79" t="str">
            <v>Schedule C-37</v>
          </cell>
          <cell r="D79" t="str">
            <v>O &amp; M BENCHMARK COMPARISON BY FUNCTION</v>
          </cell>
          <cell r="E79" t="str">
            <v>J. S. Chronister/M. J. Hornick</v>
          </cell>
          <cell r="F79" t="str">
            <v>C-8, C-9, C-38, C-39, C-40</v>
          </cell>
          <cell r="G79" t="str">
            <v>C-41</v>
          </cell>
        </row>
        <row r="80">
          <cell r="E80" t="str">
            <v>S. E. Young/J. B. Caldwell</v>
          </cell>
        </row>
        <row r="81">
          <cell r="C81" t="str">
            <v>Schedule C-38</v>
          </cell>
          <cell r="D81" t="str">
            <v>O &amp; M ADJUSTMENTS BY FUNCTION</v>
          </cell>
          <cell r="E81" t="str">
            <v>J. S. Chronister/W. R. Ashburn</v>
          </cell>
          <cell r="F81" t="str">
            <v>C-2</v>
          </cell>
          <cell r="G81" t="str">
            <v>C-36, C-37, C-41</v>
          </cell>
        </row>
        <row r="82">
          <cell r="E82" t="str">
            <v>S. E. Young/J. B. Caldwell</v>
          </cell>
        </row>
        <row r="83">
          <cell r="C83" t="str">
            <v>Schedule C-39</v>
          </cell>
          <cell r="D83" t="str">
            <v>BENCHMARK YEAR RECOVERABLE  O &amp; M EXPENSES BY FUNCTION</v>
          </cell>
          <cell r="E83" t="str">
            <v>J. S. Chronister/J. B. Caldwell</v>
          </cell>
          <cell r="G83" t="str">
            <v>C-37</v>
          </cell>
        </row>
        <row r="84">
          <cell r="E84" t="str">
            <v>S. E. Young/M. J. Hornickl</v>
          </cell>
        </row>
        <row r="85">
          <cell r="C85" t="str">
            <v>Schedule C-40</v>
          </cell>
          <cell r="D85" t="str">
            <v>O &amp; M COMPOUND MULTIPLIER CALCULATION</v>
          </cell>
          <cell r="E85" t="str">
            <v>J. S. Chronister/L. L. Cifuentes</v>
          </cell>
          <cell r="F85" t="str">
            <v>F-8</v>
          </cell>
          <cell r="G85" t="str">
            <v>C-33, C-34, C-35, C-36, C-37</v>
          </cell>
        </row>
        <row r="86">
          <cell r="C86" t="str">
            <v>Schedule C-41</v>
          </cell>
          <cell r="D86" t="str">
            <v>O &amp; M BENCHMARK VARIANCE BY FUNCTION</v>
          </cell>
          <cell r="E86" t="str">
            <v>J. S. Chronister/M. J. Hornick</v>
          </cell>
          <cell r="F86" t="str">
            <v>C-37, C-38</v>
          </cell>
        </row>
        <row r="87">
          <cell r="E87" t="str">
            <v>S. E. Young/J. B. Caldwell/B. J. Register</v>
          </cell>
        </row>
        <row r="88">
          <cell r="C88" t="str">
            <v>Schedule C-42</v>
          </cell>
          <cell r="D88" t="str">
            <v>HEDGING COSTS</v>
          </cell>
          <cell r="E88" t="str">
            <v>J. B. Caldwell/J. S. Chronister</v>
          </cell>
        </row>
        <row r="89">
          <cell r="C89" t="str">
            <v>Schedule C-43</v>
          </cell>
          <cell r="D89" t="str">
            <v>SECURITY COSTS</v>
          </cell>
          <cell r="E89" t="str">
            <v>J. S. Chroniser/S. E. Young</v>
          </cell>
          <cell r="G89" t="str">
            <v>C-2</v>
          </cell>
        </row>
        <row r="90">
          <cell r="C90" t="str">
            <v>Schedule C-44</v>
          </cell>
          <cell r="D90" t="str">
            <v>REVENUE EXPANSION FACTOR</v>
          </cell>
          <cell r="E90" t="str">
            <v>J. S. Chronister</v>
          </cell>
          <cell r="F90" t="str">
            <v>C-11</v>
          </cell>
          <cell r="G90" t="str">
            <v>A-1</v>
          </cell>
        </row>
        <row r="92">
          <cell r="C92" t="str">
            <v>Schedule D-1a</v>
          </cell>
          <cell r="D92" t="str">
            <v xml:space="preserve">COST OF CAPITAL - 13 MONTH AVERAGE </v>
          </cell>
          <cell r="E92" t="str">
            <v>S. W. Callahan/J. S. Chronister</v>
          </cell>
          <cell r="G92" t="str">
            <v>A-1</v>
          </cell>
        </row>
        <row r="93">
          <cell r="C93" t="str">
            <v>Schedule D-1b</v>
          </cell>
          <cell r="D93" t="str">
            <v>COST OF CAPITAL - ADJUSTMENTS</v>
          </cell>
          <cell r="E93" t="str">
            <v>S. W. Callahan/J. S. Chronister</v>
          </cell>
        </row>
        <row r="94">
          <cell r="C94" t="str">
            <v>Schedule D-2</v>
          </cell>
          <cell r="D94" t="str">
            <v>COST OF CAPITAL - 5 YEAR HISTORY</v>
          </cell>
          <cell r="E94" t="str">
            <v>S. W. Callahan/J. S. Chronister</v>
          </cell>
        </row>
        <row r="95">
          <cell r="C95" t="str">
            <v>Schedule D-3</v>
          </cell>
          <cell r="D95" t="str">
            <v>SHORT-TERM DEBT</v>
          </cell>
          <cell r="E95" t="str">
            <v>S. W. Callahan/J. S. Chronister</v>
          </cell>
          <cell r="G95" t="str">
            <v>D-1a</v>
          </cell>
        </row>
        <row r="96">
          <cell r="C96" t="str">
            <v>Schedule D-4a</v>
          </cell>
          <cell r="D96" t="str">
            <v>LONG-TERM DEBT OUTSTANDING</v>
          </cell>
          <cell r="E96" t="str">
            <v>S. W. Callahan/J. S. Chronister</v>
          </cell>
          <cell r="F96" t="str">
            <v>D-4b</v>
          </cell>
          <cell r="G96" t="str">
            <v>D-1a</v>
          </cell>
        </row>
        <row r="97">
          <cell r="C97" t="str">
            <v>Schedule D-4b</v>
          </cell>
          <cell r="D97" t="str">
            <v>REACQUIRED BONDS</v>
          </cell>
          <cell r="E97" t="str">
            <v>S. W. Callahan/J. S. Chronister</v>
          </cell>
        </row>
        <row r="98">
          <cell r="C98" t="str">
            <v>Schedule D-5</v>
          </cell>
          <cell r="D98" t="str">
            <v>PREFERRED STOCK OUTSTANDING</v>
          </cell>
          <cell r="E98" t="str">
            <v>S. W. Callahan/J. S. Chronister</v>
          </cell>
          <cell r="G98" t="str">
            <v>D-1a</v>
          </cell>
        </row>
        <row r="99">
          <cell r="C99" t="str">
            <v>Schedule D-6</v>
          </cell>
          <cell r="D99" t="str">
            <v>CUSTOMER DEPOSITS</v>
          </cell>
          <cell r="E99" t="str">
            <v>S. W. Callahan/J. S. Chronister</v>
          </cell>
          <cell r="G99" t="str">
            <v>D-1a</v>
          </cell>
        </row>
        <row r="100">
          <cell r="C100" t="str">
            <v>Schedule D-7</v>
          </cell>
          <cell r="D100" t="str">
            <v>COMMON STOCK DATA</v>
          </cell>
          <cell r="E100" t="str">
            <v>S. W. Callahan/J. S. Chronister</v>
          </cell>
        </row>
        <row r="101">
          <cell r="C101" t="str">
            <v>Schedule D-8</v>
          </cell>
          <cell r="D101" t="str">
            <v>FINANCIAL PLANS-STOCK AND BOND ISSUES</v>
          </cell>
          <cell r="E101" t="str">
            <v>S. W. Callahan/J. S. Chronister</v>
          </cell>
        </row>
        <row r="102">
          <cell r="C102" t="str">
            <v>Schedule D-9</v>
          </cell>
          <cell r="D102" t="str">
            <v>FINANCIAL INDICATORS-SUMMARY</v>
          </cell>
          <cell r="E102" t="str">
            <v>S. W. Callahan/J. S. Chronister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Data"/>
      <sheetName val="Schedules"/>
      <sheetName val="A-1"/>
      <sheetName val="A-2"/>
      <sheetName val="A-3"/>
      <sheetName val="A-4"/>
      <sheetName val="A-5"/>
      <sheetName val="BalDat"/>
      <sheetName val="BsWksHY"/>
      <sheetName val="B-1"/>
      <sheetName val="B-2"/>
      <sheetName val="B-3"/>
      <sheetName val="B-4"/>
      <sheetName val="B-5"/>
      <sheetName val="B-6"/>
      <sheetName val="B-7"/>
      <sheetName val="B-8"/>
      <sheetName val="B-9"/>
      <sheetName val="B-10"/>
      <sheetName val="B-11"/>
      <sheetName val="B-12"/>
      <sheetName val="B-13"/>
      <sheetName val="B-14"/>
      <sheetName val="B-15"/>
      <sheetName val="B-16"/>
      <sheetName val="B-17"/>
      <sheetName val="B-18"/>
      <sheetName val="B-19"/>
      <sheetName val="B-20"/>
      <sheetName val="B-21"/>
      <sheetName val="B-22"/>
      <sheetName val="B-23"/>
      <sheetName val="B-24"/>
      <sheetName val="B-25"/>
      <sheetName val="C-1"/>
      <sheetName val="C-2"/>
      <sheetName val="C-3"/>
      <sheetName val="C-4"/>
      <sheetName val="C-5"/>
      <sheetName val="C-6"/>
      <sheetName val="C-7"/>
      <sheetName val="C-8"/>
      <sheetName val="C-9"/>
      <sheetName val="C-10"/>
      <sheetName val="C-11"/>
      <sheetName val="C-12"/>
      <sheetName val="C-13"/>
      <sheetName val="C-14"/>
      <sheetName val="C-15"/>
      <sheetName val="C-16"/>
      <sheetName val="C-17"/>
      <sheetName val="C-18"/>
      <sheetName val="C-19"/>
      <sheetName val="C-20"/>
      <sheetName val="C-21"/>
      <sheetName val="C-22"/>
      <sheetName val="C-23"/>
      <sheetName val="C-24"/>
      <sheetName val="C-25"/>
      <sheetName val="C-26"/>
      <sheetName val="C-27"/>
      <sheetName val="C-28"/>
      <sheetName val="C-29"/>
      <sheetName val="C-30"/>
      <sheetName val="C-31"/>
      <sheetName val="C-32"/>
      <sheetName val="C-33"/>
      <sheetName val="C-34"/>
      <sheetName val="C-35"/>
      <sheetName val="C-36"/>
      <sheetName val="C-37"/>
      <sheetName val="C-38"/>
      <sheetName val="C-39"/>
      <sheetName val="C-40"/>
      <sheetName val="C-41"/>
      <sheetName val="C-42"/>
      <sheetName val="C-43"/>
      <sheetName val="C-44"/>
      <sheetName val="D-1a"/>
      <sheetName val="D-4a"/>
      <sheetName val="D-4b"/>
      <sheetName val="D-5"/>
      <sheetName val="D-6"/>
      <sheetName val="D-7"/>
      <sheetName val="D-8"/>
      <sheetName val="D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Download"/>
      <sheetName val=" VEHICLE DEPREC"/>
      <sheetName val="Reformat Cons"/>
      <sheetName val="New Template Consolidation"/>
      <sheetName val="DOWNLOAD04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F Template"/>
      <sheetName val="CONSOL. CF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 refreshError="1"/>
      <sheetData sheetId="38"/>
      <sheetData sheetId="3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Table of Contents"/>
      <sheetName val="Page 1A"/>
      <sheetName val="Page 1B"/>
      <sheetName val="Page 2A"/>
      <sheetName val="Page 2B"/>
      <sheetName val="Page 3A"/>
      <sheetName val="Page 3B"/>
      <sheetName val="Page 3C"/>
      <sheetName val="Page 3D"/>
      <sheetName val="Page 4A"/>
      <sheetName val="Page 4B"/>
      <sheetName val="Page 5A"/>
      <sheetName val="Page 5B"/>
      <sheetName val="Page 6"/>
      <sheetName val="Page 6A"/>
      <sheetName val="Page 7"/>
      <sheetName val="Page 8"/>
      <sheetName val="Page 9"/>
      <sheetName val="Page 10"/>
      <sheetName val="Page 11A"/>
      <sheetName val="Page 11B"/>
      <sheetName val="Page 12"/>
      <sheetName val="Page 13A"/>
      <sheetName val="Page 13B"/>
      <sheetName val="Page 14A"/>
      <sheetName val="Page 14B"/>
      <sheetName val="Page 15A"/>
      <sheetName val="Page 15B"/>
      <sheetName val="Page 16A"/>
      <sheetName val="Page 16A (2)"/>
      <sheetName val="Page 16B"/>
      <sheetName val="Page 16B (2)"/>
      <sheetName val="Page 17"/>
      <sheetName val="Page 18A"/>
      <sheetName val="Page 18B"/>
      <sheetName val="Page 19A"/>
      <sheetName val="Page 19B"/>
      <sheetName val="Page 20A"/>
      <sheetName val="Page 20B"/>
      <sheetName val="Page 21A"/>
      <sheetName val="Page 21B"/>
      <sheetName val="Page 22A"/>
      <sheetName val="Page 22B"/>
      <sheetName val="Page 23A"/>
      <sheetName val="Page 23B"/>
      <sheetName val="Page 24A"/>
      <sheetName val="Page 24B"/>
      <sheetName val="Page 25A"/>
      <sheetName val="Page 25B"/>
      <sheetName val="Page 26A"/>
      <sheetName val="Page 26B"/>
      <sheetName val="Page 27A"/>
      <sheetName val="Page 27B"/>
      <sheetName val="Page 28A"/>
      <sheetName val="Page 28B"/>
      <sheetName val="Page 29A"/>
      <sheetName val="Page 29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/>
      <sheetData sheetId="44" refreshError="1"/>
      <sheetData sheetId="45"/>
      <sheetData sheetId="46" refreshError="1"/>
      <sheetData sheetId="47"/>
      <sheetData sheetId="48" refreshError="1"/>
      <sheetData sheetId="49"/>
      <sheetData sheetId="50" refreshError="1"/>
      <sheetData sheetId="5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Table of Contents"/>
      <sheetName val="Page 1A"/>
      <sheetName val="Page 1B"/>
      <sheetName val="Page 2A"/>
      <sheetName val="Page 2B"/>
      <sheetName val="Page 3A"/>
      <sheetName val="Page 3B"/>
      <sheetName val="Page 3C"/>
      <sheetName val="Page 3D"/>
      <sheetName val="Page 4A"/>
      <sheetName val="Page 4B"/>
      <sheetName val="Page 5A"/>
      <sheetName val="Page 5B"/>
      <sheetName val="Page 6"/>
      <sheetName val="Page 6A"/>
      <sheetName val="Page 7"/>
      <sheetName val="Page 8"/>
      <sheetName val="Page 9"/>
      <sheetName val="Page 10"/>
      <sheetName val="Page 11A"/>
      <sheetName val="Page 11B"/>
      <sheetName val="Page 12"/>
      <sheetName val="Page 13A"/>
      <sheetName val="Page 13B"/>
      <sheetName val="Page 14A"/>
      <sheetName val="Page 14B"/>
      <sheetName val="Page 15A"/>
      <sheetName val="Page 15B"/>
      <sheetName val="Page 16A (1)"/>
      <sheetName val="Page 16A (2)"/>
      <sheetName val="Page 16B (1)"/>
      <sheetName val="Page 16B (2)"/>
      <sheetName val="Page 17"/>
      <sheetName val="Page 18A"/>
      <sheetName val="Page 18B"/>
      <sheetName val="Page 19A"/>
      <sheetName val="Page 19B"/>
      <sheetName val="Page 20A"/>
      <sheetName val="Page 20B"/>
      <sheetName val="Page 21A"/>
      <sheetName val="Page 21B"/>
      <sheetName val="Page 22A"/>
      <sheetName val="Page 22B"/>
      <sheetName val="Page 23A"/>
      <sheetName val="Page 23B"/>
      <sheetName val="Page 24A"/>
      <sheetName val="Page 24B"/>
      <sheetName val="Page 25A"/>
      <sheetName val="Page 25B"/>
      <sheetName val="Page 26A"/>
      <sheetName val="Page 26B"/>
      <sheetName val="Page 27A"/>
      <sheetName val="Page 27B"/>
      <sheetName val="Page 28A"/>
      <sheetName val="Page 28B"/>
      <sheetName val="Page 29A"/>
      <sheetName val="Page 2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LAST YEAR"/>
      <sheetName val="COMPARE"/>
      <sheetName val="DOWNLOAD"/>
      <sheetName val="IGN"/>
      <sheetName val="FD Budget"/>
      <sheetName val="FD 2004"/>
      <sheetName val="FD 2005"/>
      <sheetName val="PG 19  A_B"/>
      <sheetName val="PG 20  A_B"/>
      <sheetName val="PG 21  A_B"/>
      <sheetName val="PG 22  A_B"/>
      <sheetName val="PG 23  A_B"/>
      <sheetName val="PG 24  A_B"/>
      <sheetName val="PG 25  A_B"/>
      <sheetName val="PG 26  A_B"/>
      <sheetName val="PG 27 A_B"/>
      <sheetName val="Check Actual"/>
      <sheetName val="Check Budget"/>
      <sheetName val="PK NG"/>
      <sheetName val="21"/>
      <sheetName val="Financial P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Data"/>
      <sheetName val="Schedules"/>
      <sheetName val="A-1"/>
      <sheetName val="A-2"/>
      <sheetName val="A-3"/>
      <sheetName val="A-4"/>
      <sheetName val="A-5"/>
      <sheetName val="BalDat"/>
      <sheetName val="BsWksHY"/>
      <sheetName val="B-1"/>
      <sheetName val="B-2"/>
      <sheetName val="B-3"/>
      <sheetName val="B-4"/>
      <sheetName val="B-5"/>
      <sheetName val="B-6"/>
      <sheetName val="B-7"/>
      <sheetName val="B-8"/>
      <sheetName val="B-9"/>
      <sheetName val="B-10"/>
      <sheetName val="B-11"/>
      <sheetName val="B-12"/>
      <sheetName val="B-13"/>
      <sheetName val="B-14"/>
      <sheetName val="B-15"/>
      <sheetName val="B-16"/>
      <sheetName val="B-17"/>
      <sheetName val="B-18"/>
      <sheetName val="B-19"/>
      <sheetName val="B-20"/>
      <sheetName val="B-21"/>
      <sheetName val="B-22"/>
      <sheetName val="B-23"/>
      <sheetName val="B-24"/>
      <sheetName val="B-25"/>
      <sheetName val="C-1"/>
      <sheetName val="C-2"/>
      <sheetName val="C-3"/>
      <sheetName val="C-4"/>
      <sheetName val="C-5"/>
      <sheetName val="C-6"/>
      <sheetName val="C-7"/>
      <sheetName val="C-8"/>
      <sheetName val="C-9"/>
      <sheetName val="C-10"/>
      <sheetName val="C-11"/>
      <sheetName val="C-12"/>
      <sheetName val="C-13"/>
      <sheetName val="C-14"/>
      <sheetName val="C-15"/>
      <sheetName val="C-16"/>
      <sheetName val="C-17"/>
      <sheetName val="C-18"/>
      <sheetName val="C-19"/>
      <sheetName val="C-20"/>
      <sheetName val="C-21"/>
      <sheetName val="C-22"/>
      <sheetName val="C-23"/>
      <sheetName val="C-24"/>
      <sheetName val="C-25"/>
      <sheetName val="C-26"/>
      <sheetName val="C-27"/>
      <sheetName val="C-28"/>
      <sheetName val="C-29"/>
      <sheetName val="C-30"/>
      <sheetName val="C-31"/>
      <sheetName val="C-32"/>
      <sheetName val="C-33"/>
      <sheetName val="C-34"/>
      <sheetName val="C-35"/>
      <sheetName val="C-36"/>
      <sheetName val="C-37"/>
      <sheetName val="C-38"/>
      <sheetName val="C-39"/>
      <sheetName val="C-40"/>
      <sheetName val="C-41"/>
      <sheetName val="C-42"/>
      <sheetName val="C-43"/>
      <sheetName val="C-44"/>
      <sheetName val="D-1a"/>
      <sheetName val="D-4a"/>
      <sheetName val="D-4b"/>
      <sheetName val="D-5"/>
      <sheetName val="D-6"/>
      <sheetName val="D-7"/>
      <sheetName val="D-8"/>
      <sheetName val="D-9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Energy Consol_Emera Jun-18"/>
      <sheetName val="BS Energy Consol_Emera Jun-18"/>
      <sheetName val="BS Energy Consol_Emera Jun- (2)"/>
      <sheetName val="BS Energy Consol_Emera Jun- (3)"/>
      <sheetName val="April-18 IS Subconsol Values"/>
      <sheetName val="TECO_FORMAT"/>
      <sheetName val="EVDRE_VALUE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LH_Notes"/>
      <sheetName val="MFR_SUMMARY"/>
      <sheetName val="MFR_EXTRACT"/>
      <sheetName val="B-7"/>
      <sheetName val="B-9"/>
      <sheetName val="SOP worksht"/>
      <sheetName val="&lt;&lt;not_used&gt;&gt;"/>
      <sheetName val="BALSHT"/>
      <sheetName val="acq_adj"/>
      <sheetName val="TST_DISMANTLEMEN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LH_Notes"/>
      <sheetName val="MFR_SUMMARY"/>
      <sheetName val="MFR_EXTRACT"/>
      <sheetName val="B-7"/>
      <sheetName val="B-9"/>
      <sheetName val="SOP worksht"/>
      <sheetName val="&lt;&lt;not_used&gt;&gt;"/>
      <sheetName val="BALSHT"/>
      <sheetName val="acq_adj"/>
      <sheetName val="TST_DISMANTLEMEN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B SALES"/>
      <sheetName val="JURIS D SALES"/>
      <sheetName val="JURIS J SALES"/>
      <sheetName val="J SALE IMBALANCE"/>
      <sheetName val="MKT BASED SALES"/>
      <sheetName val="SEP D SALES"/>
      <sheetName val="PR SALES"/>
      <sheetName val="BB4 HPP SALES"/>
      <sheetName val="TOTAL SALES"/>
      <sheetName val="A B PURCH"/>
      <sheetName val="SCH J PURCH"/>
      <sheetName val="SCH D PURCH "/>
      <sheetName val="SMITH FIELD (SCH J)"/>
      <sheetName val="COGEN PURCH"/>
      <sheetName val="HPP PURCH"/>
      <sheetName val="GSI PURCH"/>
      <sheetName val="OPT PROV_INADVT"/>
      <sheetName val="PR PURCH"/>
      <sheetName val="PURCHASES FOR RESALE"/>
      <sheetName val="transmission charges"/>
      <sheetName val="TOTAL PURCH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FIN PG 20"/>
      <sheetName val="Presentation"/>
      <sheetName val="JE 6 Input"/>
      <sheetName val="JE 6 Form"/>
      <sheetName val="Module1"/>
      <sheetName val="Company_Abrev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Download"/>
      <sheetName val=" VEHICLE DEPREC"/>
      <sheetName val="Reformat Cons"/>
      <sheetName val="New Template Consolidation"/>
      <sheetName val="DOWNLOAD04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F Template"/>
      <sheetName val="CONSOL. CF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 refreshError="1"/>
      <sheetData sheetId="38"/>
      <sheetData sheetId="3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check"/>
      <sheetName val="Budget check"/>
      <sheetName val="COMPARE"/>
      <sheetName val="ACCT ADDS"/>
      <sheetName val="FD 2006"/>
      <sheetName val="FD 2007"/>
      <sheetName val="FD Budget"/>
      <sheetName val="BUDGET"/>
      <sheetName val="LAST YEAR"/>
      <sheetName val="DOWNLOAD"/>
      <sheetName val="IGN"/>
      <sheetName val="PG 19  A_B"/>
      <sheetName val="PG 20  A_B"/>
      <sheetName val="PG 21  A_B"/>
      <sheetName val="PG 22  A_B"/>
      <sheetName val="PG 23  A_B"/>
      <sheetName val="PG 24  A_B"/>
      <sheetName val="PG 25  A_B"/>
      <sheetName val="PG 26  A_B"/>
      <sheetName val="PG 27 A_B"/>
      <sheetName val="21"/>
      <sheetName val="Financial Pages"/>
      <sheetName val="FD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S"/>
      <sheetName val="DOWNLOAD"/>
      <sheetName val="UPDATES"/>
      <sheetName val="JE90046"/>
      <sheetName val="JE 90046 WKSHT"/>
      <sheetName val="RECAP REFORMAT"/>
      <sheetName val="RECAP"/>
      <sheetName val="JE185 Opt Prov"/>
      <sheetName val="JE85 Opt Prov"/>
      <sheetName val="PG 14 BACKUP"/>
      <sheetName val="14 WKSHEET"/>
      <sheetName val="PG 14  A_B_C_D"/>
      <sheetName val="PG 15 BACKUP"/>
      <sheetName val="PG 16 BACKUP"/>
      <sheetName val="PG 15 A_B_C_D"/>
      <sheetName val="16 WKSHEETS"/>
      <sheetName val="PG 16 A B C D"/>
      <sheetName val="PG 17"/>
      <sheetName val="WEB STATS"/>
      <sheetName val="PE_C FOR WEB STATS"/>
      <sheetName val="Unbil Rev Budgt"/>
      <sheetName val="OUTPUT TO LINE WKSHT"/>
      <sheetName val="OUTPUT TO LINE"/>
      <sheetName val="BASE"/>
      <sheetName val="GWH"/>
      <sheetName val="UNBILLED MWH_RATE"/>
      <sheetName val="BUDGANALY"/>
      <sheetName val="BUDGANALY (2)"/>
      <sheetName val="ACTANALY"/>
      <sheetName val="ACTANALY (2)"/>
      <sheetName val="EIA 826"/>
      <sheetName val="plan book p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PROCEDURES"/>
      <sheetName val="CF 9&amp;3 VS BUDGET"/>
      <sheetName val="MEMO"/>
      <sheetName val="ASSUMPTIONS"/>
      <sheetName val="DOWNLOAD"/>
      <sheetName val="MACRO"/>
      <sheetName val="MTHLY RECON"/>
      <sheetName val="Estimates Recon"/>
      <sheetName val="O M"/>
      <sheetName val="INCOME STAT."/>
      <sheetName val="Cash Flow Goal"/>
      <sheetName val="Cash Flow Goal Rev"/>
      <sheetName val="Business Plan"/>
      <sheetName val="Fin. Stmts"/>
      <sheetName val="BALANCE SH."/>
      <sheetName val="Cash Pres 1"/>
      <sheetName val="Cash Pres 2"/>
      <sheetName val="Cash Pres 3"/>
      <sheetName val="Cash Pres 4"/>
      <sheetName val="CF GOALS"/>
      <sheetName val="FOR INCENTIVE GOAL"/>
      <sheetName val="CASH FLOWS"/>
      <sheetName val="CASH FLOWS BKUP"/>
      <sheetName val="CF BKUP TECO ENERGY"/>
      <sheetName val="CAPITAL"/>
      <sheetName val="ROE"/>
      <sheetName val="STOCK"/>
      <sheetName val="REVENUE"/>
      <sheetName val="OTHER INC."/>
      <sheetName val="Gasifier Amort."/>
      <sheetName val="BS ACCTS"/>
      <sheetName val="IS ACCTS"/>
      <sheetName val="OOR"/>
      <sheetName val="GOAL 7 BUD"/>
      <sheetName val="OOR TEFIS"/>
      <sheetName val="O_INC_DED"/>
      <sheetName val="O_INC_DED TEFIS"/>
      <sheetName val="DEF REV INT 99"/>
      <sheetName val="DEF REV INT 98"/>
      <sheetName val="DEF REV JE"/>
      <sheetName val="REV REFUND "/>
      <sheetName val="INT EXP"/>
      <sheetName val="INT ANALYSIS"/>
      <sheetName val="DEF REV INT 95"/>
      <sheetName val="DEF REV INT 96"/>
      <sheetName val="DEF REV INT 97"/>
      <sheetName val="OOR MEMO"/>
      <sheetName val="PLANT"/>
      <sheetName val="HEADING"/>
      <sheetName val="OBBSACCTS"/>
      <sheetName val="OBISACCTS"/>
      <sheetName val="VBSACCTS"/>
      <sheetName val="VISACCTS"/>
      <sheetName val="CONS ROI"/>
      <sheetName val="ENVIR ROI"/>
      <sheetName val="OTHER"/>
      <sheetName val="ENRGYCONSOL"/>
      <sheetName val="ENRGY PLAN BOOK"/>
      <sheetName val="PYBSACCTS"/>
      <sheetName val="PYISACCTS"/>
      <sheetName val="RECONS"/>
      <sheetName val="RANGENAMES"/>
      <sheetName val="PE_C_actual"/>
      <sheetName val="PE_C Bud"/>
      <sheetName val="Polk_recon"/>
      <sheetName val="OUTPUT TO LINES"/>
      <sheetName val="OBINCOME STAT."/>
      <sheetName val="OBREVENUE"/>
      <sheetName val="OOR VAR"/>
      <sheetName val="BUDGET RECON"/>
      <sheetName val="FUEL RECON"/>
      <sheetName val="02Forecast"/>
      <sheetName val="03Total"/>
      <sheetName val="03Monthly"/>
      <sheetName val="04Total"/>
      <sheetName val="02BS"/>
      <sheetName val="03BS"/>
      <sheetName val="04BS"/>
      <sheetName val="02CF"/>
      <sheetName val="03CF"/>
      <sheetName val="04CF"/>
      <sheetName val="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-7"/>
    </sheetNames>
    <sheetDataSet>
      <sheetData sheetId="0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-22"/>
      <sheetName val="B-23"/>
      <sheetName val="C-22"/>
      <sheetName val="C-25"/>
      <sheetName val="C-26"/>
      <sheetName val="C-27"/>
      <sheetName val="C-28"/>
      <sheetName val="G-12 (see C-22 (12-31-06))"/>
      <sheetName val="C-20 (prepared by D. KEENE)"/>
      <sheetName val="C-21 (prepared by D. KEENE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OR VP Assumptions"/>
      <sheetName val="PROCEDURES"/>
      <sheetName val="Dist List"/>
      <sheetName val="UPDATES"/>
      <sheetName val="DOWNLOAD"/>
      <sheetName val="TO for RESID."/>
      <sheetName val="MISC SRV REV BACKUP"/>
      <sheetName val="MISC SRV DATA"/>
      <sheetName val="OOR PKG"/>
      <sheetName val="MISC SRV PKG"/>
      <sheetName val="OOR PRESENT."/>
      <sheetName val="RENT REV PRESEN"/>
      <sheetName val="MISC SRV PRESEN"/>
      <sheetName val="OOR BACKUP"/>
      <sheetName val="Monthly Detail by VP "/>
      <sheetName val="Detail by VP"/>
      <sheetName val="Detail by Component"/>
      <sheetName val="Summary by VP"/>
      <sheetName val="Executiv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"/>
      <sheetName val="REG. A. L."/>
      <sheetName val="Reg A.L. ST-LT"/>
      <sheetName val="Doc Review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143"/>
      <sheetName val="SUM 146"/>
      <sheetName val="SUM 182"/>
      <sheetName val="SUM 186"/>
      <sheetName val="SUM 232"/>
      <sheetName val="SUM 253"/>
      <sheetName val="SUM 254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PROCEDURES"/>
      <sheetName val="CF 9&amp;3 VS BUDGET"/>
      <sheetName val="DOWNLOAD"/>
      <sheetName val="MACRO"/>
      <sheetName val="MEMO"/>
      <sheetName val="MTHLY RECON"/>
      <sheetName val="Estimates Recon"/>
      <sheetName val="Cash Pres 1"/>
      <sheetName val="Cash Pres 2"/>
      <sheetName val="Cash Pres 3"/>
      <sheetName val="Cash Pres 4"/>
      <sheetName val="CF GOALS"/>
      <sheetName val="FOR INCENTIVE GOAL"/>
      <sheetName val="INCOME STAT."/>
      <sheetName val="BALANCE SH."/>
      <sheetName val="CASH FLOWS"/>
      <sheetName val="CF BKUP TECO ENERGY"/>
      <sheetName val="CASH FLOWS BKUP"/>
      <sheetName val="CAPITAL"/>
      <sheetName val="OTHER INC."/>
      <sheetName val="BS ACCTS"/>
      <sheetName val="IS ACCTS"/>
      <sheetName val="OOR"/>
      <sheetName val="GOAL 7 BUD"/>
      <sheetName val="OOR TEFIS"/>
      <sheetName val="O_INC_DED"/>
      <sheetName val="O_INC_DED TEFIS"/>
      <sheetName val="DEF REV INT 99"/>
      <sheetName val="DEF REV INT 98"/>
      <sheetName val="DEF REV JE"/>
      <sheetName val="REV REFUND "/>
      <sheetName val="STOCK"/>
      <sheetName val="REVENUE"/>
      <sheetName val="O M"/>
      <sheetName val="CONS ROI"/>
      <sheetName val="ENVIR ROI"/>
      <sheetName val="ROE"/>
      <sheetName val="INT ANALYSIS"/>
      <sheetName val="DEF REV INT 95"/>
      <sheetName val="DEF REV INT 96"/>
      <sheetName val="DEF REV INT 97"/>
      <sheetName val="OOR MEMO"/>
      <sheetName val="PLANT"/>
      <sheetName val="OUTPUT TO LINES"/>
      <sheetName val="OTHER"/>
      <sheetName val="PE_C_actual"/>
      <sheetName val="PE_C Bud"/>
      <sheetName val="HEADING"/>
      <sheetName val="OBBSACCTS"/>
      <sheetName val="OBISACCTS"/>
      <sheetName val="VBSACCTS"/>
      <sheetName val="VISACCTS"/>
      <sheetName val="PYBSACCTS"/>
      <sheetName val="PYISACCTS"/>
      <sheetName val="Business Plan"/>
      <sheetName val="Fin. Stmts"/>
      <sheetName val="ENRGYCONSOL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ASSUMPTIONS"/>
      <sheetName val="INTEREST EXP"/>
      <sheetName val="INT EXP"/>
      <sheetName val="FUEL RECON"/>
      <sheetName val="TESAM FINANCIALS"/>
      <sheetName val="PE_C for TESAM"/>
      <sheetName val="TESAM TEMPLATE"/>
      <sheetName val="04Forecast"/>
      <sheetName val="05Total"/>
      <sheetName val="05Monthly"/>
      <sheetName val="06Total"/>
      <sheetName val="04BS"/>
      <sheetName val="05BS"/>
      <sheetName val="06BS"/>
      <sheetName val="04CF"/>
      <sheetName val="05CF"/>
      <sheetName val="05CFSTMT"/>
      <sheetName val="06CF"/>
      <sheetName val="RE"/>
      <sheetName val="Sheet1"/>
      <sheetName val="Cash Flow Goal"/>
      <sheetName val="Cash Flow Goal Rev"/>
      <sheetName val="CM Variance Explanations"/>
      <sheetName val="YTD Variance Explan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 ACCOUNTS"/>
      <sheetName val="SURV ACCOUNTS"/>
      <sheetName val="T.O.C."/>
      <sheetName val="SURV INPUTS"/>
      <sheetName val="WC"/>
      <sheetName val="SURV REPORT"/>
      <sheetName val="SR Sch 2-3-3"/>
      <sheetName val="cap struc adj"/>
      <sheetName val="cap struc adj yr end"/>
      <sheetName val="Cap struc avg"/>
      <sheetName val="Cap struc yer-end"/>
      <sheetName val="RB vs CAP"/>
      <sheetName val="TRANS SEP"/>
      <sheetName val="WC INPUTS"/>
      <sheetName val="PRINTING"/>
      <sheetName val="2018-2019Jun"/>
      <sheetName val="COMP to Act"/>
      <sheetName val="COMP to monthly"/>
      <sheetName val="COMP to Budget"/>
      <sheetName val="COMP to forecast"/>
      <sheetName val="ROE Recon Actual"/>
      <sheetName val="ROE Recon Mo Q1F"/>
      <sheetName val="ROE Recon Budget"/>
      <sheetName val="ROE Ratios"/>
      <sheetName val="ROR Adjustments"/>
      <sheetName val="Equity Adjustments"/>
      <sheetName val="ROE Detail"/>
      <sheetName val="OCI and Adj's Tab MC"/>
      <sheetName val="Misc Adj's tab N"/>
      <sheetName val="NOTE"/>
      <sheetName val="Cash Flow tab W"/>
      <sheetName val="Doc Review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 ACCOUNTS"/>
      <sheetName val="SURV ACCOUNTS"/>
      <sheetName val="T.O.C."/>
      <sheetName val="SURV INPUTS"/>
      <sheetName val="WC"/>
      <sheetName val="SURV REPORT"/>
      <sheetName val="TRANS SEP"/>
      <sheetName val="SR Sch 2-3-3"/>
      <sheetName val="cap struc adj"/>
      <sheetName val="cap struc adj yr end"/>
      <sheetName val="Cap struc avg"/>
      <sheetName val="Cap struc yer-end"/>
      <sheetName val="RB vs CAP"/>
      <sheetName val="WC INPUTS"/>
      <sheetName val="PRINTING"/>
      <sheetName val="2018-2019Jun"/>
      <sheetName val="COMP to Act"/>
      <sheetName val="COMP to monthly"/>
      <sheetName val="COMP to Budget"/>
      <sheetName val="COMP to forecast"/>
      <sheetName val="ROE Recon Actual"/>
      <sheetName val="ROE Recon Forecast"/>
      <sheetName val="ROE Recon Budget"/>
      <sheetName val="ROE Ratios"/>
      <sheetName val="ROR Adjustments"/>
      <sheetName val="Equity Adjustments"/>
      <sheetName val="ROE Detail"/>
      <sheetName val="Misc Adj's tab N"/>
      <sheetName val="OCI and Adj's Tab MC"/>
      <sheetName val="Cash Flow tab W"/>
      <sheetName val="NOTE"/>
      <sheetName val="Doc Re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ACCTS"/>
      <sheetName val="IS ACCTS"/>
      <sheetName val="DAT ACCOUNTS"/>
      <sheetName val="T.O.C."/>
      <sheetName val="SURV INPUTS"/>
      <sheetName val="OCI"/>
      <sheetName val="WC"/>
      <sheetName val="WC INPUTS"/>
      <sheetName val="SURV REPORT"/>
      <sheetName val="Sch 2-3-3"/>
      <sheetName val="cap struc adj"/>
      <sheetName val="cap struc adj yr end"/>
      <sheetName val="Cap struc yer-end"/>
      <sheetName val="Cap struc avg"/>
      <sheetName val="RB vs CAP"/>
      <sheetName val="TRANS SEP"/>
      <sheetName val="PRINTING"/>
      <sheetName val="COMP Actual"/>
      <sheetName val="COMP Bud (filed)"/>
      <sheetName val="COMP Forecast"/>
      <sheetName val="ROE Recon Actual"/>
      <sheetName val="ROE Recon Forecast"/>
      <sheetName val="ROE Recon Budget"/>
      <sheetName val="COMP TEMPLATE"/>
      <sheetName val="ROR Adjustments"/>
      <sheetName val="ROE Ratios"/>
      <sheetName val="ROE Recon (Presentation)"/>
      <sheetName val="Equity Adjustments"/>
      <sheetName val="NOTE"/>
      <sheetName val="Doc Re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8"/>
      <sheetName val="Checklist_all years"/>
      <sheetName val="B-25"/>
      <sheetName val="C-33"/>
      <sheetName val="Sheet1"/>
      <sheetName val="B-17 Reformatted"/>
      <sheetName val="2009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 ACCOUNTS"/>
      <sheetName val="SURV ACCOUNTS"/>
      <sheetName val="T.O.C."/>
      <sheetName val="SURV INPUTS"/>
      <sheetName val="SURV REPORT"/>
      <sheetName val="Surveillance Factors May 2003"/>
      <sheetName val="TRANS SEP"/>
      <sheetName val="WC INPUTS"/>
      <sheetName val="WC"/>
      <sheetName val="PRINTING"/>
      <sheetName val="NOTE"/>
      <sheetName val="RB vs CAP"/>
      <sheetName val="COMPARISON (3)"/>
      <sheetName val="COMPARISON (2)"/>
      <sheetName val="COMPARISON (1c)"/>
      <sheetName val="COMPARISON (1b)"/>
      <sheetName val="COMPARISON (1a)"/>
      <sheetName val="COMPARISON"/>
      <sheetName val="ROE Ratios"/>
      <sheetName val="ROR Adjustments"/>
      <sheetName val="Equity Adjustments"/>
      <sheetName val="ROE Recon"/>
      <sheetName val="NI Summary"/>
      <sheetName val="Recon Summary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4A"/>
      <sheetName val="Page 15A"/>
      <sheetName val="Page 16B"/>
      <sheetName val="Page 16A"/>
      <sheetName val="Page 17"/>
    </sheetNames>
    <sheetDataSet>
      <sheetData sheetId="0"/>
      <sheetData sheetId="1"/>
      <sheetData sheetId="2" refreshError="1"/>
      <sheetData sheetId="3"/>
      <sheetData sheetId="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take 1"/>
      <sheetName val="2018 Strat Plan"/>
      <sheetName val="2018 Forecast"/>
      <sheetName val="Specific FP"/>
      <sheetName val="Growth Initiatives"/>
      <sheetName val="2018 CIBS &amp; PPP"/>
      <sheetName val="FD 6"/>
      <sheetName val="Variance to 11+1 Summary"/>
      <sheetName val="Variance to 11+1 Detail"/>
      <sheetName val="FM 5"/>
      <sheetName val="FQ 6"/>
      <sheetName val="FY 5"/>
      <sheetName val="FF 5"/>
      <sheetName val="FM Summary"/>
      <sheetName val="FQ Summary"/>
      <sheetName val="FY Summary"/>
      <sheetName val="FF Summary"/>
      <sheetName val="Variance to Budget Detail"/>
      <sheetName val="Construction Plan"/>
      <sheetName val="Working Table"/>
      <sheetName val="Input"/>
      <sheetName val="Working"/>
      <sheetName val="Working Field Table"/>
      <sheetName val="PF Field Table"/>
      <sheetName val="Prior Forecast"/>
      <sheetName val="Q2 Forecast"/>
      <sheetName val="Q1 Forecast"/>
      <sheetName val="2018 Budget"/>
      <sheetName val="2017 Actuals"/>
      <sheetName val="2017 Budget"/>
      <sheetName val="Project Description"/>
      <sheetName val="PowerPlant ID"/>
      <sheetName val="FP Specific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-8 (2019)"/>
      <sheetName val="C-8 (Old)"/>
      <sheetName val="C-8 (2022)"/>
      <sheetName val="C-36"/>
      <sheetName val="C-37"/>
      <sheetName val="C-39"/>
      <sheetName val="C-41"/>
      <sheetName val="C-38 (2019)"/>
      <sheetName val="C-38 (2021)"/>
      <sheetName val="C-38 (2022)"/>
      <sheetName val="Check Figures --&gt;"/>
      <sheetName val="Check Figures"/>
      <sheetName val="C-40"/>
      <sheetName val="Budget--&gt;"/>
      <sheetName val="SPP Tab S"/>
      <sheetName val="2021 2022 SPP O&amp;M"/>
      <sheetName val="SR (2022) IS Accts."/>
      <sheetName val="SR (2022) - 100%"/>
      <sheetName val="FINAL 2022 TB"/>
      <sheetName val="FINAL 2022 FERC"/>
      <sheetName val="SR (2021) - 100%"/>
      <sheetName val="FINAL 2021 FERC"/>
      <sheetName val="FINAL 2021 TB"/>
      <sheetName val="C-4 (2022)"/>
      <sheetName val="C-4 (2021)"/>
      <sheetName val="Actuals --&gt;"/>
      <sheetName val="TB (2019)"/>
      <sheetName val="SR (2019)"/>
      <sheetName val="SR (2019) - 100%"/>
      <sheetName val="SR (2020) - 100%"/>
      <sheetName val="C-4 (2019)"/>
      <sheetName val="TB (2018)"/>
      <sheetName val="Customers"/>
      <sheetName val="CPI"/>
      <sheetName val="C-39 (AT)"/>
      <sheetName val="TB&gt;EPM Descrepency"/>
      <sheetName val="TB (2012)"/>
      <sheetName val="SR (2012)"/>
      <sheetName val="PRIOR RATE CASE-&gt;"/>
      <sheetName val="C-08"/>
      <sheetName val="C-36_"/>
      <sheetName val="C-37_"/>
      <sheetName val="C-38_"/>
      <sheetName val="C-40_"/>
      <sheetName val="C-41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9">
          <cell r="K29">
            <v>1.8120000000000001E-2</v>
          </cell>
        </row>
      </sheetData>
      <sheetData sheetId="14"/>
      <sheetData sheetId="15"/>
      <sheetData sheetId="16">
        <row r="43">
          <cell r="AY43">
            <v>4049825.4000000008</v>
          </cell>
        </row>
      </sheetData>
      <sheetData sheetId="17"/>
      <sheetData sheetId="18"/>
      <sheetData sheetId="19">
        <row r="1">
          <cell r="B1" t="str">
            <v>Report Type&gt;&gt;&gt;</v>
          </cell>
        </row>
      </sheetData>
      <sheetData sheetId="20">
        <row r="12">
          <cell r="T12" t="str">
            <v>WORKING BUDGET</v>
          </cell>
        </row>
      </sheetData>
      <sheetData sheetId="21">
        <row r="54">
          <cell r="E54">
            <v>994307.84423816204</v>
          </cell>
        </row>
      </sheetData>
      <sheetData sheetId="22">
        <row r="230">
          <cell r="D230">
            <v>9500000</v>
          </cell>
        </row>
      </sheetData>
      <sheetData sheetId="23">
        <row r="254">
          <cell r="B254">
            <v>4073020</v>
          </cell>
        </row>
      </sheetData>
      <sheetData sheetId="24"/>
      <sheetData sheetId="25"/>
      <sheetData sheetId="26"/>
      <sheetData sheetId="27"/>
      <sheetData sheetId="28"/>
      <sheetData sheetId="29">
        <row r="52">
          <cell r="E52">
            <v>2762935.4600000381</v>
          </cell>
        </row>
      </sheetData>
      <sheetData sheetId="30">
        <row r="54">
          <cell r="E54">
            <v>2156192.6299999952</v>
          </cell>
        </row>
      </sheetData>
      <sheetData sheetId="31">
        <row r="20">
          <cell r="E20" t="str">
            <v>Fuel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MFormattingSheet"/>
      <sheetName val="TRIAL_BALANCE"/>
      <sheetName val="TRIAL_BALANCE_REPORT2"/>
      <sheetName val="TRIAL_BALANCE_BASE_ACCOUNTS"/>
    </sheetNames>
    <definedNames>
      <definedName name="REFRESH1"/>
    </definedNames>
    <sheetDataSet>
      <sheetData sheetId="0"/>
      <sheetData sheetId="1"/>
      <sheetData sheetId="2" refreshError="1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MFormattingSheet"/>
      <sheetName val="TRIAL_BALANCE_SORT"/>
      <sheetName val="Sheet1"/>
      <sheetName val="TRIAL_BALANCE_BALANCES"/>
      <sheetName val="FERC_ACCOUNT"/>
      <sheetName val="FERC REPORT"/>
      <sheetName val="EPMFormattingSheetFERC"/>
      <sheetName val="TRIAL_BALANCE_SORT4"/>
    </sheetNames>
    <definedNames>
      <definedName name="REFRESH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R"/>
      <sheetName val="File Steps"/>
      <sheetName val="checks"/>
      <sheetName val="C-1"/>
      <sheetName val="C-2"/>
      <sheetName val="C-3"/>
      <sheetName val="C-4"/>
      <sheetName val="C-1 Supplement"/>
      <sheetName val="C-4 Supplement"/>
      <sheetName val="2of3 Dec 2021 100%"/>
      <sheetName val="2of3 Dec 2021"/>
      <sheetName val="Sch.2 Supplement 2021"/>
      <sheetName val="Accounts"/>
      <sheetName val="Separation"/>
      <sheetName val="Clause"/>
      <sheetName val="TAB P"/>
      <sheetName val="FUEL"/>
      <sheetName val="PURCH PWR"/>
      <sheetName val="2021 Budgeted TB"/>
      <sheetName val="old tb"/>
      <sheetName val="FERC 2021"/>
      <sheetName val="21FERC DL"/>
    </sheetNames>
    <sheetDataSet>
      <sheetData sheetId="0"/>
      <sheetData sheetId="1"/>
      <sheetData sheetId="2"/>
      <sheetData sheetId="3">
        <row r="124">
          <cell r="G124">
            <v>2031125.4509812563</v>
          </cell>
          <cell r="O124">
            <v>2023483.6071040563</v>
          </cell>
        </row>
        <row r="134">
          <cell r="G134">
            <v>374739.11972544593</v>
          </cell>
          <cell r="O134">
            <v>372264.73534556117</v>
          </cell>
        </row>
      </sheetData>
      <sheetData sheetId="4"/>
      <sheetData sheetId="5"/>
      <sheetData sheetId="6"/>
      <sheetData sheetId="7"/>
      <sheetData sheetId="8">
        <row r="5">
          <cell r="J5">
            <v>3159.518312926431</v>
          </cell>
        </row>
        <row r="6">
          <cell r="J6">
            <v>100877.67069829001</v>
          </cell>
        </row>
        <row r="7">
          <cell r="J7">
            <v>12216.454001362483</v>
          </cell>
        </row>
        <row r="8">
          <cell r="J8">
            <v>0</v>
          </cell>
        </row>
        <row r="9">
          <cell r="J9">
            <v>2724.2834062963266</v>
          </cell>
        </row>
        <row r="10">
          <cell r="J10">
            <v>7436.1229107041954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436.81227555807266</v>
          </cell>
        </row>
        <row r="14">
          <cell r="J14">
            <v>4682.6453948039325</v>
          </cell>
        </row>
        <row r="15">
          <cell r="J15">
            <v>21382.114477086885</v>
          </cell>
        </row>
        <row r="16">
          <cell r="J16">
            <v>4762.6948620916564</v>
          </cell>
        </row>
        <row r="17">
          <cell r="J17">
            <v>2669.1010304641077</v>
          </cell>
        </row>
        <row r="18">
          <cell r="J18">
            <v>446.42279081232175</v>
          </cell>
        </row>
        <row r="19">
          <cell r="J19">
            <v>475653.22423599998</v>
          </cell>
        </row>
        <row r="20">
          <cell r="J20">
            <v>20152.652430937658</v>
          </cell>
        </row>
        <row r="21">
          <cell r="J21">
            <v>7207.8117070642311</v>
          </cell>
        </row>
        <row r="22">
          <cell r="J22">
            <v>0</v>
          </cell>
        </row>
        <row r="23">
          <cell r="J23">
            <v>873.62455111515192</v>
          </cell>
        </row>
        <row r="24">
          <cell r="J24">
            <v>3217.8146166771276</v>
          </cell>
        </row>
        <row r="25">
          <cell r="J25">
            <v>10193.949404556091</v>
          </cell>
        </row>
        <row r="26">
          <cell r="J26">
            <v>933.8117708217917</v>
          </cell>
        </row>
        <row r="27">
          <cell r="J27">
            <v>16920.221189947999</v>
          </cell>
        </row>
        <row r="28">
          <cell r="J28">
            <v>1058.8836878818586</v>
          </cell>
        </row>
        <row r="29">
          <cell r="J29">
            <v>0</v>
          </cell>
        </row>
        <row r="30">
          <cell r="J30">
            <v>25479.055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3853.261</v>
          </cell>
        </row>
        <row r="34">
          <cell r="J34">
            <v>5986.6959999999999</v>
          </cell>
        </row>
        <row r="35">
          <cell r="J35">
            <v>-14697.185934813</v>
          </cell>
        </row>
        <row r="36">
          <cell r="J36">
            <v>-2456.6244172199999</v>
          </cell>
        </row>
        <row r="37">
          <cell r="J37">
            <v>-590.32000000000005</v>
          </cell>
        </row>
        <row r="38">
          <cell r="J38">
            <v>-3224.52</v>
          </cell>
        </row>
        <row r="39">
          <cell r="J39">
            <v>-2286.2339999999999</v>
          </cell>
        </row>
        <row r="40">
          <cell r="J40">
            <v>625.38331869290084</v>
          </cell>
        </row>
        <row r="41">
          <cell r="J41">
            <v>2417.8299706894422</v>
          </cell>
        </row>
        <row r="42">
          <cell r="J42">
            <v>1514.3819928931398</v>
          </cell>
        </row>
        <row r="43">
          <cell r="J43">
            <v>369.35362340130712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1064.5184618138264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3498.3978362608568</v>
          </cell>
        </row>
        <row r="50">
          <cell r="J50">
            <v>1283.3196800993985</v>
          </cell>
        </row>
        <row r="51">
          <cell r="J51">
            <v>4430.5616829294022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806.92687817373087</v>
          </cell>
        </row>
        <row r="55">
          <cell r="J55">
            <v>832.16747975800001</v>
          </cell>
        </row>
        <row r="56">
          <cell r="J56">
            <v>1275.3671528360001</v>
          </cell>
        </row>
        <row r="57">
          <cell r="J57">
            <v>5653.3312987709996</v>
          </cell>
        </row>
        <row r="58">
          <cell r="J58">
            <v>459.36002115399998</v>
          </cell>
        </row>
        <row r="59">
          <cell r="J59">
            <v>572.94622070000003</v>
          </cell>
        </row>
        <row r="60">
          <cell r="J60">
            <v>4141.0368038527149</v>
          </cell>
        </row>
        <row r="61">
          <cell r="J61">
            <v>106.142462704</v>
          </cell>
        </row>
        <row r="62">
          <cell r="J62">
            <v>10345.019276796</v>
          </cell>
        </row>
        <row r="63">
          <cell r="J63">
            <v>342.39601145799998</v>
          </cell>
        </row>
        <row r="64">
          <cell r="J64">
            <v>0</v>
          </cell>
        </row>
        <row r="65">
          <cell r="J65">
            <v>462.45894699199999</v>
          </cell>
        </row>
        <row r="66">
          <cell r="J66">
            <v>2174.5142431270001</v>
          </cell>
        </row>
        <row r="67">
          <cell r="J67">
            <v>32092.250776245</v>
          </cell>
        </row>
        <row r="68">
          <cell r="J68">
            <v>2616.024144088</v>
          </cell>
        </row>
        <row r="69">
          <cell r="J69">
            <v>369.27632066500001</v>
          </cell>
        </row>
        <row r="70">
          <cell r="J70">
            <v>1413.268571045</v>
          </cell>
        </row>
        <row r="71">
          <cell r="J71">
            <v>387.9693184193232</v>
          </cell>
        </row>
        <row r="72">
          <cell r="J72">
            <v>17.679635379999361</v>
          </cell>
        </row>
        <row r="73">
          <cell r="J73">
            <v>5037.7893542888196</v>
          </cell>
        </row>
        <row r="74">
          <cell r="J74">
            <v>2992.3053864613739</v>
          </cell>
        </row>
        <row r="75">
          <cell r="J75">
            <v>25944.070669140419</v>
          </cell>
        </row>
        <row r="76">
          <cell r="J76">
            <v>4690.5253607630912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38285.982960961002</v>
          </cell>
        </row>
        <row r="80">
          <cell r="J80">
            <v>1595.022562353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341.74360999999999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63710.922751198894</v>
          </cell>
        </row>
        <row r="87">
          <cell r="J87">
            <v>6803.0410457092776</v>
          </cell>
        </row>
        <row r="88">
          <cell r="J88">
            <v>-48589.576989157758</v>
          </cell>
        </row>
        <row r="89">
          <cell r="J89">
            <v>18516.331047098422</v>
          </cell>
        </row>
        <row r="90">
          <cell r="J90">
            <v>13454.289161503348</v>
          </cell>
        </row>
        <row r="91">
          <cell r="J91">
            <v>17540.989233764765</v>
          </cell>
        </row>
        <row r="92">
          <cell r="J92">
            <v>51767.987016806357</v>
          </cell>
        </row>
        <row r="93">
          <cell r="J93">
            <v>1708.8966380666823</v>
          </cell>
        </row>
        <row r="94">
          <cell r="J94">
            <v>0</v>
          </cell>
        </row>
        <row r="95">
          <cell r="J95">
            <v>18849.180614486508</v>
          </cell>
        </row>
        <row r="96">
          <cell r="J96">
            <v>1649.4929123683492</v>
          </cell>
        </row>
        <row r="97">
          <cell r="J97">
            <v>4254.5239040830857</v>
          </cell>
        </row>
        <row r="98">
          <cell r="J98">
            <v>20188.254933986002</v>
          </cell>
        </row>
        <row r="99">
          <cell r="J99">
            <v>48361</v>
          </cell>
        </row>
        <row r="100">
          <cell r="J100">
            <v>68949.234441522072</v>
          </cell>
        </row>
        <row r="101">
          <cell r="J101">
            <v>-5265.8625514523583</v>
          </cell>
        </row>
        <row r="102">
          <cell r="J102">
            <v>1415</v>
          </cell>
        </row>
        <row r="103">
          <cell r="J103">
            <v>47842</v>
          </cell>
        </row>
        <row r="104">
          <cell r="J104">
            <v>-50696.435890720561</v>
          </cell>
        </row>
        <row r="105">
          <cell r="J105">
            <v>15323.795583390161</v>
          </cell>
        </row>
        <row r="106">
          <cell r="J106">
            <v>85632.429104164126</v>
          </cell>
        </row>
      </sheetData>
      <sheetData sheetId="9"/>
      <sheetData sheetId="10">
        <row r="14">
          <cell r="T14">
            <v>0</v>
          </cell>
        </row>
        <row r="17">
          <cell r="T17">
            <v>0</v>
          </cell>
        </row>
      </sheetData>
      <sheetData sheetId="11"/>
      <sheetData sheetId="12">
        <row r="112">
          <cell r="D112">
            <v>-49741655.74999997</v>
          </cell>
        </row>
        <row r="123">
          <cell r="D123">
            <v>15035198.260000002</v>
          </cell>
        </row>
        <row r="127">
          <cell r="D127">
            <v>0</v>
          </cell>
        </row>
        <row r="128">
          <cell r="D128">
            <v>86013925.420000002</v>
          </cell>
        </row>
        <row r="149">
          <cell r="D149">
            <v>-5492000</v>
          </cell>
        </row>
        <row r="150">
          <cell r="D150">
            <v>0</v>
          </cell>
        </row>
        <row r="151">
          <cell r="D151">
            <v>3000</v>
          </cell>
        </row>
        <row r="152">
          <cell r="D152">
            <v>20343662.466665998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-37838.730000000003</v>
          </cell>
        </row>
        <row r="157">
          <cell r="D157">
            <v>69480000</v>
          </cell>
        </row>
        <row r="158">
          <cell r="D158">
            <v>48361000</v>
          </cell>
        </row>
        <row r="159">
          <cell r="D159">
            <v>47842000</v>
          </cell>
        </row>
        <row r="160">
          <cell r="D160">
            <v>31440.000000799992</v>
          </cell>
        </row>
        <row r="161">
          <cell r="D161">
            <v>9000</v>
          </cell>
        </row>
        <row r="162">
          <cell r="D162">
            <v>1415000</v>
          </cell>
        </row>
        <row r="163">
          <cell r="D163">
            <v>180000</v>
          </cell>
        </row>
        <row r="273">
          <cell r="D273">
            <v>0</v>
          </cell>
        </row>
      </sheetData>
      <sheetData sheetId="13"/>
      <sheetData sheetId="14"/>
      <sheetData sheetId="15"/>
      <sheetData sheetId="16"/>
      <sheetData sheetId="17"/>
      <sheetData sheetId="18">
        <row r="1"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</row>
        <row r="2">
          <cell r="A2"/>
          <cell r="B2"/>
          <cell r="C2" t="str">
            <v>WORKING BUDGET</v>
          </cell>
          <cell r="D2" t="str">
            <v>WORKING BUDGET</v>
          </cell>
          <cell r="E2" t="str">
            <v>WORKING BUDGET</v>
          </cell>
          <cell r="F2" t="str">
            <v>WORKING BUDGET</v>
          </cell>
          <cell r="G2" t="str">
            <v>WORKING BUDGET</v>
          </cell>
          <cell r="H2" t="str">
            <v>WORKING BUDGET</v>
          </cell>
          <cell r="I2" t="str">
            <v>WORKING BUDGET</v>
          </cell>
          <cell r="J2" t="str">
            <v>WORKING BUDGET</v>
          </cell>
          <cell r="K2" t="str">
            <v>WORKING BUDGET</v>
          </cell>
          <cell r="L2" t="str">
            <v>WORKING BUDGET</v>
          </cell>
          <cell r="M2" t="str">
            <v>WORKING BUDGET</v>
          </cell>
          <cell r="N2" t="str">
            <v>WORKING BUDGET</v>
          </cell>
          <cell r="O2" t="str">
            <v>WORKING BUDGET</v>
          </cell>
        </row>
        <row r="3">
          <cell r="A3"/>
          <cell r="B3" t="str">
            <v>ACCOUNT DESCRIPTION</v>
          </cell>
          <cell r="C3" t="str">
            <v>2021 JAN</v>
          </cell>
          <cell r="D3" t="str">
            <v>2021 FEB</v>
          </cell>
          <cell r="E3" t="str">
            <v>2021 MAR</v>
          </cell>
          <cell r="F3" t="str">
            <v>2021 APR</v>
          </cell>
          <cell r="G3" t="str">
            <v>2021 MAY</v>
          </cell>
          <cell r="H3" t="str">
            <v>2021 JUN</v>
          </cell>
          <cell r="I3" t="str">
            <v>2021 JUL</v>
          </cell>
          <cell r="J3" t="str">
            <v>2021 AUG</v>
          </cell>
          <cell r="K3" t="str">
            <v>2021 SEP</v>
          </cell>
          <cell r="L3" t="str">
            <v>2021 OCT</v>
          </cell>
          <cell r="M3" t="str">
            <v>2021 NOV</v>
          </cell>
          <cell r="N3" t="str">
            <v>2021 DEC</v>
          </cell>
          <cell r="O3" t="str">
            <v>2021 TOTAL</v>
          </cell>
        </row>
        <row r="4">
          <cell r="A4"/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</row>
        <row r="5">
          <cell r="A5" t="str">
            <v>1010000</v>
          </cell>
          <cell r="B5" t="str">
            <v>Utility Plant in Service</v>
          </cell>
          <cell r="C5">
            <v>9862121143.9591999</v>
          </cell>
          <cell r="D5">
            <v>9882883504.5970211</v>
          </cell>
          <cell r="E5">
            <v>9872644178.5279293</v>
          </cell>
          <cell r="F5">
            <v>9865748733.3677597</v>
          </cell>
          <cell r="G5">
            <v>9918694524.8816795</v>
          </cell>
          <cell r="H5">
            <v>9927131885.90452</v>
          </cell>
          <cell r="I5">
            <v>10066294315.8962</v>
          </cell>
          <cell r="J5">
            <v>10137155496.0534</v>
          </cell>
          <cell r="K5">
            <v>10171750081.214199</v>
          </cell>
          <cell r="L5">
            <v>10217069171.9923</v>
          </cell>
          <cell r="M5">
            <v>10275022222.6073</v>
          </cell>
          <cell r="N5">
            <v>9299985822.5279293</v>
          </cell>
          <cell r="O5">
            <v>119496501081.52943</v>
          </cell>
        </row>
        <row r="6">
          <cell r="A6" t="str">
            <v>1010001</v>
          </cell>
          <cell r="B6" t="str">
            <v>Utility Plant in Service (PP Only)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1010002</v>
          </cell>
          <cell r="B7" t="str">
            <v>Utility Plant in Service (PP Only)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1010003</v>
          </cell>
          <cell r="B8" t="str">
            <v>Utility Plant in Service (PP Only)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1010004</v>
          </cell>
          <cell r="B9" t="str">
            <v>Utility Plant in Service (PP Only)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1010200</v>
          </cell>
          <cell r="B10" t="str">
            <v>Service Company Property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1010900</v>
          </cell>
          <cell r="B11" t="str">
            <v>Plant Purchase Accounting Adjustment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1011000</v>
          </cell>
          <cell r="B12" t="str">
            <v>Property Under Capital Leases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1011200</v>
          </cell>
          <cell r="B13" t="str">
            <v>ROUS OPT LEASES</v>
          </cell>
          <cell r="C13">
            <v>25852494.719999999</v>
          </cell>
          <cell r="D13">
            <v>25705824.530000001</v>
          </cell>
          <cell r="E13">
            <v>25558694.890000001</v>
          </cell>
          <cell r="F13">
            <v>25411104.34</v>
          </cell>
          <cell r="G13">
            <v>25263051.449999999</v>
          </cell>
          <cell r="H13">
            <v>25114534.77</v>
          </cell>
          <cell r="I13">
            <v>24965552.84</v>
          </cell>
          <cell r="J13">
            <v>24816101.18</v>
          </cell>
          <cell r="K13">
            <v>24666178.309999999</v>
          </cell>
          <cell r="L13">
            <v>24515782.760000002</v>
          </cell>
          <cell r="M13">
            <v>24377879.940000001</v>
          </cell>
          <cell r="N13">
            <v>24239538.109999999</v>
          </cell>
          <cell r="O13">
            <v>300486737.84000003</v>
          </cell>
        </row>
        <row r="14">
          <cell r="A14" t="str">
            <v>1020000</v>
          </cell>
          <cell r="B14" t="str">
            <v>Plant Purchased or Sold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1030000</v>
          </cell>
          <cell r="B15" t="str">
            <v>Experimental Plant Unclassified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1031000</v>
          </cell>
          <cell r="B16" t="str">
            <v>Plant in Process of Reclassification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1040000</v>
          </cell>
          <cell r="B17" t="str">
            <v>Plant Leased to Others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1040001</v>
          </cell>
          <cell r="B18" t="str">
            <v>Plant Leased to Others - GAAP adj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1050000</v>
          </cell>
          <cell r="B19" t="str">
            <v>Plant Held for Future Use</v>
          </cell>
          <cell r="C19">
            <v>54537442.119999997</v>
          </cell>
          <cell r="D19">
            <v>54537442.119999997</v>
          </cell>
          <cell r="E19">
            <v>54537442.119999997</v>
          </cell>
          <cell r="F19">
            <v>54537442.119999997</v>
          </cell>
          <cell r="G19">
            <v>54537442.119999997</v>
          </cell>
          <cell r="H19">
            <v>54537951.170000002</v>
          </cell>
          <cell r="I19">
            <v>54537951.170000002</v>
          </cell>
          <cell r="J19">
            <v>54537951.170000002</v>
          </cell>
          <cell r="K19">
            <v>55037951.170000002</v>
          </cell>
          <cell r="L19">
            <v>55037951.170000002</v>
          </cell>
          <cell r="M19">
            <v>55037951.170000002</v>
          </cell>
          <cell r="N19">
            <v>61271044.840000004</v>
          </cell>
          <cell r="O19">
            <v>662685962.46000004</v>
          </cell>
        </row>
        <row r="20">
          <cell r="A20" t="str">
            <v>1051000</v>
          </cell>
          <cell r="B20" t="str">
            <v>Production Properties Held for Future Use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1060000</v>
          </cell>
          <cell r="B21" t="str">
            <v>Completed Construction not Classified</v>
          </cell>
          <cell r="C21">
            <v>432713946.489999</v>
          </cell>
          <cell r="D21">
            <v>441547525.76999903</v>
          </cell>
          <cell r="E21">
            <v>500835741.08999902</v>
          </cell>
          <cell r="F21">
            <v>568399821.60999894</v>
          </cell>
          <cell r="G21">
            <v>540529671.03999901</v>
          </cell>
          <cell r="H21">
            <v>609900661.02999902</v>
          </cell>
          <cell r="I21">
            <v>492928807.15999901</v>
          </cell>
          <cell r="J21">
            <v>456345816.799999</v>
          </cell>
          <cell r="K21">
            <v>454586103.669999</v>
          </cell>
          <cell r="L21">
            <v>445581173.40999901</v>
          </cell>
          <cell r="M21">
            <v>437845233.22999901</v>
          </cell>
          <cell r="N21">
            <v>1337616614.1600001</v>
          </cell>
          <cell r="O21">
            <v>6718831115.4599886</v>
          </cell>
        </row>
        <row r="22">
          <cell r="A22" t="str">
            <v>1070000</v>
          </cell>
          <cell r="B22" t="str">
            <v>Construction Work in Progress</v>
          </cell>
          <cell r="C22">
            <v>1180571554.8399999</v>
          </cell>
          <cell r="D22">
            <v>1217562373.23</v>
          </cell>
          <cell r="E22">
            <v>1260834425.1700001</v>
          </cell>
          <cell r="F22">
            <v>1283722871.47</v>
          </cell>
          <cell r="G22">
            <v>1366798594.3399999</v>
          </cell>
          <cell r="H22">
            <v>1411965736.3299999</v>
          </cell>
          <cell r="I22">
            <v>1474213081.0999999</v>
          </cell>
          <cell r="J22">
            <v>1520680672.3499999</v>
          </cell>
          <cell r="K22">
            <v>1559446845.8900001</v>
          </cell>
          <cell r="L22">
            <v>1592758121.71</v>
          </cell>
          <cell r="M22">
            <v>1612842852.52</v>
          </cell>
          <cell r="N22">
            <v>700742183.89999998</v>
          </cell>
          <cell r="O22">
            <v>16182139312.85</v>
          </cell>
        </row>
        <row r="23">
          <cell r="A23" t="str">
            <v>1080000</v>
          </cell>
          <cell r="B23" t="str">
            <v>Accumulated Provision for Depreciation</v>
          </cell>
          <cell r="C23">
            <v>-3374122405.3730998</v>
          </cell>
          <cell r="D23">
            <v>-3391137410.7277498</v>
          </cell>
          <cell r="E23">
            <v>-3403755386.4761901</v>
          </cell>
          <cell r="F23">
            <v>-3417695780.6536398</v>
          </cell>
          <cell r="G23">
            <v>-3436957734.2284398</v>
          </cell>
          <cell r="H23">
            <v>-3441481275.7269802</v>
          </cell>
          <cell r="I23">
            <v>-3461569862.16329</v>
          </cell>
          <cell r="J23">
            <v>-3479231529.1195598</v>
          </cell>
          <cell r="K23">
            <v>-3496440988.6833</v>
          </cell>
          <cell r="L23">
            <v>-3514725078.56531</v>
          </cell>
          <cell r="M23">
            <v>-3528691194.4127998</v>
          </cell>
          <cell r="N23">
            <v>-2501498849.5372701</v>
          </cell>
          <cell r="O23">
            <v>-40447307495.667625</v>
          </cell>
        </row>
        <row r="24">
          <cell r="A24" t="str">
            <v>1080001</v>
          </cell>
          <cell r="B24" t="str">
            <v>Retirement Work in Progress</v>
          </cell>
          <cell r="C24">
            <v>63022910.200000003</v>
          </cell>
          <cell r="D24">
            <v>63022910.200000003</v>
          </cell>
          <cell r="E24">
            <v>63022910.200000003</v>
          </cell>
          <cell r="F24">
            <v>63022910.200000003</v>
          </cell>
          <cell r="G24">
            <v>63022910.200000003</v>
          </cell>
          <cell r="H24">
            <v>63022910.200000003</v>
          </cell>
          <cell r="I24">
            <v>63022910.200000003</v>
          </cell>
          <cell r="J24">
            <v>63022910.200000003</v>
          </cell>
          <cell r="K24">
            <v>63022910.200000003</v>
          </cell>
          <cell r="L24">
            <v>63022910.200000003</v>
          </cell>
          <cell r="M24">
            <v>63022910.200000003</v>
          </cell>
          <cell r="N24">
            <v>63022910.200000003</v>
          </cell>
          <cell r="O24">
            <v>756274922.4000001</v>
          </cell>
        </row>
        <row r="25">
          <cell r="A25" t="str">
            <v>1080100</v>
          </cell>
          <cell r="B25" t="str">
            <v>Accumulated Reserve Cost of Removal - Current</v>
          </cell>
          <cell r="C25">
            <v>15710182.01</v>
          </cell>
          <cell r="D25">
            <v>15715182.01</v>
          </cell>
          <cell r="E25">
            <v>15720182.01</v>
          </cell>
          <cell r="F25">
            <v>15725182.01</v>
          </cell>
          <cell r="G25">
            <v>15730182.01</v>
          </cell>
          <cell r="H25">
            <v>15735182.01</v>
          </cell>
          <cell r="I25">
            <v>15740182.01</v>
          </cell>
          <cell r="J25">
            <v>15745182.01</v>
          </cell>
          <cell r="K25">
            <v>15750182.01</v>
          </cell>
          <cell r="L25">
            <v>15755182.01</v>
          </cell>
          <cell r="M25">
            <v>15760182.01</v>
          </cell>
          <cell r="N25">
            <v>15765182.01</v>
          </cell>
          <cell r="O25">
            <v>188852184.11999997</v>
          </cell>
        </row>
        <row r="26">
          <cell r="A26" t="str">
            <v>1080110</v>
          </cell>
          <cell r="B26" t="str">
            <v>Accum Reserve Cost of Removal Contra- Current</v>
          </cell>
          <cell r="C26">
            <v>15710182.01</v>
          </cell>
          <cell r="D26">
            <v>15715182.01</v>
          </cell>
          <cell r="E26">
            <v>15720182.01</v>
          </cell>
          <cell r="F26">
            <v>15725182.01</v>
          </cell>
          <cell r="G26">
            <v>15730182.01</v>
          </cell>
          <cell r="H26">
            <v>15735182.01</v>
          </cell>
          <cell r="I26">
            <v>15740182.01</v>
          </cell>
          <cell r="J26">
            <v>15745182.01</v>
          </cell>
          <cell r="K26">
            <v>15750182.01</v>
          </cell>
          <cell r="L26">
            <v>15755182.01</v>
          </cell>
          <cell r="M26">
            <v>15760182.01</v>
          </cell>
          <cell r="N26">
            <v>15765182.01</v>
          </cell>
          <cell r="O26">
            <v>188852184.11999997</v>
          </cell>
        </row>
        <row r="27">
          <cell r="A27" t="str">
            <v>1080200</v>
          </cell>
          <cell r="B27" t="str">
            <v>Accumulated Reserve Cost of Removal - Non-Current</v>
          </cell>
          <cell r="C27">
            <v>298493458.10000002</v>
          </cell>
          <cell r="D27">
            <v>298588458.10000002</v>
          </cell>
          <cell r="E27">
            <v>298683458.10000002</v>
          </cell>
          <cell r="F27">
            <v>298778458.10000002</v>
          </cell>
          <cell r="G27">
            <v>298873458.10000002</v>
          </cell>
          <cell r="H27">
            <v>298968458.10000002</v>
          </cell>
          <cell r="I27">
            <v>299063458.10000002</v>
          </cell>
          <cell r="J27">
            <v>299158458.10000002</v>
          </cell>
          <cell r="K27">
            <v>299253458.10000002</v>
          </cell>
          <cell r="L27">
            <v>299348458.10000002</v>
          </cell>
          <cell r="M27">
            <v>299443458.10000002</v>
          </cell>
          <cell r="N27">
            <v>299538458.10000002</v>
          </cell>
          <cell r="O27">
            <v>3588191497.1999993</v>
          </cell>
        </row>
        <row r="28">
          <cell r="A28" t="str">
            <v>1080210</v>
          </cell>
          <cell r="B28" t="str">
            <v>Accum Reserve Cost of Removal Contra- Non-Current</v>
          </cell>
          <cell r="C28">
            <v>298493458.10000002</v>
          </cell>
          <cell r="D28">
            <v>298588458.10000002</v>
          </cell>
          <cell r="E28">
            <v>298683458.10000002</v>
          </cell>
          <cell r="F28">
            <v>298778458.10000002</v>
          </cell>
          <cell r="G28">
            <v>298873458.10000002</v>
          </cell>
          <cell r="H28">
            <v>298968458.10000002</v>
          </cell>
          <cell r="I28">
            <v>299063458.10000002</v>
          </cell>
          <cell r="J28">
            <v>299158458.10000002</v>
          </cell>
          <cell r="K28">
            <v>299253458.10000002</v>
          </cell>
          <cell r="L28">
            <v>299348458.10000002</v>
          </cell>
          <cell r="M28">
            <v>299443458.10000002</v>
          </cell>
          <cell r="N28">
            <v>299538458.10000002</v>
          </cell>
          <cell r="O28">
            <v>3588191497.1999993</v>
          </cell>
        </row>
        <row r="29">
          <cell r="A29" t="str">
            <v>1080300</v>
          </cell>
          <cell r="B29" t="str">
            <v>Non-Redundable CIAC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1080900</v>
          </cell>
          <cell r="B30" t="str">
            <v>Reserve Plant Purchase Accounting Adjustment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1080901</v>
          </cell>
          <cell r="B31" t="str">
            <v>Accumulated Provision for Depreciation - GAAP adj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1110000</v>
          </cell>
          <cell r="B32" t="str">
            <v>Accumulated Provision For Amortization</v>
          </cell>
          <cell r="C32">
            <v>-84422174.444017097</v>
          </cell>
          <cell r="D32">
            <v>-85825778.852586001</v>
          </cell>
          <cell r="E32">
            <v>-87233485.005279794</v>
          </cell>
          <cell r="F32">
            <v>-88651427.358015895</v>
          </cell>
          <cell r="G32">
            <v>-90155988.110641494</v>
          </cell>
          <cell r="H32">
            <v>-91664949.440233797</v>
          </cell>
          <cell r="I32">
            <v>-93193580.509892195</v>
          </cell>
          <cell r="J32">
            <v>-94726323.751275599</v>
          </cell>
          <cell r="K32">
            <v>-96267267.641045198</v>
          </cell>
          <cell r="L32">
            <v>-97826884.482847095</v>
          </cell>
          <cell r="M32">
            <v>-99418015.185816199</v>
          </cell>
          <cell r="N32">
            <v>-101041633.17703401</v>
          </cell>
          <cell r="O32">
            <v>-1110427507.9586844</v>
          </cell>
        </row>
        <row r="33">
          <cell r="A33" t="str">
            <v>1140000</v>
          </cell>
          <cell r="B33" t="str">
            <v>Plant Acquisition Adjustments</v>
          </cell>
          <cell r="C33">
            <v>7484822.7599999998</v>
          </cell>
          <cell r="D33">
            <v>7484822.7599999998</v>
          </cell>
          <cell r="E33">
            <v>7484822.7599999998</v>
          </cell>
          <cell r="F33">
            <v>7484822.7599999998</v>
          </cell>
          <cell r="G33">
            <v>7484822.7599999998</v>
          </cell>
          <cell r="H33">
            <v>7484822.7599999998</v>
          </cell>
          <cell r="I33">
            <v>7484822.7599999998</v>
          </cell>
          <cell r="J33">
            <v>7484822.7599999998</v>
          </cell>
          <cell r="K33">
            <v>7484822.7599999998</v>
          </cell>
          <cell r="L33">
            <v>7484822.7599999998</v>
          </cell>
          <cell r="M33">
            <v>7484822.7599999998</v>
          </cell>
          <cell r="N33">
            <v>7484822.7599999998</v>
          </cell>
          <cell r="O33">
            <v>89817873.120000005</v>
          </cell>
        </row>
        <row r="34">
          <cell r="A34" t="str">
            <v>1140200</v>
          </cell>
          <cell r="B34" t="str">
            <v>Acquisition Adjustments - Goodwill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1150000</v>
          </cell>
          <cell r="B35" t="str">
            <v>Accum Provision Amort Plant Acquisition Adjustment</v>
          </cell>
          <cell r="C35">
            <v>-5956257.0300000003</v>
          </cell>
          <cell r="D35">
            <v>-5975982.7599999998</v>
          </cell>
          <cell r="E35">
            <v>-5995708.4900000002</v>
          </cell>
          <cell r="F35">
            <v>-6015434.2199999997</v>
          </cell>
          <cell r="G35">
            <v>-6035159.9500000002</v>
          </cell>
          <cell r="H35">
            <v>-6054885.6799999997</v>
          </cell>
          <cell r="I35">
            <v>-6074611.4100000001</v>
          </cell>
          <cell r="J35">
            <v>-6094337.1399999997</v>
          </cell>
          <cell r="K35">
            <v>-6114062.8700000001</v>
          </cell>
          <cell r="L35">
            <v>-6133788.5999999996</v>
          </cell>
          <cell r="M35">
            <v>-6153514.3300000001</v>
          </cell>
          <cell r="N35">
            <v>-6173240.0599999996</v>
          </cell>
          <cell r="O35">
            <v>-72776982.539999992</v>
          </cell>
        </row>
        <row r="36">
          <cell r="A36" t="str">
            <v>1160000</v>
          </cell>
          <cell r="B36" t="str">
            <v>Other Plant Adjustments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1171000</v>
          </cell>
          <cell r="B37" t="str">
            <v>Gas Stored - Base Gas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1172000</v>
          </cell>
          <cell r="B38" t="str">
            <v>System Balancing Gas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1173200</v>
          </cell>
          <cell r="B39" t="str">
            <v>Gas Stored in Reservoirs and Pipelines-Noncurrent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1174000</v>
          </cell>
          <cell r="B40" t="str">
            <v>Gas Owed to System Gas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1180000</v>
          </cell>
          <cell r="B41" t="str">
            <v>Other Utility Plant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1190000</v>
          </cell>
          <cell r="B42" t="str">
            <v>Accum Provision Depr Amort Other Utility Plant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1210000</v>
          </cell>
          <cell r="B43" t="str">
            <v>Nonutility Property</v>
          </cell>
          <cell r="C43">
            <v>13770052.310000001</v>
          </cell>
          <cell r="D43">
            <v>13878675.470000001</v>
          </cell>
          <cell r="E43">
            <v>13987298.630000001</v>
          </cell>
          <cell r="F43">
            <v>14095921.789999999</v>
          </cell>
          <cell r="G43">
            <v>14204544.949999999</v>
          </cell>
          <cell r="H43">
            <v>14313168.109999999</v>
          </cell>
          <cell r="I43">
            <v>14421791.27</v>
          </cell>
          <cell r="J43">
            <v>14530414.43</v>
          </cell>
          <cell r="K43">
            <v>14639037.59</v>
          </cell>
          <cell r="L43">
            <v>14747660.75</v>
          </cell>
          <cell r="M43">
            <v>14856283.91</v>
          </cell>
          <cell r="N43">
            <v>14964907.119999999</v>
          </cell>
          <cell r="O43">
            <v>172409756.33000001</v>
          </cell>
        </row>
        <row r="44">
          <cell r="A44" t="str">
            <v>1220000</v>
          </cell>
          <cell r="B44" t="str">
            <v>Accum Provision Depr Amortiz Nonutility Property</v>
          </cell>
          <cell r="C44">
            <v>-6955375.2991666999</v>
          </cell>
          <cell r="D44">
            <v>-7026600.1281110998</v>
          </cell>
          <cell r="E44">
            <v>-7098428.4190555997</v>
          </cell>
          <cell r="F44">
            <v>-7170860.1720000003</v>
          </cell>
          <cell r="G44">
            <v>-7243895.3869444001</v>
          </cell>
          <cell r="H44">
            <v>-7317534.0638889</v>
          </cell>
          <cell r="I44">
            <v>-7391776.2028333005</v>
          </cell>
          <cell r="J44">
            <v>-7466621.8037777999</v>
          </cell>
          <cell r="K44">
            <v>-7542070.8667222001</v>
          </cell>
          <cell r="L44">
            <v>-7618123.3916667001</v>
          </cell>
          <cell r="M44">
            <v>-7694779.3786110999</v>
          </cell>
          <cell r="N44">
            <v>-7772038.8275555996</v>
          </cell>
          <cell r="O44">
            <v>-88298103.940333396</v>
          </cell>
        </row>
        <row r="45">
          <cell r="A45" t="str">
            <v>1230000</v>
          </cell>
          <cell r="B45" t="str">
            <v>Investment in Associated Companies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1231000</v>
          </cell>
          <cell r="B46" t="str">
            <v>Investment in Subsidiary Companies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1240200</v>
          </cell>
          <cell r="B47" t="str">
            <v>Non-Current Other Investments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1250000</v>
          </cell>
          <cell r="B48" t="str">
            <v>Sinking Funds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1260000</v>
          </cell>
          <cell r="B49" t="str">
            <v>Depreciation Fund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1270000</v>
          </cell>
          <cell r="B50" t="str">
            <v>Amortization Fund - Federal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1280000</v>
          </cell>
          <cell r="B51" t="str">
            <v>Other Special Funds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1300010</v>
          </cell>
          <cell r="B52" t="str">
            <v>BI Fideicomiso San Jose Flujos Q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1300011</v>
          </cell>
          <cell r="B53" t="str">
            <v>BI Fideicomiso SJ Flujos Q - Outgoing ACH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1300012</v>
          </cell>
          <cell r="B54" t="str">
            <v>BI Fideicomiso SJ Flujos Q - Incoming ACH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1300013</v>
          </cell>
          <cell r="B55" t="str">
            <v>BI Fideicomiso SJ Flujos Q - Outgoing WIRE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1300014</v>
          </cell>
          <cell r="B56" t="str">
            <v>BI Fideicomiso SJ Flujos Q - Incoming WIRE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1300015</v>
          </cell>
          <cell r="B57" t="str">
            <v>BI Fideicomiso SJ Flujos Q - Outgoing Check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1300016</v>
          </cell>
          <cell r="B58" t="str">
            <v>BI Fideicomiso SJ Flujos Q - Incoming Check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1300018</v>
          </cell>
          <cell r="B59" t="str">
            <v>BI Fideicomiso SJ Flujos Q - Translation Gain/Loss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1300020</v>
          </cell>
          <cell r="B60" t="str">
            <v>BI Fideicomiso San Jose Flujos USD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1300021</v>
          </cell>
          <cell r="B61" t="str">
            <v>BI Fideicomiso SJ Flujos USD - Outgoing ACH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1300022</v>
          </cell>
          <cell r="B62" t="str">
            <v>BI Fideicomiso SJ Flujos USD - Incoming ACH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1300023</v>
          </cell>
          <cell r="B63" t="str">
            <v>BI Fideicomiso SJ Flujos USD - Outgoing WIRE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1300024</v>
          </cell>
          <cell r="B64" t="str">
            <v>BI Fideicomiso SJ Flujos USD - Incoming WIRE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1300025</v>
          </cell>
          <cell r="B65" t="str">
            <v>BI Fideicomiso SJ Flujos USD - Outgoing Check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1300026</v>
          </cell>
          <cell r="B66" t="str">
            <v>BI Fideicomiso SJ Flujos USD - Incoming Check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1300028</v>
          </cell>
          <cell r="B67" t="str">
            <v>BI Fideicomiso SJ Flujos USD - Translation G/L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1300030</v>
          </cell>
          <cell r="B68" t="str">
            <v>BI Fideicomiso San Jose Flujos-Prov Serv de Deuda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1300031</v>
          </cell>
          <cell r="B69" t="str">
            <v>BI Fideicomiso SJ Flujos Srv Deuda-Outgoing ACH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1300032</v>
          </cell>
          <cell r="B70" t="str">
            <v>BI Fideicomiso SJ Flujos Srv Deuda-Incoming ACH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1300033</v>
          </cell>
          <cell r="B71" t="str">
            <v>BI Fideicomiso SJ Flujos Srv Deuda-Outgoing WIRE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1300034</v>
          </cell>
          <cell r="B72" t="str">
            <v>BI Fideicomiso SJ Flujos Srv Deuda-Incoming WIRE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1300035</v>
          </cell>
          <cell r="B73" t="str">
            <v>BI Fideicomiso SJ Flujos Srv Deuda-Outgoing Check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1300036</v>
          </cell>
          <cell r="B74" t="str">
            <v>BI Fideicomiso SJ Flujos Srv Deuda-Incoming Check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1300038</v>
          </cell>
          <cell r="B75" t="str">
            <v>BI Fideicomiso SJ Flujos Srv Deuda-Translation G/L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1300040</v>
          </cell>
          <cell r="B76" t="str">
            <v>BI Tecnologia Maritima Restricted Q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1300041</v>
          </cell>
          <cell r="B77" t="str">
            <v>BI TEMSA Restricted Q - Outgoing ACH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1300042</v>
          </cell>
          <cell r="B78" t="str">
            <v>BI TEMSA Restricted Q - Incoming ACH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1300043</v>
          </cell>
          <cell r="B79" t="str">
            <v>BI TEMSA Restricted Q - Outgoing WIRE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1300044</v>
          </cell>
          <cell r="B80" t="str">
            <v>BI TEMSA Restricted Q - Incoming WIRE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1300045</v>
          </cell>
          <cell r="B81" t="str">
            <v>BI TEMSA Restricted Q - Outgoing Check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1300046</v>
          </cell>
          <cell r="B82" t="str">
            <v>BI TEMSA Restricted Q - Incoming Check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1300048</v>
          </cell>
          <cell r="B83" t="str">
            <v>BI TEMSA Restricted Q - Translation Gain/Loss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1300050</v>
          </cell>
          <cell r="B84" t="str">
            <v>BI Fideicomiso Antea/Ingresos San Jose Q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1300053</v>
          </cell>
          <cell r="B85" t="str">
            <v>BI Fideicomiso Antea/Ingresos SJ Q-Transf Salida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1300054</v>
          </cell>
          <cell r="B86" t="str">
            <v>BI Fideicomiso Antea/Ingresos SJ Q-Transf Ingreso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1300058</v>
          </cell>
          <cell r="B87" t="str">
            <v>BI Fideicomiso Antea/Ingr SJ Q-Diferencial Camb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1300060</v>
          </cell>
          <cell r="B88" t="str">
            <v>BI Fideicomiso Antea/Ingresos San Jose USD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1300063</v>
          </cell>
          <cell r="B89" t="str">
            <v>BI Fideicomiso Antea/Ing SJ USD-Transf Salida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1300064</v>
          </cell>
          <cell r="B90" t="str">
            <v>BI Fideicomiso Antea/Ingr SJ USD-Transf Ingreso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1300068</v>
          </cell>
          <cell r="B91" t="str">
            <v>BI Fideicomiso Antea/Ingr SJ USD-Diferencial Camb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1300100</v>
          </cell>
          <cell r="B92" t="str">
            <v>Restricted Cash - Current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1300200</v>
          </cell>
          <cell r="B93" t="str">
            <v>Restricted Cash - Non-Current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1310000</v>
          </cell>
          <cell r="B94" t="str">
            <v>JPM TECO Energy Concentration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1310001</v>
          </cell>
          <cell r="B95" t="str">
            <v>JPM TECO Energy Concentration - Outgoing ACH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1310002</v>
          </cell>
          <cell r="B96" t="str">
            <v>JPM TECO Energy Concentration - Incoming ACH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1310003</v>
          </cell>
          <cell r="B97" t="str">
            <v>JPM TECO Energy Concentration - Outgoing WIRE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1310004</v>
          </cell>
          <cell r="B98" t="str">
            <v>JPM TECO Energy Concentration - Incoming WIRE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1310005</v>
          </cell>
          <cell r="B99" t="str">
            <v>JPM TECO Energy Concentration - Outgoing Check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1310006</v>
          </cell>
          <cell r="B100" t="str">
            <v>JPM TECO Energy Concentration - Incoming Check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1310007</v>
          </cell>
          <cell r="B101" t="str">
            <v>JPM TECO Energy Concentration - ZBA Clearing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1310008</v>
          </cell>
          <cell r="B102" t="str">
            <v>JPM TECO Energy Concentration - Other Clearing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1310010</v>
          </cell>
          <cell r="B103" t="str">
            <v>JPM TECO Energy Operations --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1310011</v>
          </cell>
          <cell r="B104" t="str">
            <v>JPM TECO Energy Operations - Outgoing ACH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1310012</v>
          </cell>
          <cell r="B105" t="str">
            <v>JPM TECO Energy Operations - Incoming ACH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1310013</v>
          </cell>
          <cell r="B106" t="str">
            <v>JPM TECO Energy Operations - Outgoing WIRE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1310014</v>
          </cell>
          <cell r="B107" t="str">
            <v>JPM TECO Energy Operations - Incoming WIRE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1310015</v>
          </cell>
          <cell r="B108" t="str">
            <v>JPM TECO Energy Operations - Outgoing Check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1310016</v>
          </cell>
          <cell r="B109" t="str">
            <v>JPM TECO Energy Operations - Incoming Check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1310017</v>
          </cell>
          <cell r="B110" t="str">
            <v>JPM TECO Energy Operations - ZBA Clearing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1310018</v>
          </cell>
          <cell r="B111" t="str">
            <v>JPM TECO Energy Operations - Other Clearing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1310020</v>
          </cell>
          <cell r="B112" t="str">
            <v>JPM TECO Energy - Payroll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1310021</v>
          </cell>
          <cell r="B113" t="str">
            <v>JPM TECO Energy - Payroll - Outgoing ACH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1310022</v>
          </cell>
          <cell r="B114" t="str">
            <v>JPM TECO Energy - Payroll - Incoming ACH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1310023</v>
          </cell>
          <cell r="B115" t="str">
            <v>JPM TECO Energy - Payroll - Outgoing WIRE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1310024</v>
          </cell>
          <cell r="B116" t="str">
            <v>JPM TECO Energy - Payroll - Incoming WIRE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1310025</v>
          </cell>
          <cell r="B117" t="str">
            <v>JPM TECO Energy - Payroll - Outgoing Check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1310026</v>
          </cell>
          <cell r="B118" t="str">
            <v>JPM TECO Energy - Payroll - Incoming Check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1310027</v>
          </cell>
          <cell r="B119" t="str">
            <v>JPM TECO Energy - Payroll - ZBA Clearing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1310028</v>
          </cell>
          <cell r="B120" t="str">
            <v>JPM TECO Energy - Payroll - Other Clearing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1310030</v>
          </cell>
          <cell r="B121" t="str">
            <v>JPM TECO Energy - Benefits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1310031</v>
          </cell>
          <cell r="B122" t="str">
            <v>JPM TECO Energy - Benefits - Outgoing ACH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1310032</v>
          </cell>
          <cell r="B123" t="str">
            <v>JPM TECO Energy - Benefits - Incoming ACH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1310033</v>
          </cell>
          <cell r="B124" t="str">
            <v>JPM TECO Energy - Benefits - Outgoing WIRE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1310034</v>
          </cell>
          <cell r="B125" t="str">
            <v>JPM TECO Energy - Benefits - Incoming WIRE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1310035</v>
          </cell>
          <cell r="B126" t="str">
            <v>JPM TECO Energy - Benefits - Outgoing Check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1310036</v>
          </cell>
          <cell r="B127" t="str">
            <v>JPM TECO Energy - Benefits - Incoming Check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1310037</v>
          </cell>
          <cell r="B128" t="str">
            <v>JPM TECO Energy - Benefits - ZBA Clearing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1310038</v>
          </cell>
          <cell r="B129" t="str">
            <v>JPM TECO Energy - Benefits - Other Clearing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1310040</v>
          </cell>
          <cell r="B130" t="str">
            <v>JPM TECO Energy Foundation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1310050</v>
          </cell>
          <cell r="B131" t="str">
            <v>SUN TECO Energy Purchase Card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1310070</v>
          </cell>
          <cell r="B132" t="str">
            <v>JPM Tampa Electric Concentration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1310071</v>
          </cell>
          <cell r="B133" t="str">
            <v>JPM Tampa Electric Concentration - Outgoing ACH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1310072</v>
          </cell>
          <cell r="B134" t="str">
            <v>JPM Tampa Electric Concentration - Incoming ACH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1310073</v>
          </cell>
          <cell r="B135" t="str">
            <v>JPM Tampa Electric Concentration - Outgoing WIRE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1310074</v>
          </cell>
          <cell r="B136" t="str">
            <v>JPM Tampa Electric Concentration - Incoming WIRE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1310075</v>
          </cell>
          <cell r="B137" t="str">
            <v>JPM Tampa Electric Concentration - Outgoing Check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1310076</v>
          </cell>
          <cell r="B138" t="str">
            <v>JPM Tampa Electric Concentration - Incoming Check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1310077</v>
          </cell>
          <cell r="B139" t="str">
            <v>JPM Tampa Electric Concentration - ZBA Clearing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1310078</v>
          </cell>
          <cell r="B140" t="str">
            <v>JPM Tampa Electric Concentration - Other Clearing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1310080</v>
          </cell>
          <cell r="B141" t="str">
            <v>JPM Tampa Electric - Payroll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1310081</v>
          </cell>
          <cell r="B142" t="str">
            <v>JPM Tampa Electric - Payroll - Outgoing ACH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1310082</v>
          </cell>
          <cell r="B143" t="str">
            <v>JPM Tampa Electric - Payroll - Incoming ACH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1310083</v>
          </cell>
          <cell r="B144" t="str">
            <v>JPM Tampa Electric - Payroll - Outgoing WIRE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1310084</v>
          </cell>
          <cell r="B145" t="str">
            <v>JPM Tampa Electric - Payroll - Incoming WIRE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1310085</v>
          </cell>
          <cell r="B146" t="str">
            <v>JPM Tampa Electric - Payroll - Outgoing Check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1310086</v>
          </cell>
          <cell r="B147" t="str">
            <v>JPM Tampa Electric - Payroll - Incoming Check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1310087</v>
          </cell>
          <cell r="B148" t="str">
            <v>JPM Tampa Electric - Payroll - ZBA Clearing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1310088</v>
          </cell>
          <cell r="B149" t="str">
            <v>JPM Tampa Electric - Payroll - Other Clearing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1310090</v>
          </cell>
          <cell r="B150" t="str">
            <v>JPM Tampa Electric - CDA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1310091</v>
          </cell>
          <cell r="B151" t="str">
            <v>JPM Tampa Electric - CDA - Outgoing ACH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1310092</v>
          </cell>
          <cell r="B152" t="str">
            <v>JPM Tampa Electric - CDA - Incoming ACH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1310093</v>
          </cell>
          <cell r="B153" t="str">
            <v>JPM Tampa Electric - CDA - Outgoing WIRE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1310094</v>
          </cell>
          <cell r="B154" t="str">
            <v>JPM Tampa Electric - CDA - Incoming WIRE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1310095</v>
          </cell>
          <cell r="B155" t="str">
            <v>JPM Tampa Electric - CDA - Outgoing Check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1310096</v>
          </cell>
          <cell r="B156" t="str">
            <v>JPM Tampa Electric - CDA - Incoming Check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1310097</v>
          </cell>
          <cell r="B157" t="str">
            <v>JPM Tampa Electric - CDA - ZBA Clearing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1310098</v>
          </cell>
          <cell r="B158" t="str">
            <v>JPM Tampa Electric - CDA - Other Clearing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1310100</v>
          </cell>
          <cell r="B159" t="str">
            <v>JPM Tampa Electric - Deposits Misc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1310101</v>
          </cell>
          <cell r="B160" t="str">
            <v>JPM Tampa Electric - Deposits Misc - Outgoing ACH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1310102</v>
          </cell>
          <cell r="B161" t="str">
            <v>JPM Tampa Electric - Deposits Misc - Incoming ACH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1310103</v>
          </cell>
          <cell r="B162" t="str">
            <v>JPM Tampa Electric - Deposits Misc - Outgoing WIRE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1310104</v>
          </cell>
          <cell r="B163" t="str">
            <v>JPM Tampa Electric - Deposits Misc - Incoming WIRE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1310105</v>
          </cell>
          <cell r="B164" t="str">
            <v>JPM Tampa Electric - Deposits Misc - Outgoing Chk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1310106</v>
          </cell>
          <cell r="B165" t="str">
            <v>JPM Tampa Electric - Deposits Misc - Incoming Chk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1310107</v>
          </cell>
          <cell r="B166" t="str">
            <v>JPM Tampa Electric - Deposits Misc - ZBA Clearing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1310108</v>
          </cell>
          <cell r="B167" t="str">
            <v>JPM Tampa Electric - Deposits Misc - Other Clearng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1310110</v>
          </cell>
          <cell r="B168" t="str">
            <v>JPM Tampa Electric - ACH/Wires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1310111</v>
          </cell>
          <cell r="B169" t="str">
            <v>JPM Tampa Electric - ACH/Wires - Outgoing ACH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1310112</v>
          </cell>
          <cell r="B170" t="str">
            <v>JPM Tampa Electric - ACH/Wires - Incoming ACH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1310113</v>
          </cell>
          <cell r="B171" t="str">
            <v>JPM Tampa Electric - ACH/Wires - Outgoing WIRE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1310114</v>
          </cell>
          <cell r="B172" t="str">
            <v>JPM Tampa Electric - ACH/Wires - Incoming WIRE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1310116</v>
          </cell>
          <cell r="B173" t="str">
            <v>JPM Tampa Electric - ACH/Wires - Incoming Check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1310117</v>
          </cell>
          <cell r="B174" t="str">
            <v>JPM Tampa Electric - ACH/Wires - ZBA Clearing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1310118</v>
          </cell>
          <cell r="B175" t="str">
            <v>JPM Tampa Electric - ACH/Wires - Other Clearing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1310120</v>
          </cell>
          <cell r="B176" t="str">
            <v>JPM TEC Rec-Tampa Electric Deposits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1310121</v>
          </cell>
          <cell r="B177" t="str">
            <v>JPM TEC Rec-Tampa Electric Deposits-Outgoing ACH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1310122</v>
          </cell>
          <cell r="B178" t="str">
            <v>JPM TEC Rec-Tampa Electric Deposits-Incoming ACH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1310123</v>
          </cell>
          <cell r="B179" t="str">
            <v>JPM TEC Rec-Tampa Electric Deposits-Outgoing WIRE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1310124</v>
          </cell>
          <cell r="B180" t="str">
            <v>JPM TEC Rec-Tampa Electric Deposits-Incoming WIRE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1310125</v>
          </cell>
          <cell r="B181" t="str">
            <v>JPM TEC Rec-Tampa Electric Deposits-Outgoing Check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1310126</v>
          </cell>
          <cell r="B182" t="str">
            <v>JPM TEC Rec-Tampa Electric Deposits-Incoming Check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1310127</v>
          </cell>
          <cell r="B183" t="str">
            <v>JPM TEC Rec-Tampa Electric Deposits-ZBA Clearing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1310128</v>
          </cell>
          <cell r="B184" t="str">
            <v>JPM TEC Rec-Tampa Electric Deposits-Other Clearing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1310130</v>
          </cell>
          <cell r="B185" t="str">
            <v>JPM TEC Receivables Concen-TEC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1310131</v>
          </cell>
          <cell r="B186" t="str">
            <v>JPM TEC Receivables Concen-TEC - Outgoing ACH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1310132</v>
          </cell>
          <cell r="B187" t="str">
            <v>JPM TEC Receivables Concen-TEC - Incoming ACH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 t="str">
            <v>1310133</v>
          </cell>
          <cell r="B188" t="str">
            <v>JPM TEC Receivables Concen-TEC - Outgoing WIRE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1310134</v>
          </cell>
          <cell r="B189" t="str">
            <v>JPM TEC Receivables Concen-TEC - Incoming WIRE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1310135</v>
          </cell>
          <cell r="B190" t="str">
            <v>JPM TEC Receivables Concen-TEC - Outgoing Check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1310136</v>
          </cell>
          <cell r="B191" t="str">
            <v>JPM TEC Receivables Concen-TEC - Incoming Check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1310137</v>
          </cell>
          <cell r="B192" t="str">
            <v>JPM TEC Receivables Concen-TEC - ZBA Clearing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1310138</v>
          </cell>
          <cell r="B193" t="str">
            <v>JPM TEC Receivables Concen-TEC - Other Clearing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1310140</v>
          </cell>
          <cell r="B194" t="str">
            <v>JPM Power Engineering &amp; Construction. Inc.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1310150</v>
          </cell>
          <cell r="B195" t="str">
            <v>SUN Tampa Electric Misc Deposit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1310160</v>
          </cell>
          <cell r="B196" t="str">
            <v>SUN Tampa Electric Meter Dep Ref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1310170</v>
          </cell>
          <cell r="B197" t="str">
            <v>SUN TEC Receivables -TEC Deposit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1310180</v>
          </cell>
          <cell r="B198" t="str">
            <v>JPM Peoples Gas System Concentration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1310181</v>
          </cell>
          <cell r="B199" t="str">
            <v>JPM Peoples Gas System Concentration-Outgoing ACH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1310182</v>
          </cell>
          <cell r="B200" t="str">
            <v>JPM Peoples Gas System Concentration-Incoming ACH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1310183</v>
          </cell>
          <cell r="B201" t="str">
            <v>JPM Peoples Gas System Concentration-Outgoing WIRE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1310184</v>
          </cell>
          <cell r="B202" t="str">
            <v>JPM Peoples Gas System Concentration-Incoming WIRE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1310185</v>
          </cell>
          <cell r="B203" t="str">
            <v>JPM Peoples Gas System Concentration-Outgoing Chk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1310186</v>
          </cell>
          <cell r="B204" t="str">
            <v>JPM Peoples Gas System Concentration-Incoming Chk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1310187</v>
          </cell>
          <cell r="B205" t="str">
            <v>JPM Peoples Gas System Concentration-ZBA Clearing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1310188</v>
          </cell>
          <cell r="B206" t="str">
            <v>JPM Peoples Gas System Concentration-Other Clearng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 t="str">
            <v>1310190</v>
          </cell>
          <cell r="B207" t="str">
            <v>JPM Peoples Gas System-Operations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1310191</v>
          </cell>
          <cell r="B208" t="str">
            <v>JPM Peoples Gas System-Operations - Outgoing ACH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1310192</v>
          </cell>
          <cell r="B209" t="str">
            <v>JPM Peoples Gas System-Operations - Incoming ACH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1310193</v>
          </cell>
          <cell r="B210" t="str">
            <v>JPM Peoples Gas System-Operations - Outgoing WIRE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1310194</v>
          </cell>
          <cell r="B211" t="str">
            <v>JPM Peoples Gas System-Operations - Incoming WIRE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1310195</v>
          </cell>
          <cell r="B212" t="str">
            <v>JPM Peoples Gas System-Operations - Outgoing Check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1310196</v>
          </cell>
          <cell r="B213" t="str">
            <v>JPM Peoples Gas System-Operations - Incoming Check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1310197</v>
          </cell>
          <cell r="B214" t="str">
            <v>JPM Peoples Gas System-Operations - ZBA Clearing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1310198</v>
          </cell>
          <cell r="B215" t="str">
            <v>JPM Peoples Gas System-Operations - Other Clearing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1310200</v>
          </cell>
          <cell r="B216" t="str">
            <v>JPM Peoples Gas System - Payroll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1310201</v>
          </cell>
          <cell r="B217" t="str">
            <v>JPM Peoples Gas System - Payroll - Outgoing ACH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1310202</v>
          </cell>
          <cell r="B218" t="str">
            <v>JPM Peoples Gas System - Payroll - Incoming ACH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1310203</v>
          </cell>
          <cell r="B219" t="str">
            <v>JPM Peoples Gas System - Payroll - Outgoing WIRE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1310204</v>
          </cell>
          <cell r="B220" t="str">
            <v>JPM Peoples Gas System - Payroll - Incoming WIRE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1310205</v>
          </cell>
          <cell r="B221" t="str">
            <v>JPM Peoples Gas System - Payroll - Outgoing Check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1310206</v>
          </cell>
          <cell r="B222" t="str">
            <v>JPM Peoples Gas System - Payroll - Incoming Check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1310207</v>
          </cell>
          <cell r="B223" t="str">
            <v>JPM Peoples Gas System - Payroll - ZBA Clearing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1310208</v>
          </cell>
          <cell r="B224" t="str">
            <v>JPM Peoples Gas System - Payroll - Other Clearing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1310210</v>
          </cell>
          <cell r="B225" t="str">
            <v>JPM Peoples Gas System - Deposits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1310217</v>
          </cell>
          <cell r="B226" t="str">
            <v>JPM Peoples Gas System - Deposits - ZBA Clearing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1310220</v>
          </cell>
          <cell r="B227" t="str">
            <v>JPM Peoples Gas System - CDA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1310221</v>
          </cell>
          <cell r="B228" t="str">
            <v>JPM Peoples Gas System - CDA - Outgoing ACH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1310222</v>
          </cell>
          <cell r="B229" t="str">
            <v>JPM Peoples Gas System - CDA - Incoming ACH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1310223</v>
          </cell>
          <cell r="B230" t="str">
            <v>JPM Peoples Gas System - CDA - Outgoing WIRE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1310224</v>
          </cell>
          <cell r="B231" t="str">
            <v>JPM Peoples Gas System - CDA - Incoming WIRE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1310225</v>
          </cell>
          <cell r="B232" t="str">
            <v>JPM Peoples Gas System - CDA - Outgoing Check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1310226</v>
          </cell>
          <cell r="B233" t="str">
            <v>JPM Peoples Gas System - CDA - Incoming Check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1310227</v>
          </cell>
          <cell r="B234" t="str">
            <v>JPM Peoples Gas System - CDA - ZBA Clearing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1310228</v>
          </cell>
          <cell r="B235" t="str">
            <v>JPM Peoples Gas System - CDA - Other Clearing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1310230</v>
          </cell>
          <cell r="B236" t="str">
            <v>JPM Peoples Gas System - Conservation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1310237</v>
          </cell>
          <cell r="B237" t="str">
            <v>JPM Peoples Gas System - Conservation - ZBA Clearing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1310240</v>
          </cell>
          <cell r="B238" t="str">
            <v>JPM TEC Receivables Concen-PGS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1310241</v>
          </cell>
          <cell r="B239" t="str">
            <v>JPM TEC Receivables Concen-PGS - Outgoing ACH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1310242</v>
          </cell>
          <cell r="B240" t="str">
            <v>JPM TEC Receivables Concen-PGS - Incoming ACH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 t="str">
            <v>1310243</v>
          </cell>
          <cell r="B241" t="str">
            <v>JPM TEC Receivables Concen-PGS - Outgoing WIRE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1310244</v>
          </cell>
          <cell r="B242" t="str">
            <v>JPM TEC Receivables Concen-PGS - Incoming WIRE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1310245</v>
          </cell>
          <cell r="B243" t="str">
            <v>JPM TEC Receivables Concen-PGS - Outgoing Check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1310246</v>
          </cell>
          <cell r="B244" t="str">
            <v>JPM TEC Receivables Concen-PGS - Incoming Check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1310247</v>
          </cell>
          <cell r="B245" t="str">
            <v>JPM TEC Receivables Concen-PGS - ZBA Clearing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1310248</v>
          </cell>
          <cell r="B246" t="str">
            <v>JPM TEC Receivables Concen-PGS - Other Clearing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1310250</v>
          </cell>
          <cell r="B247" t="str">
            <v>SUN Peoples Gas System Meter Dep Ref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1310260</v>
          </cell>
          <cell r="B248" t="str">
            <v>SUN TEC Receivables -PGS Deposit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1310270</v>
          </cell>
          <cell r="B249" t="str">
            <v>JPM TECO Partners - Operations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1310271</v>
          </cell>
          <cell r="B250" t="str">
            <v>JPM TECO Partners - Operations - Outgoing ACH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1310272</v>
          </cell>
          <cell r="B251" t="str">
            <v>JPM TECO Partners - Operations - Incoming ACH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1310273</v>
          </cell>
          <cell r="B252" t="str">
            <v>JPM TECO Partners - Operations - Outgoing WIRE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1310274</v>
          </cell>
          <cell r="B253" t="str">
            <v>JPM TECO Partners - Operations - Incoming WIRE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1310275</v>
          </cell>
          <cell r="B254" t="str">
            <v>JPM TECO Partners - Operations - Outgoing Check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1310276</v>
          </cell>
          <cell r="B255" t="str">
            <v>JPM TECO Partners - Operations - Incoming Check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1310277</v>
          </cell>
          <cell r="B256" t="str">
            <v>JPM TECO Partners - Operations - ZBA Clearing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1310278</v>
          </cell>
          <cell r="B257" t="str">
            <v>JPM TECO Partners - Operations - Other Clearing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1310280</v>
          </cell>
          <cell r="B258" t="str">
            <v>JPM TECO Partners - Payroll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1310281</v>
          </cell>
          <cell r="B259" t="str">
            <v>JPM TECO Partners - Payroll - Outgoing ACH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1310282</v>
          </cell>
          <cell r="B260" t="str">
            <v>JPM TECO Partners - Payroll - Incoming ACH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1310283</v>
          </cell>
          <cell r="B261" t="str">
            <v>JPM TECO Partners - Payroll - Outgoing WIRE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1310284</v>
          </cell>
          <cell r="B262" t="str">
            <v>JPM TECO Partners - Payroll - Incoming WIRE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1310285</v>
          </cell>
          <cell r="B263" t="str">
            <v>JPM TECO Partners - Payroll - Outgoing Check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1310286</v>
          </cell>
          <cell r="B264" t="str">
            <v>JPM TECO Partners - Payroll - Incoming Check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1310287</v>
          </cell>
          <cell r="B265" t="str">
            <v>JPM TECO Partners - Payroll - ZBA Clearing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1310288</v>
          </cell>
          <cell r="B266" t="str">
            <v>JPM TECO Partners - Payroll - Other Clearing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1310290</v>
          </cell>
          <cell r="B267" t="str">
            <v>Inactive Account   Do not use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1310297</v>
          </cell>
          <cell r="B268" t="str">
            <v>Inactive Account   Do not use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1310300</v>
          </cell>
          <cell r="B269" t="str">
            <v>JPM TECO Coalbed Methane Florida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1310307</v>
          </cell>
          <cell r="B270" t="str">
            <v>JPM TECO Coalbed Methane Florida - ZBA Clearing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1310310</v>
          </cell>
          <cell r="B271" t="str">
            <v>JPM TECO Consumer Ventures Inc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1310320</v>
          </cell>
          <cell r="B272" t="str">
            <v>JPM TECO Diversified Inc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1310327</v>
          </cell>
          <cell r="B273" t="str">
            <v>JPM TECO Diversified Inc - ZBA Clearing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 t="str">
            <v>1310330</v>
          </cell>
          <cell r="B274" t="str">
            <v>JPM TECO EnergySource Inc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1310337</v>
          </cell>
          <cell r="B275" t="str">
            <v>JPM TECO EnergySource Inc - ZBA Clearing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1310340</v>
          </cell>
          <cell r="B276" t="str">
            <v>JPM TECO Finance Inc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1310347</v>
          </cell>
          <cell r="B277" t="str">
            <v>JPM TECO Finance Inc - ZBA Clearing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1310350</v>
          </cell>
          <cell r="B278" t="str">
            <v>JPM TECO Gemstone Inc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1310357</v>
          </cell>
          <cell r="B279" t="str">
            <v>JPM TECO Gemstone Inc - ZBA Clearing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1310360</v>
          </cell>
          <cell r="B280" t="str">
            <v>JPM TECO Investments Inc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1310370</v>
          </cell>
          <cell r="B281" t="str">
            <v>JPM TECO Oil &amp; Gas Inc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1310377</v>
          </cell>
          <cell r="B282" t="str">
            <v>JPM TECO Oil &amp; Gas Inc - ZBA Clearing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1310380</v>
          </cell>
          <cell r="B283" t="str">
            <v>JPM TECO Properties Inc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1310387</v>
          </cell>
          <cell r="B284" t="str">
            <v>JPM TECO Properties Inc - ZBA Clearing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1310390</v>
          </cell>
          <cell r="B285" t="str">
            <v>JPM TECO Solutions Inc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1310397</v>
          </cell>
          <cell r="B286" t="str">
            <v>JPM TECO Solutions Inc - ZBA Clearing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1310400</v>
          </cell>
          <cell r="B287" t="str">
            <v>JPM SeaCoast Gas Transmission LLC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1310407</v>
          </cell>
          <cell r="B288" t="str">
            <v>JPM SeaCoast Gas Transmission LLC - ZBA Clearing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1310410</v>
          </cell>
          <cell r="B289" t="str">
            <v>JPM TECO Pipeline Holding-Operations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1310411</v>
          </cell>
          <cell r="B290" t="str">
            <v>JPM TECO Pipeline Holding-Operations-Outgoing ACH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1310412</v>
          </cell>
          <cell r="B291" t="str">
            <v>JPM TECO Pipeline Holding-Operations-Incoming ACH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1310413</v>
          </cell>
          <cell r="B292" t="str">
            <v>JPM TECO Pipeline Holding-Operations-Outgoing WIRE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1310414</v>
          </cell>
          <cell r="B293" t="str">
            <v>JPM TECO Pipeline Holding-Operations-Incoming WIRE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1310415</v>
          </cell>
          <cell r="B294" t="str">
            <v>JPM TECO Pipeline Holding-Operations-Outgoing Chk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1310416</v>
          </cell>
          <cell r="B295" t="str">
            <v>JPM TECO Pipeline Holding-Operations-Incoming Chk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1310417</v>
          </cell>
          <cell r="B296" t="str">
            <v>JPM TECO Pipeline Holding-Operations-ZBA Clearing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1310418</v>
          </cell>
          <cell r="B297" t="str">
            <v>JPM TECO Pipeline Holding-Operations-Other Clearng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1310420</v>
          </cell>
          <cell r="B298" t="str">
            <v>JPM TECO Pipeline Holding-Controlled Disbursements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1310427</v>
          </cell>
          <cell r="B299" t="str">
            <v>JPM TECO Pipeline Holding- CDA - ZBA Clearing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1310430</v>
          </cell>
          <cell r="B300" t="str">
            <v>JPM TECO Guatemala Inc-Operations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1310431</v>
          </cell>
          <cell r="B301" t="str">
            <v>JPM TECO Guatemala Inc-Operations - Outgoing ACH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1310432</v>
          </cell>
          <cell r="B302" t="str">
            <v>JPM TECO Guatemala Inc-Operations - Incoming ACH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1310433</v>
          </cell>
          <cell r="B303" t="str">
            <v>JPM TECO Guatemala Inc-Operations - Outgoing WIRE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1310434</v>
          </cell>
          <cell r="B304" t="str">
            <v>JPM TECO Guatemala Inc-Operations - Incoming WIRE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1310435</v>
          </cell>
          <cell r="B305" t="str">
            <v>JPM TECO Guatemala Inc-Operations - Outgoing Check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1310436</v>
          </cell>
          <cell r="B306" t="str">
            <v>JPM TECO Guatemala Inc-Operations - Incoming Check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1310437</v>
          </cell>
          <cell r="B307" t="str">
            <v>JPM TECO Guatemala Inc-Operations - ZBA Clearing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1310438</v>
          </cell>
          <cell r="B308" t="str">
            <v>JPM TECO Guatemala Inc-Operations - Other Clearing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1310440</v>
          </cell>
          <cell r="B309" t="str">
            <v>JPM TECO Guatemala Inc - Payroll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1310441</v>
          </cell>
          <cell r="B310" t="str">
            <v>JPM TECO Guatemala Inc - Payroll - Outgoing ACH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1310442</v>
          </cell>
          <cell r="B311" t="str">
            <v>JPM TECO Guatemala Inc - Payroll - Incoming ACH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1310443</v>
          </cell>
          <cell r="B312" t="str">
            <v>JPM TECO Guatemala Inc - Payroll - Outgoing WIRE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1310444</v>
          </cell>
          <cell r="B313" t="str">
            <v>JPM TECO Guatemala Inc - Payroll - Incoming WIRE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1310445</v>
          </cell>
          <cell r="B314" t="str">
            <v>JPM TECO Guatemala Inc - Payroll - Outgoing Check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1310446</v>
          </cell>
          <cell r="B315" t="str">
            <v>JPM TECO Guatemala Inc - Payroll - Incoming Check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1310447</v>
          </cell>
          <cell r="B316" t="str">
            <v>JPM TECO Guatemala Inc - Payroll - ZBA Clearing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1310448</v>
          </cell>
          <cell r="B317" t="str">
            <v>JPM TECO Guatemala Inc - Payroll - Other Clearing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1310450</v>
          </cell>
          <cell r="B318" t="str">
            <v>JPM TPS de Ultramar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1310460</v>
          </cell>
          <cell r="B319" t="str">
            <v>JPM TECO Guatemala Services Ltd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1310470</v>
          </cell>
          <cell r="B320" t="str">
            <v>JPM Triangle Finance Company LLC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1310480</v>
          </cell>
          <cell r="B321" t="str">
            <v>JPM San Jose Power Holding Company Ltd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1310490</v>
          </cell>
          <cell r="B322" t="str">
            <v>JPM TPS Guatemala One Inc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1310500</v>
          </cell>
          <cell r="B323" t="str">
            <v>JPM TPS International Power Inc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1310510</v>
          </cell>
          <cell r="B324" t="str">
            <v>JPM TPS San Jose International Inc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1310520</v>
          </cell>
          <cell r="B325" t="str">
            <v>BI TPS Operaciones Guatemala Ltda Q - Operations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1310521</v>
          </cell>
          <cell r="B326" t="str">
            <v>BI TPS Oper Guat Q-Operations - Outgoing ACH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1310522</v>
          </cell>
          <cell r="B327" t="str">
            <v>BI TPS Oper Guat Q-Operations - Incoming ACH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1310523</v>
          </cell>
          <cell r="B328" t="str">
            <v>BI TPS Oper Guat Q-Operations - Outgoing WIRE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1310524</v>
          </cell>
          <cell r="B329" t="str">
            <v>BI TPS Oper Guat Q-Operations - Incoming WIRE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 t="str">
            <v>1310525</v>
          </cell>
          <cell r="B330" t="str">
            <v>BI TPS Oper Guat Q-Operations - Outgoing Check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1310526</v>
          </cell>
          <cell r="B331" t="str">
            <v>BI TPS Oper Guat Q-Operations - Incoming Check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1310527</v>
          </cell>
          <cell r="B332" t="str">
            <v>BI TPS Oper Guat Q-Operations - ZBA Clearing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1310528</v>
          </cell>
          <cell r="B333" t="str">
            <v>BI TPS Oper Guat Q-Operations - Translation G/L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1310530</v>
          </cell>
          <cell r="B334" t="str">
            <v>BI TPS Operaciones Guatemala Ltda Q - Payroll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1310531</v>
          </cell>
          <cell r="B335" t="str">
            <v>BI TPS Oper Guat Q-Payroll - Outgoing ACH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1310532</v>
          </cell>
          <cell r="B336" t="str">
            <v>BI TPS Oper Guat Q-Payroll - Incoming ACH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1310533</v>
          </cell>
          <cell r="B337" t="str">
            <v>BI TPS Oper Guat Q-Payroll - Outgoing WIRE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1310534</v>
          </cell>
          <cell r="B338" t="str">
            <v>BI TPS Oper Guat Q-Payroll - Incoming WIRE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1310535</v>
          </cell>
          <cell r="B339" t="str">
            <v>BI TPS Oper Guat Q-Payroll - Outgoing Check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1310536</v>
          </cell>
          <cell r="B340" t="str">
            <v>BI TPS Oper Guat Q-Payroll - Incoming Check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1310537</v>
          </cell>
          <cell r="B341" t="str">
            <v>BI TPS Oper Guat Q-Payroll - ZBA Clearing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1310538</v>
          </cell>
          <cell r="B342" t="str">
            <v>BI TPS Oper Guat Q-Payroll - Translation Gain/Loss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1310540</v>
          </cell>
          <cell r="B343" t="str">
            <v>BI TPS Operaciones Guatemala Ltda USD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1310541</v>
          </cell>
          <cell r="B344" t="str">
            <v>BI TPS Oper Guat USD - Outgoing ACH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1310542</v>
          </cell>
          <cell r="B345" t="str">
            <v>BI TPS Oper Guat USD - Incoming ACH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1310543</v>
          </cell>
          <cell r="B346" t="str">
            <v>BI TPS Oper Guat USD - Outgoing WIRE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1310544</v>
          </cell>
          <cell r="B347" t="str">
            <v>BI TPS Oper Guat USD - Incoming WIRE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1310545</v>
          </cell>
          <cell r="B348" t="str">
            <v>BI TPS Oper Guat USD - Outgoing Check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 t="str">
            <v>1310546</v>
          </cell>
          <cell r="B349" t="str">
            <v>BI TPS Oper Guat USD - Incoming Check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1310547</v>
          </cell>
          <cell r="B350" t="str">
            <v>BI TPS Oper Guat USD - ZBA Clearing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1310548</v>
          </cell>
          <cell r="B351" t="str">
            <v>BI TPS Oper Guat USD - Translation Gain/Loss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1310550</v>
          </cell>
          <cell r="B352" t="str">
            <v>BI Tampa Centro Americana de Electricidad Ltda Q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1310551</v>
          </cell>
          <cell r="B353" t="str">
            <v>BI TCAE Q - Outgoing ACH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1310552</v>
          </cell>
          <cell r="B354" t="str">
            <v>BI TCAE Q - Incoming ACH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1310553</v>
          </cell>
          <cell r="B355" t="str">
            <v>BI TCAE Q - Outgoing WIRE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1310554</v>
          </cell>
          <cell r="B356" t="str">
            <v>BI TCAE Q - Incoming WIRE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1310555</v>
          </cell>
          <cell r="B357" t="str">
            <v>BI TCAE Q - Outgoing Check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1310556</v>
          </cell>
          <cell r="B358" t="str">
            <v>BI TCAE Q - Incoming Check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1310557</v>
          </cell>
          <cell r="B359" t="str">
            <v>BI TCAE Q - ZBA Clearing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1310558</v>
          </cell>
          <cell r="B360" t="str">
            <v>BI TCAE Q - Translation Gain/Loss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1310560</v>
          </cell>
          <cell r="B361" t="str">
            <v>BI Tampa Centro Americana de Electricidad Ltda USD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 t="str">
            <v>1310561</v>
          </cell>
          <cell r="B362" t="str">
            <v>BI TCAE USD - Outgoing ACH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1310562</v>
          </cell>
          <cell r="B363" t="str">
            <v>BI TCAE USD - Incoming ACH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1310563</v>
          </cell>
          <cell r="B364" t="str">
            <v>BI TCAE USD - Outgoing WIRE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1310564</v>
          </cell>
          <cell r="B365" t="str">
            <v>BI TCAE USD - Incoming WIRE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1310565</v>
          </cell>
          <cell r="B366" t="str">
            <v>BI TCAE USD - Outgoing Check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1310566</v>
          </cell>
          <cell r="B367" t="str">
            <v>BI TCAE USD - Incoming Check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1310567</v>
          </cell>
          <cell r="B368" t="str">
            <v>BI TCAE USD - ZBA Clearing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1310568</v>
          </cell>
          <cell r="B369" t="str">
            <v>BI TCAE USD - Translation Gain/Loss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1310570</v>
          </cell>
          <cell r="B370" t="str">
            <v>BI Central Generadora Electrica San Jose Ltd Q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1310571</v>
          </cell>
          <cell r="B371" t="str">
            <v>BI CGE San Jose Q - Outgoing ACH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1310572</v>
          </cell>
          <cell r="B372" t="str">
            <v>BI CGE San Jose Q - Incoming ACH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1310573</v>
          </cell>
          <cell r="B373" t="str">
            <v>BI CGE San Jose Q - Outgoing WIRE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1310574</v>
          </cell>
          <cell r="B374" t="str">
            <v>BI CGE San Jose Q - Incoming WIRE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1310575</v>
          </cell>
          <cell r="B375" t="str">
            <v>BI CGE San Jose Q - Outgoing Check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1310576</v>
          </cell>
          <cell r="B376" t="str">
            <v>BI CGE San Jose Q - Incoming Check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1310577</v>
          </cell>
          <cell r="B377" t="str">
            <v>BI CGE San Jose Q - ZBA Clearing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1310578</v>
          </cell>
          <cell r="B378" t="str">
            <v>BI CGE San Jose Q - Translation Gain/Loss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1310580</v>
          </cell>
          <cell r="B379" t="str">
            <v>BI Central Generadora Electrica San Jose Ltd USD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 t="str">
            <v>1310581</v>
          </cell>
          <cell r="B380" t="str">
            <v>BI CGE San Jose USD - Outgoing ACH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1310582</v>
          </cell>
          <cell r="B381" t="str">
            <v>BI CGE San Jose USD - Incoming ACH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1310583</v>
          </cell>
          <cell r="B382" t="str">
            <v>BI CGE San Jose USD - Outgoing WIRE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1310584</v>
          </cell>
          <cell r="B383" t="str">
            <v>BI CGE San Jose USD - Incoming WIRE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1310585</v>
          </cell>
          <cell r="B384" t="str">
            <v>BI CGE San Jose USD - Outgoing Check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 t="str">
            <v>1310586</v>
          </cell>
          <cell r="B385" t="str">
            <v>BI CGE San Jose USD - Incoming Check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1310587</v>
          </cell>
          <cell r="B386" t="str">
            <v>BI CGE San Jose USD - ZBA Clearing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1310588</v>
          </cell>
          <cell r="B387" t="str">
            <v>BI CGE San Jose USD - Translation Gain/Loss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1310590</v>
          </cell>
          <cell r="B388" t="str">
            <v>BI Tecnologia Maritima SA Q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1310591</v>
          </cell>
          <cell r="B389" t="str">
            <v>BI Tecnologia Maritima SA Q - Outgoing ACH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1310592</v>
          </cell>
          <cell r="B390" t="str">
            <v>BI Tecnologia Maritima SA Q - Incoming ACH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1310593</v>
          </cell>
          <cell r="B391" t="str">
            <v>BI Tecnologia Maritima SA Q - Outgoing WIRE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1310594</v>
          </cell>
          <cell r="B392" t="str">
            <v>BI Tecnologia Maritima SA Q - Incoming WIRE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1310595</v>
          </cell>
          <cell r="B393" t="str">
            <v>BI Tecnologia Maritima SA Q - Outgoing Check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1310596</v>
          </cell>
          <cell r="B394" t="str">
            <v>BI Tecnologia Maritima SA Q - Incoming Check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 t="str">
            <v>1310597</v>
          </cell>
          <cell r="B395" t="str">
            <v>BI Tecnologia Maritima SA Q - ZBA Clearing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 t="str">
            <v>1310598</v>
          </cell>
          <cell r="B396" t="str">
            <v>BI Tecnologia Maritima SA Q - Translation G/L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1310600</v>
          </cell>
          <cell r="B397" t="str">
            <v>BI Tecnologia Maritima SA USD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1310601</v>
          </cell>
          <cell r="B398" t="str">
            <v>BI Tecnologia Maritima SA USD - Outgoing ACH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 t="str">
            <v>1310602</v>
          </cell>
          <cell r="B399" t="str">
            <v>BI Tecnologia Maritima SA USD - Incoming ACH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1310603</v>
          </cell>
          <cell r="B400" t="str">
            <v>BI Tecnologia Maritima SA USD - Outgoing WIRE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1310604</v>
          </cell>
          <cell r="B401" t="str">
            <v>BI Tecnologia Maritima SA USD - Incoming WIRE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1310605</v>
          </cell>
          <cell r="B402" t="str">
            <v>BI Tecnologia Maritima SA USD - Outgoing Check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1310606</v>
          </cell>
          <cell r="B403" t="str">
            <v>BI Tecnologia Maritima SA USD - Incoming Check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1310607</v>
          </cell>
          <cell r="B404" t="str">
            <v>BI Tecnologia Maritima SA USD - ZBA Clearing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1310608</v>
          </cell>
          <cell r="B405" t="str">
            <v>BI Tecnologia Maritima SA USD - Translation G/L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1310610</v>
          </cell>
          <cell r="B406" t="str">
            <v>BI TPS de Ultramar Guatemala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1310620</v>
          </cell>
          <cell r="B407" t="str">
            <v>Cash Non-SAP Entities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1310630</v>
          </cell>
          <cell r="B408" t="str">
            <v>Seacoast National Bank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1310640</v>
          </cell>
          <cell r="B409" t="str">
            <v>JPM TECO Clean Advantage Corporation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1310647</v>
          </cell>
          <cell r="B410" t="str">
            <v>JPM TECO Clean Advantage Corp - ZBA Clearing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1310650</v>
          </cell>
          <cell r="B411" t="str">
            <v>JPM TECO Services Operations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1310651</v>
          </cell>
          <cell r="B412" t="str">
            <v>JPM TECO Services Operations - Outgoing ACH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1310652</v>
          </cell>
          <cell r="B413" t="str">
            <v>JPM TECO Services Operations - Incoming ACH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1310653</v>
          </cell>
          <cell r="B414" t="str">
            <v>JPM TECO Services Operations - Outgoing WIRE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1310654</v>
          </cell>
          <cell r="B415" t="str">
            <v>JPM TECO Services Operations - Incoming WIRE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1310655</v>
          </cell>
          <cell r="B416" t="str">
            <v>JPM TECO Services Operations - Outgoing Check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1310656</v>
          </cell>
          <cell r="B417" t="str">
            <v>JPM TECO Services Operations - Incoming Check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1310657</v>
          </cell>
          <cell r="B418" t="str">
            <v>JPM TECO Services Operations - ZBA Clearing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1310658</v>
          </cell>
          <cell r="B419" t="str">
            <v>JPM TECO Services Operations - Other Clearing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1310660</v>
          </cell>
          <cell r="B420" t="str">
            <v>JPM TECO Services - Payroll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1310670</v>
          </cell>
          <cell r="B421" t="str">
            <v>JPM TECO Services - Benefits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 t="str">
            <v>1310671</v>
          </cell>
          <cell r="B422" t="str">
            <v>JPM TECO Services - Benefits - Outgoing ACH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1310672</v>
          </cell>
          <cell r="B423" t="str">
            <v>JPM TECO Services - Benefits - Incoming ACH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1310673</v>
          </cell>
          <cell r="B424" t="str">
            <v>JPM TECO Services - Benefits - Outgoing WIRE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1310674</v>
          </cell>
          <cell r="B425" t="str">
            <v>JPM TECO Services - Benefits - Incoming WIRE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1310675</v>
          </cell>
          <cell r="B426" t="str">
            <v>JPM TECO Services - Benefits - Outgoing Check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1310676</v>
          </cell>
          <cell r="B427" t="str">
            <v>JPM TECO Services - Benefits - Incoming Check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1310677</v>
          </cell>
          <cell r="B428" t="str">
            <v>JPM TECO Services - Benefits - ZBA Clearing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1310678</v>
          </cell>
          <cell r="B429" t="str">
            <v>JPM TECO Services - Benefits - Other Clearing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1310680</v>
          </cell>
          <cell r="B430" t="str">
            <v>JPM Tampa Electric - SLA 75 LLC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1310690</v>
          </cell>
          <cell r="B431" t="str">
            <v>SUN PGS Misc. Deposits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1310700</v>
          </cell>
          <cell r="B432" t="str">
            <v>JPM - TECO CRM One Bill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1310701</v>
          </cell>
          <cell r="B433" t="str">
            <v>JPM - TECO CRM One Bill - Outgoing ACH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1310702</v>
          </cell>
          <cell r="B434" t="str">
            <v>JPM - TECO CRM One Bill - Incoming ACH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1310703</v>
          </cell>
          <cell r="B435" t="str">
            <v>JPM - TECO CRM One Bill - Outgoing WIRE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1310704</v>
          </cell>
          <cell r="B436" t="str">
            <v>JPM - TECO CRM One Bill - Incoming WIRE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1310705</v>
          </cell>
          <cell r="B437" t="str">
            <v>JPM - TECO CRM One Bill - Outgoing Check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1310706</v>
          </cell>
          <cell r="B438" t="str">
            <v>JPM - TECO CRM One Bill - Incoming Check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1310707</v>
          </cell>
          <cell r="B439" t="str">
            <v>JPM - TECO CRM One Bill - ZBA Clearing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1310708</v>
          </cell>
          <cell r="B440" t="str">
            <v>JPM - TECO CRM One Bill - Payment Clarification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 t="str">
            <v>1310709</v>
          </cell>
          <cell r="B441" t="str">
            <v>JPM - TECO CRM One Bill - Return Clarification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 t="str">
            <v>1310712</v>
          </cell>
          <cell r="B442" t="str">
            <v>JPM CRM One Bill - Payments One-Time Web Pmts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 t="str">
            <v>1310713</v>
          </cell>
          <cell r="B443" t="str">
            <v>JPM CRM One Bill - Returns- One-Time Web Pmts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 t="str">
            <v>1310714</v>
          </cell>
          <cell r="B444" t="str">
            <v>JPM CRM One Bill - Payments -Online Resources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 t="str">
            <v>1310715</v>
          </cell>
          <cell r="B445" t="str">
            <v>JPM CRM One Bill - Returns - Online Resources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 t="str">
            <v>1310716</v>
          </cell>
          <cell r="B446" t="str">
            <v>JPM CRM One Bill - Payments -Debit/Credit Cards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 t="str">
            <v>1310717</v>
          </cell>
          <cell r="B447" t="str">
            <v>JPM CRM One Bill - Returns -Debit/Credit Cards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 t="str">
            <v>1310718</v>
          </cell>
          <cell r="B448" t="str">
            <v>JPM CRM One Bill - Payments -Direct Debit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 t="str">
            <v>1310719</v>
          </cell>
          <cell r="B449" t="str">
            <v>JPM CRM One Bill - Returns - Direct Debit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 t="str">
            <v>1310722</v>
          </cell>
          <cell r="B450" t="str">
            <v>JPM CRM One Bill - Payments -Amscot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 t="str">
            <v>1310723</v>
          </cell>
          <cell r="B451" t="str">
            <v>JPM CRM One Bill - Returns - Amscot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 t="str">
            <v>1310724</v>
          </cell>
          <cell r="B452" t="str">
            <v>JPM CRM One Bill - Payments -CheckFree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1310725</v>
          </cell>
          <cell r="B453" t="str">
            <v>JPM CRM One Bill - Returns -CheckFree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1310726</v>
          </cell>
          <cell r="B454" t="str">
            <v>JPM CRM One Bill - Payments -Fiserve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1310727</v>
          </cell>
          <cell r="B455" t="str">
            <v>JPM CRM One Bill - Returns - Fiserve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 t="str">
            <v>1310728</v>
          </cell>
          <cell r="B456" t="str">
            <v>JPM CRM One Bill - Payments -FIS e-checks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 t="str">
            <v>1310729</v>
          </cell>
          <cell r="B457" t="str">
            <v>JPM CRM One Bill - Returns - FIS e-checks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 t="str">
            <v>1310732</v>
          </cell>
          <cell r="B458" t="str">
            <v>JPM CRM One Bill - Payments -Hillsborough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 t="str">
            <v>1310733</v>
          </cell>
          <cell r="B459" t="str">
            <v>JPM CRM One Bill - Returns - Hillsborough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 t="str">
            <v>1310734</v>
          </cell>
          <cell r="B460" t="str">
            <v>JPM CRM One Bill - Payments -IPP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 t="str">
            <v>1310735</v>
          </cell>
          <cell r="B461" t="str">
            <v>JPM CRM One Bill - Returns - IPP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 t="str">
            <v>1310736</v>
          </cell>
          <cell r="B462" t="str">
            <v>JPM CRM One Bill - Payments -Ace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 t="str">
            <v>1310737</v>
          </cell>
          <cell r="B463" t="str">
            <v>JPM CRM One Bill - Returns - Ace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 t="str">
            <v>1310738</v>
          </cell>
          <cell r="B464" t="str">
            <v>JPM CRM One Bill - Payments -Fidelity Express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 t="str">
            <v>1310739</v>
          </cell>
          <cell r="B465" t="str">
            <v>JPM CRM One Bill - Returns - Fidelity Express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 t="str">
            <v>1310742</v>
          </cell>
          <cell r="B466" t="str">
            <v>JPM CRM One Bill - Payments -Sherloq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 t="str">
            <v>1310743</v>
          </cell>
          <cell r="B467" t="str">
            <v>JPM CRM One Bill - Returns - Sherloq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 t="str">
            <v>1310744</v>
          </cell>
          <cell r="B468" t="str">
            <v>JPM CRM One Bill - Payments -Online Info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 t="str">
            <v>1310745</v>
          </cell>
          <cell r="B469" t="str">
            <v>JPM CRM One Bill - Returns - Online Info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 t="str">
            <v>1310746</v>
          </cell>
          <cell r="B470" t="str">
            <v>JPM CRM One Bill - Payments -City of Tampa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 t="str">
            <v>1310747</v>
          </cell>
          <cell r="B471" t="str">
            <v>JPM CRM One Bill - Returns - City of Tampa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 t="str">
            <v>1310748</v>
          </cell>
          <cell r="B472" t="str">
            <v>JPM CRM One Bill - Payments -Iqor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 t="str">
            <v>1310749</v>
          </cell>
          <cell r="B473" t="str">
            <v>JPM CRM One Bill - Returns - Iqor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1310752</v>
          </cell>
          <cell r="B474" t="str">
            <v>JPM CRM One Bill - Payments - Kubra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 t="str">
            <v>1310753</v>
          </cell>
          <cell r="B475" t="str">
            <v>JPM CRM One Bill - Returns - Kubra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 t="str">
            <v>1310754</v>
          </cell>
          <cell r="B476" t="str">
            <v>JPM CRM One Bill - Payments - Western Union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1310755</v>
          </cell>
          <cell r="B477" t="str">
            <v>JPM CRM One Bill - Returns - Western Union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 t="str">
            <v>1310770</v>
          </cell>
          <cell r="B478" t="str">
            <v>SUN - CRM One Bill - TEC Receivables Deposits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 t="str">
            <v>1310771</v>
          </cell>
          <cell r="B479" t="str">
            <v>SUN - CRM One Bill TEC Rec- Outgoing ACH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1310772</v>
          </cell>
          <cell r="B480" t="str">
            <v>SUN - CRM One Bill TEC Rec - Incoming ACH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 t="str">
            <v>1310773</v>
          </cell>
          <cell r="B481" t="str">
            <v>SUN - CRM One Bill TEC Rec - Outgoing WIRE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1310774</v>
          </cell>
          <cell r="B482" t="str">
            <v>SUN - CRM One Bill TEC Rec - Incoming WIRE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1310775</v>
          </cell>
          <cell r="B483" t="str">
            <v>SUN - CRM One Bill TEC Rec - Outgoing Check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1310776</v>
          </cell>
          <cell r="B484" t="str">
            <v>SUN - CRM One Bill TEC Rec - Incoming Check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A485" t="str">
            <v>1310777</v>
          </cell>
          <cell r="B485" t="str">
            <v>SUN - CRM One Bill TEC Rec - ZBA Clearing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 t="str">
            <v>1310778</v>
          </cell>
          <cell r="B486" t="str">
            <v>SUN - CRM One Bill TEC Rec - Payment Clarification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A487" t="str">
            <v>1310779</v>
          </cell>
          <cell r="B487" t="str">
            <v>SUN - CRM One Bill TEC Rec - Return Clarification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A488" t="str">
            <v>1310782</v>
          </cell>
          <cell r="B488" t="str">
            <v>SUN - CRM One Bill - Payments - Bill to Pay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 t="str">
            <v>1310783</v>
          </cell>
          <cell r="B489" t="str">
            <v>SUN - CRM One Bill - Returns - Bill to Pay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 t="str">
            <v>1310810</v>
          </cell>
          <cell r="B490" t="str">
            <v>SUN - CRM One Bill - Refunds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A491" t="str">
            <v>1310811</v>
          </cell>
          <cell r="B491" t="str">
            <v>SUN - CRM One Bill Refunds- Outgoing ACH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 t="str">
            <v>1310812</v>
          </cell>
          <cell r="B492" t="str">
            <v>SUN - CRM One Bill Refunds - Incoming ACH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A493" t="str">
            <v>1310813</v>
          </cell>
          <cell r="B493" t="str">
            <v>SUN - CRM One Bill Refunds - Outgoing WIRE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 t="str">
            <v>1310814</v>
          </cell>
          <cell r="B494" t="str">
            <v>SUN - CRM One Bill Refunds - Incoming WIRE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A495" t="str">
            <v>1310815</v>
          </cell>
          <cell r="B495" t="str">
            <v>SUN - CRM One Bill Refunds - Outgoing Check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 t="str">
            <v>1310816</v>
          </cell>
          <cell r="B496" t="str">
            <v>SUN - CRM One Bill Refunds - Incoming Check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 t="str">
            <v>1310817</v>
          </cell>
          <cell r="B497" t="str">
            <v>SUN - CRM One Bill Refunds - ZBA Clearing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A498" t="str">
            <v>1310990</v>
          </cell>
          <cell r="B498" t="str">
            <v>Cash - Miscellaneous Adjustments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 t="str">
            <v>1311000</v>
          </cell>
          <cell r="B499" t="str">
            <v>JPM NMGC - Concentration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 t="str">
            <v>1311001</v>
          </cell>
          <cell r="B500" t="str">
            <v>JPM NMGC - Concen - Outgoing ACH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 t="str">
            <v>1311002</v>
          </cell>
          <cell r="B501" t="str">
            <v>JPM NMGC - Concen - Incoming ACH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 t="str">
            <v>1311003</v>
          </cell>
          <cell r="B502" t="str">
            <v>JPM NMGC - Concen - Outgoing Wire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 t="str">
            <v>1311004</v>
          </cell>
          <cell r="B503" t="str">
            <v>JPM NMGC - Concen - Incoming Wire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 t="str">
            <v>1311005</v>
          </cell>
          <cell r="B504" t="str">
            <v>JPM NMGC - Concen - Outgoing Check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A505" t="str">
            <v>1311006</v>
          </cell>
          <cell r="B505" t="str">
            <v>JPM NMGC - Concen - Incoming Check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A506" t="str">
            <v>1311007</v>
          </cell>
          <cell r="B506" t="str">
            <v>JPM NMGC - Concen - ZBA Clearing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 t="str">
            <v>1311008</v>
          </cell>
          <cell r="B507" t="str">
            <v>JPM NMGC - Concen - Other Clearing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A508" t="str">
            <v>1311010</v>
          </cell>
          <cell r="B508" t="str">
            <v>JPM NMGC - Payroll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 t="str">
            <v>1311011</v>
          </cell>
          <cell r="B509" t="str">
            <v>JPM NMGC - Payroll - Outgoing ACH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 t="str">
            <v>1311012</v>
          </cell>
          <cell r="B510" t="str">
            <v>JPM NMGC - Payroll - Incoming ACH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A511" t="str">
            <v>1311013</v>
          </cell>
          <cell r="B511" t="str">
            <v>JPM NMGC - Payroll - Outgoing Wire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 t="str">
            <v>1311014</v>
          </cell>
          <cell r="B512" t="str">
            <v>JPM NMGC - Payroll - Incoming Wire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 t="str">
            <v>1311015</v>
          </cell>
          <cell r="B513" t="str">
            <v>JPM NMGC - Payroll - Outgoing Check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 t="str">
            <v>1311016</v>
          </cell>
          <cell r="B514" t="str">
            <v>JPM NMGC - Payroll - Incoming Check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 t="str">
            <v>1311017</v>
          </cell>
          <cell r="B515" t="str">
            <v>JPM NMGC - Payroll - ZBA Clearing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 t="str">
            <v>1311018</v>
          </cell>
          <cell r="B516" t="str">
            <v>JPM NMGC - Payroll - Other Clearing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A517" t="str">
            <v>1311020</v>
          </cell>
          <cell r="B517" t="str">
            <v>JPM NMGC - Customer Refund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 t="str">
            <v>1311021</v>
          </cell>
          <cell r="B518" t="str">
            <v>JPM NMGC - Cust Refund - Outgoing ACH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 t="str">
            <v>1311022</v>
          </cell>
          <cell r="B519" t="str">
            <v>JPM NMGC - Cust Refund - Incoming ACH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1311023</v>
          </cell>
          <cell r="B520" t="str">
            <v>JPM NMGC - Cust Refund - Outgoing Wire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 t="str">
            <v>1311024</v>
          </cell>
          <cell r="B521" t="str">
            <v>JPM NMGC - Cust Refund - Incoming Wire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 t="str">
            <v>1311025</v>
          </cell>
          <cell r="B522" t="str">
            <v>JPM NMGC - Cust Refund - Outgoing Check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 t="str">
            <v>1311026</v>
          </cell>
          <cell r="B523" t="str">
            <v>JPM NMGC - Cust Refund - Incoming Check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 t="str">
            <v>1311027</v>
          </cell>
          <cell r="B524" t="str">
            <v>JPM NMGC - Cust Refund - ZBA Clearing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 t="str">
            <v>1311028</v>
          </cell>
          <cell r="B525" t="str">
            <v>JPM NMGC - Cust Refund - Other Clearing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 t="str">
            <v>1311030</v>
          </cell>
          <cell r="B526" t="str">
            <v>JPM NMGC - CDA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1311031</v>
          </cell>
          <cell r="B527" t="str">
            <v>JPM NMGC - CDA - Outgoing ACH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1311032</v>
          </cell>
          <cell r="B528" t="str">
            <v>JPM NMGC - CDA - Incoming ACH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 t="str">
            <v>1311033</v>
          </cell>
          <cell r="B529" t="str">
            <v>JPM NMGC - CDA - Outgoing Wire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 t="str">
            <v>1311034</v>
          </cell>
          <cell r="B530" t="str">
            <v>JPM NMGC - CDA - Incoming Wire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</row>
        <row r="531">
          <cell r="A531" t="str">
            <v>1311035</v>
          </cell>
          <cell r="B531" t="str">
            <v>JPM NMGC - CDA - Outgoing Check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 t="str">
            <v>1311036</v>
          </cell>
          <cell r="B532" t="str">
            <v>JPM NMGC - CDA - Incoming Check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 t="str">
            <v>1311037</v>
          </cell>
          <cell r="B533" t="str">
            <v>JPM NMGC - CDA - ZBA Clearing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A534" t="str">
            <v>1311038</v>
          </cell>
          <cell r="B534" t="str">
            <v>JPM NMGC - CDA - Other Clearing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 t="str">
            <v>1311040</v>
          </cell>
          <cell r="B535" t="str">
            <v>WF MNGC - Deposit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A536" t="str">
            <v>1311050</v>
          </cell>
          <cell r="B536" t="str">
            <v>WF MNGC - EFT Deposit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 t="str">
            <v>1311060</v>
          </cell>
          <cell r="B537" t="str">
            <v>WF NMGC - ROW Cash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8">
          <cell r="A538" t="str">
            <v>1311070</v>
          </cell>
          <cell r="B538" t="str">
            <v>FNB NMGC - Deposit Clayton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A539" t="str">
            <v>1311080</v>
          </cell>
          <cell r="B539" t="str">
            <v>West Commerce NMGC - Deposit Carlsbad PS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A540" t="str">
            <v>1311090</v>
          </cell>
          <cell r="B540" t="str">
            <v>Compass NMGC - Deposit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A541" t="str">
            <v>1311100</v>
          </cell>
          <cell r="B541" t="str">
            <v>Washington Fed NMGC - Deposit Chama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A542" t="str">
            <v>1311110</v>
          </cell>
          <cell r="B542" t="str">
            <v>US Bank NMGC - Deposit Taos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A543" t="str">
            <v>1311120</v>
          </cell>
          <cell r="B543" t="str">
            <v>WF New Mexico Gas Intermediate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A544" t="str">
            <v>1311130</v>
          </cell>
          <cell r="B544" t="str">
            <v>JPM NMGI - Check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A545" t="str">
            <v>1311131</v>
          </cell>
          <cell r="B545" t="str">
            <v>JPM NMGI -  Outgoing ACH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A546" t="str">
            <v>1311132</v>
          </cell>
          <cell r="B546" t="str">
            <v>JPM NMGI -  Incoming ACH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 t="str">
            <v>1311133</v>
          </cell>
          <cell r="B547" t="str">
            <v>JPM NMGI - Outgoing Wire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>1311134</v>
          </cell>
          <cell r="B548" t="str">
            <v>JPM NMGI -  Incoming Wire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 t="str">
            <v>1311135</v>
          </cell>
          <cell r="B549" t="str">
            <v>JPM NMGI -  Outgoing Check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A550" t="str">
            <v>1311136</v>
          </cell>
          <cell r="B550" t="str">
            <v>JPM NMGI -  Incoming Check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1311137</v>
          </cell>
          <cell r="B551" t="str">
            <v>JPM NMGI -  ZBA Clearing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 t="str">
            <v>1311138</v>
          </cell>
          <cell r="B552" t="str">
            <v>JPM NMGI -  Other Clearing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 t="str">
            <v>1311140</v>
          </cell>
          <cell r="B553" t="str">
            <v>WF NMGC - Concentration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 t="str">
            <v>1311150</v>
          </cell>
          <cell r="B554" t="str">
            <v>Bank of Abq NMGC - Depository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A555" t="str">
            <v>1311160</v>
          </cell>
          <cell r="B555" t="str">
            <v>JPM Emera Technologies LLC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 t="str">
            <v>1320000</v>
          </cell>
          <cell r="B556" t="str">
            <v>Interest Special Deposits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A557" t="str">
            <v>1330000</v>
          </cell>
          <cell r="B557" t="str">
            <v>Dividend Special Deposits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 t="str">
            <v>1340000</v>
          </cell>
          <cell r="B558" t="str">
            <v>Other Special Deposits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1340010</v>
          </cell>
          <cell r="B559" t="str">
            <v>Special Deposits - Suntrust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 t="str">
            <v>1340200</v>
          </cell>
          <cell r="B560" t="str">
            <v>Other Special Deposits - Long-term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 t="str">
            <v>1350000</v>
          </cell>
          <cell r="B561" t="str">
            <v>Petty Cash USD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1350001</v>
          </cell>
          <cell r="B562" t="str">
            <v>Petty Cash GTQ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>1360000</v>
          </cell>
          <cell r="B563" t="str">
            <v>Inactive Account   Do not use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 t="str">
            <v>1360010</v>
          </cell>
          <cell r="B564" t="str">
            <v>Cash Equiv - Investments (0-90 Days) Local Currency</v>
          </cell>
          <cell r="C564">
            <v>1000000</v>
          </cell>
          <cell r="D564">
            <v>1000000</v>
          </cell>
          <cell r="E564">
            <v>1000000</v>
          </cell>
          <cell r="F564">
            <v>1000000</v>
          </cell>
          <cell r="G564">
            <v>1000000</v>
          </cell>
          <cell r="H564">
            <v>1000000</v>
          </cell>
          <cell r="I564">
            <v>1000000</v>
          </cell>
          <cell r="J564">
            <v>1000000</v>
          </cell>
          <cell r="K564">
            <v>1000000</v>
          </cell>
          <cell r="L564">
            <v>1000000</v>
          </cell>
          <cell r="M564">
            <v>1000000</v>
          </cell>
          <cell r="N564">
            <v>1000000</v>
          </cell>
          <cell r="O564">
            <v>12000000</v>
          </cell>
        </row>
        <row r="565">
          <cell r="A565" t="str">
            <v>1360011</v>
          </cell>
          <cell r="B565" t="str">
            <v>Cash Equivalents USD - Investments (0 To 90 Days)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1360020</v>
          </cell>
          <cell r="B566" t="str">
            <v>Short-term Investments (&gt; 90 Days)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1410000</v>
          </cell>
          <cell r="B567" t="str">
            <v>Inactive Account   Do not use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 t="str">
            <v>1410100</v>
          </cell>
          <cell r="B568" t="str">
            <v>Notes Receivable - Current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 t="str">
            <v>1410200</v>
          </cell>
          <cell r="B569" t="str">
            <v>Notes Receivable - Non-current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 t="str">
            <v>1420000</v>
          </cell>
          <cell r="B570" t="str">
            <v>Inactive Account   Do not use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 t="str">
            <v>1420400</v>
          </cell>
          <cell r="B571" t="str">
            <v>AR - CRM (includes TEC-R) (RECON)</v>
          </cell>
          <cell r="C571">
            <v>113229061.62633</v>
          </cell>
          <cell r="D571">
            <v>112641111.307184</v>
          </cell>
          <cell r="E571">
            <v>106513340.46698201</v>
          </cell>
          <cell r="F571">
            <v>111651526.256045</v>
          </cell>
          <cell r="G571">
            <v>118989070.796277</v>
          </cell>
          <cell r="H571">
            <v>142626482.03354999</v>
          </cell>
          <cell r="I571">
            <v>144693308.81170201</v>
          </cell>
          <cell r="J571">
            <v>133350724.766101</v>
          </cell>
          <cell r="K571">
            <v>166343213.840206</v>
          </cell>
          <cell r="L571">
            <v>138382812.79104799</v>
          </cell>
          <cell r="M571">
            <v>123675348.816277</v>
          </cell>
          <cell r="N571">
            <v>113791036.108898</v>
          </cell>
          <cell r="O571">
            <v>1525887037.6206</v>
          </cell>
        </row>
        <row r="572">
          <cell r="A572" t="str">
            <v>1420401</v>
          </cell>
          <cell r="B572" t="str">
            <v>AR - CRM (includes TEC-R) (Posting)</v>
          </cell>
          <cell r="C572">
            <v>-286267.81</v>
          </cell>
          <cell r="D572">
            <v>-286267.81</v>
          </cell>
          <cell r="E572">
            <v>-286267.81</v>
          </cell>
          <cell r="F572">
            <v>-286267.81</v>
          </cell>
          <cell r="G572">
            <v>-286267.81</v>
          </cell>
          <cell r="H572">
            <v>-286267.81</v>
          </cell>
          <cell r="I572">
            <v>-286267.81</v>
          </cell>
          <cell r="J572">
            <v>-286267.81</v>
          </cell>
          <cell r="K572">
            <v>-286267.81</v>
          </cell>
          <cell r="L572">
            <v>-286267.81</v>
          </cell>
          <cell r="M572">
            <v>-286267.81</v>
          </cell>
          <cell r="N572">
            <v>-286267.81</v>
          </cell>
          <cell r="O572">
            <v>-3435213.72</v>
          </cell>
        </row>
        <row r="573">
          <cell r="A573" t="str">
            <v>1420420</v>
          </cell>
          <cell r="B573" t="str">
            <v>AR - CRM Overpayment (Includes TEC-R) (RECON)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 t="str">
            <v>1420421</v>
          </cell>
          <cell r="B574" t="str">
            <v>AR - CRM Overpayment (Includes TEC-R) (Posting)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 t="str">
            <v>1420500</v>
          </cell>
          <cell r="B575" t="str">
            <v>AR CIS/Banner (Includes TEC-R)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 t="str">
            <v>1420505</v>
          </cell>
          <cell r="B576" t="str">
            <v>Inactive Account   Do not use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 t="str">
            <v>1420510</v>
          </cell>
          <cell r="B577" t="str">
            <v>AR CIS Incremental Billing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1420520</v>
          </cell>
          <cell r="B578" t="str">
            <v>AR CIS/Banner Unapplied Cash (Includes TEC-R)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1420530</v>
          </cell>
          <cell r="B579" t="str">
            <v>AR CIS Unapplied Refunds - TEC-R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 t="str">
            <v>1420540</v>
          </cell>
          <cell r="B580" t="str">
            <v>AR CIS Levelized Billing - TEC-R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 t="str">
            <v>1420600</v>
          </cell>
          <cell r="B581" t="str">
            <v>AR Off System Sales - TEC-R (RECON)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A582" t="str">
            <v>1420601</v>
          </cell>
          <cell r="B582" t="str">
            <v>AR Off System Sales - TEC-R (Posting)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 t="str">
            <v>1420800</v>
          </cell>
          <cell r="B583" t="str">
            <v>AR Customer - Other (RECON)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 t="str">
            <v>1420801</v>
          </cell>
          <cell r="B584" t="str">
            <v>AR Customer - Other (Posting)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 t="str">
            <v>1430000</v>
          </cell>
          <cell r="B585" t="str">
            <v>AR Misc Other (RECON)</v>
          </cell>
          <cell r="C585">
            <v>3000000</v>
          </cell>
          <cell r="D585">
            <v>3000000</v>
          </cell>
          <cell r="E585">
            <v>3000000</v>
          </cell>
          <cell r="F585">
            <v>3000000</v>
          </cell>
          <cell r="G585">
            <v>3000000</v>
          </cell>
          <cell r="H585">
            <v>3000000</v>
          </cell>
          <cell r="I585">
            <v>3000000</v>
          </cell>
          <cell r="J585">
            <v>3000000</v>
          </cell>
          <cell r="K585">
            <v>3000000</v>
          </cell>
          <cell r="L585">
            <v>3000000</v>
          </cell>
          <cell r="M585">
            <v>3000000</v>
          </cell>
          <cell r="N585">
            <v>3000000</v>
          </cell>
          <cell r="O585">
            <v>36000000</v>
          </cell>
        </row>
        <row r="586">
          <cell r="A586" t="str">
            <v>1430001</v>
          </cell>
          <cell r="B586" t="str">
            <v>AR Misc Other (Posting)</v>
          </cell>
          <cell r="C586">
            <v>1500000</v>
          </cell>
          <cell r="D586">
            <v>1500000</v>
          </cell>
          <cell r="E586">
            <v>1500000</v>
          </cell>
          <cell r="F586">
            <v>1500000</v>
          </cell>
          <cell r="G586">
            <v>1500000</v>
          </cell>
          <cell r="H586">
            <v>1500000</v>
          </cell>
          <cell r="I586">
            <v>1500000</v>
          </cell>
          <cell r="J586">
            <v>1500000</v>
          </cell>
          <cell r="K586">
            <v>1500000</v>
          </cell>
          <cell r="L586">
            <v>1500000</v>
          </cell>
          <cell r="M586">
            <v>1500000</v>
          </cell>
          <cell r="N586">
            <v>1500000</v>
          </cell>
          <cell r="O586">
            <v>18000000</v>
          </cell>
        </row>
        <row r="587">
          <cell r="A587" t="str">
            <v>1430002</v>
          </cell>
          <cell r="B587" t="str">
            <v>AR Misc Other FASB52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1430003</v>
          </cell>
          <cell r="B588" t="str">
            <v>AR Misc Other VEBA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 t="str">
            <v>1430005</v>
          </cell>
          <cell r="B589" t="str">
            <v>AR - Vendor Advance Payments (RECON)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1430010</v>
          </cell>
          <cell r="B590" t="str">
            <v>AR - Taxes Receivable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1430019</v>
          </cell>
          <cell r="B591" t="str">
            <v>AR - VAT Receivable - Translation Gain/Loss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1430020</v>
          </cell>
          <cell r="B592" t="str">
            <v>AR - VAT Receivable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1430021</v>
          </cell>
          <cell r="B593" t="str">
            <v>AR - VAT Withholding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A594" t="str">
            <v>1430030</v>
          </cell>
          <cell r="B594" t="str">
            <v>AR - Employee Advances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 t="str">
            <v>1430031</v>
          </cell>
          <cell r="B595" t="str">
            <v>AR - Employee Advances - Translation Gain/Loss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 t="str">
            <v>1430035</v>
          </cell>
          <cell r="B596" t="str">
            <v>AR - Employee Purchases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 t="str">
            <v>1430036</v>
          </cell>
          <cell r="B597" t="str">
            <v>AR - Employee Personal Reimbursment Pcard Charge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A598" t="str">
            <v>1430040</v>
          </cell>
          <cell r="B598" t="str">
            <v>AR CRM Non-Utility (RECON)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A599" t="str">
            <v>1430041</v>
          </cell>
          <cell r="B599" t="str">
            <v>AR CRM Non-Utility (Posting)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A600" t="str">
            <v>1430050</v>
          </cell>
          <cell r="B600" t="str">
            <v>AR CRM Non-Utility Overpayment (RECON)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 t="str">
            <v>1430051</v>
          </cell>
          <cell r="B601" t="str">
            <v>AR CRM Non-Utility Overpayment (Posting)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A602" t="str">
            <v>1430105</v>
          </cell>
          <cell r="B602" t="str">
            <v>AR - Vendor Advance Payments - Translation Gain/Loss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 t="str">
            <v>1430300</v>
          </cell>
          <cell r="B603" t="str">
            <v>AR - Income Taxes Receivable - Federal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1430400</v>
          </cell>
          <cell r="B604" t="str">
            <v>AR - Income Taxes Receivable - State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A605" t="str">
            <v>1430500</v>
          </cell>
          <cell r="B605" t="str">
            <v>AR - CIS Incremental Billing - Non-Gas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 t="str">
            <v>1430510</v>
          </cell>
          <cell r="B606" t="str">
            <v>AR - CIS Jobbing Reclass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 t="str">
            <v>1430520</v>
          </cell>
          <cell r="B607" t="str">
            <v>AR - Misc Receivables Unapplied Cash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 t="str">
            <v>1440000</v>
          </cell>
          <cell r="B608" t="str">
            <v>Accumulated Provision for Uncollectible Accounts</v>
          </cell>
          <cell r="C608">
            <v>-1441721.6238664</v>
          </cell>
          <cell r="D608">
            <v>-1459756.6802266999</v>
          </cell>
          <cell r="E608">
            <v>-1521301.9947963001</v>
          </cell>
          <cell r="F608">
            <v>-1632940.1418037</v>
          </cell>
          <cell r="G608">
            <v>-1767800.2525486001</v>
          </cell>
          <cell r="H608">
            <v>-1974886.5317770001</v>
          </cell>
          <cell r="I608">
            <v>-2079060.6446950999</v>
          </cell>
          <cell r="J608">
            <v>-1424918.1874809</v>
          </cell>
          <cell r="K608">
            <v>-1446647.1805322999</v>
          </cell>
          <cell r="L608">
            <v>-1279724.8114076999</v>
          </cell>
          <cell r="M608">
            <v>-1157195.9793750001</v>
          </cell>
          <cell r="N608">
            <v>-1118630.8489822</v>
          </cell>
          <cell r="O608">
            <v>-18304584.877491903</v>
          </cell>
        </row>
        <row r="609">
          <cell r="A609" t="str">
            <v>1440001</v>
          </cell>
          <cell r="B609" t="str">
            <v>Accum Provision for Uncollectible Accts - CRM FF</v>
          </cell>
          <cell r="C609">
            <v>297228.65999999997</v>
          </cell>
          <cell r="D609">
            <v>297228.65999999997</v>
          </cell>
          <cell r="E609">
            <v>297228.65999999997</v>
          </cell>
          <cell r="F609">
            <v>297228.65999999997</v>
          </cell>
          <cell r="G609">
            <v>297228.65999999997</v>
          </cell>
          <cell r="H609">
            <v>297228.65999999997</v>
          </cell>
          <cell r="I609">
            <v>297228.65999999997</v>
          </cell>
          <cell r="J609">
            <v>297228.65999999997</v>
          </cell>
          <cell r="K609">
            <v>297228.65999999997</v>
          </cell>
          <cell r="L609">
            <v>297228.65999999997</v>
          </cell>
          <cell r="M609">
            <v>297228.65999999997</v>
          </cell>
          <cell r="N609">
            <v>297228.65999999997</v>
          </cell>
          <cell r="O609">
            <v>3566743.9200000004</v>
          </cell>
        </row>
        <row r="610">
          <cell r="A610" t="str">
            <v>1440002</v>
          </cell>
          <cell r="B610" t="str">
            <v>Accum Provision for Uncollectible Accts - CRM GRT</v>
          </cell>
          <cell r="C610">
            <v>282928.83</v>
          </cell>
          <cell r="D610">
            <v>282928.83</v>
          </cell>
          <cell r="E610">
            <v>282928.83</v>
          </cell>
          <cell r="F610">
            <v>282928.83</v>
          </cell>
          <cell r="G610">
            <v>282928.83</v>
          </cell>
          <cell r="H610">
            <v>282928.83</v>
          </cell>
          <cell r="I610">
            <v>282928.83</v>
          </cell>
          <cell r="J610">
            <v>282928.83</v>
          </cell>
          <cell r="K610">
            <v>282928.83</v>
          </cell>
          <cell r="L610">
            <v>282928.83</v>
          </cell>
          <cell r="M610">
            <v>282928.83</v>
          </cell>
          <cell r="N610">
            <v>282928.83</v>
          </cell>
          <cell r="O610">
            <v>3395145.9600000004</v>
          </cell>
        </row>
        <row r="611">
          <cell r="A611" t="str">
            <v>1440010</v>
          </cell>
          <cell r="B611" t="str">
            <v>Accum Provision for Uncollectible - Regular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A612" t="str">
            <v>1440020</v>
          </cell>
          <cell r="B612" t="str">
            <v>Accum Provision for Uncollectible - Misc Billing</v>
          </cell>
          <cell r="C612">
            <v>-1202276.6499999999</v>
          </cell>
          <cell r="D612">
            <v>-1202276.6499999999</v>
          </cell>
          <cell r="E612">
            <v>-1202276.6499999999</v>
          </cell>
          <cell r="F612">
            <v>-1202276.6499999999</v>
          </cell>
          <cell r="G612">
            <v>-1202276.6499999999</v>
          </cell>
          <cell r="H612">
            <v>-1202276.6499999999</v>
          </cell>
          <cell r="I612">
            <v>-1202276.6499999999</v>
          </cell>
          <cell r="J612">
            <v>-1202276.6499999999</v>
          </cell>
          <cell r="K612">
            <v>-1202276.6499999999</v>
          </cell>
          <cell r="L612">
            <v>-1202276.6499999999</v>
          </cell>
          <cell r="M612">
            <v>-1202276.6499999999</v>
          </cell>
          <cell r="N612">
            <v>-1202276.6499999999</v>
          </cell>
          <cell r="O612">
            <v>-14427319.800000003</v>
          </cell>
        </row>
        <row r="613">
          <cell r="A613" t="str">
            <v>1450710</v>
          </cell>
          <cell r="B613" t="str">
            <v>Inactive Account   Do not use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A614" t="str">
            <v>1450711</v>
          </cell>
          <cell r="B614" t="str">
            <v>Notes Receivable - Intercompany - Current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A615" t="str">
            <v>1450712</v>
          </cell>
          <cell r="B615" t="str">
            <v>Notes Receivable - EUSHI Interco - Current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1450720</v>
          </cell>
          <cell r="B616" t="str">
            <v>Inactive Account   Do not use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A617" t="str">
            <v>1450721</v>
          </cell>
          <cell r="B617" t="str">
            <v>Notes Receivable - Intercompany - Non-Current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</row>
        <row r="618">
          <cell r="A618" t="str">
            <v>1460700</v>
          </cell>
          <cell r="B618" t="str">
            <v>Trade Receivable-Intercompany (RECON)</v>
          </cell>
          <cell r="C618">
            <v>11550693.91</v>
          </cell>
          <cell r="D618">
            <v>11550693.91</v>
          </cell>
          <cell r="E618">
            <v>11550693.91</v>
          </cell>
          <cell r="F618">
            <v>11550693.91</v>
          </cell>
          <cell r="G618">
            <v>11550693.91</v>
          </cell>
          <cell r="H618">
            <v>11550693.91</v>
          </cell>
          <cell r="I618">
            <v>11550693.91</v>
          </cell>
          <cell r="J618">
            <v>11550693.91</v>
          </cell>
          <cell r="K618">
            <v>11550693.91</v>
          </cell>
          <cell r="L618">
            <v>11550693.91</v>
          </cell>
          <cell r="M618">
            <v>11550693.91</v>
          </cell>
          <cell r="N618">
            <v>11550693.91</v>
          </cell>
          <cell r="O618">
            <v>138608326.91999999</v>
          </cell>
        </row>
        <row r="619">
          <cell r="A619" t="str">
            <v>1460701</v>
          </cell>
          <cell r="B619" t="str">
            <v>Trade Receivable-Intercompany (Posting)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1460702</v>
          </cell>
          <cell r="B620" t="str">
            <v>Do Not USE-Trade Receivable-Intercompany - TECO Coal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A621" t="str">
            <v>1460703</v>
          </cell>
          <cell r="B621" t="str">
            <v>Trade Receivable-Intercompany FASB52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A622" t="str">
            <v>1460704</v>
          </cell>
          <cell r="B622" t="str">
            <v>Do Not USE-Trade Receivable-Interco-New Mexico Gas Intermed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A623" t="str">
            <v>1460705</v>
          </cell>
          <cell r="B623" t="str">
            <v>Do Not USE-Trade Receivable-Interco-New Mexico Gas Company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A624" t="str">
            <v>1460706</v>
          </cell>
          <cell r="B624" t="str">
            <v>Trade Receivable-Interco-Emera Inc. E009</v>
          </cell>
          <cell r="C624">
            <v>39937.339999999997</v>
          </cell>
          <cell r="D624">
            <v>39937.339999999997</v>
          </cell>
          <cell r="E624">
            <v>39937.339999999997</v>
          </cell>
          <cell r="F624">
            <v>39937.339999999997</v>
          </cell>
          <cell r="G624">
            <v>39937.339999999997</v>
          </cell>
          <cell r="H624">
            <v>39937.339999999997</v>
          </cell>
          <cell r="I624">
            <v>39937.339999999997</v>
          </cell>
          <cell r="J624">
            <v>39937.339999999997</v>
          </cell>
          <cell r="K624">
            <v>39937.339999999997</v>
          </cell>
          <cell r="L624">
            <v>39937.339999999997</v>
          </cell>
          <cell r="M624">
            <v>39937.339999999997</v>
          </cell>
          <cell r="N624">
            <v>39937.339999999997</v>
          </cell>
          <cell r="O624">
            <v>479248.07999999984</v>
          </cell>
        </row>
        <row r="625">
          <cell r="A625" t="str">
            <v>1460707</v>
          </cell>
          <cell r="B625" t="str">
            <v>Trade Receivable-Interco-Emera Energy E012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A626" t="str">
            <v>1460708</v>
          </cell>
          <cell r="B626" t="str">
            <v>Trade Receivable-Interco-Grand Bahama PowerCo E851</v>
          </cell>
          <cell r="C626">
            <v>2475751.7999999998</v>
          </cell>
          <cell r="D626">
            <v>2475751.7999999998</v>
          </cell>
          <cell r="E626">
            <v>2475751.7999999998</v>
          </cell>
          <cell r="F626">
            <v>2475751.7999999998</v>
          </cell>
          <cell r="G626">
            <v>2475751.7999999998</v>
          </cell>
          <cell r="H626">
            <v>2475751.7999999998</v>
          </cell>
          <cell r="I626">
            <v>2475751.7999999998</v>
          </cell>
          <cell r="J626">
            <v>2475751.7999999998</v>
          </cell>
          <cell r="K626">
            <v>2475751.7999999998</v>
          </cell>
          <cell r="L626">
            <v>2475751.7999999998</v>
          </cell>
          <cell r="M626">
            <v>2475751.7999999998</v>
          </cell>
          <cell r="N626">
            <v>24433.34</v>
          </cell>
          <cell r="O626">
            <v>27257703.140000004</v>
          </cell>
        </row>
        <row r="627">
          <cell r="A627" t="str">
            <v>1460709</v>
          </cell>
          <cell r="B627" t="str">
            <v>Trade Receivable-Interco-Nova Scotia Power E001</v>
          </cell>
          <cell r="C627">
            <v>18447.52</v>
          </cell>
          <cell r="D627">
            <v>18447.52</v>
          </cell>
          <cell r="E627">
            <v>18447.52</v>
          </cell>
          <cell r="F627">
            <v>18447.52</v>
          </cell>
          <cell r="G627">
            <v>18447.52</v>
          </cell>
          <cell r="H627">
            <v>18447.52</v>
          </cell>
          <cell r="I627">
            <v>18447.52</v>
          </cell>
          <cell r="J627">
            <v>18447.52</v>
          </cell>
          <cell r="K627">
            <v>18447.52</v>
          </cell>
          <cell r="L627">
            <v>18447.52</v>
          </cell>
          <cell r="M627">
            <v>18447.52</v>
          </cell>
          <cell r="N627">
            <v>18447.52</v>
          </cell>
          <cell r="O627">
            <v>221370.23999999996</v>
          </cell>
        </row>
        <row r="628">
          <cell r="A628" t="str">
            <v>1460710</v>
          </cell>
          <cell r="B628" t="str">
            <v>Interest Receivable-Intercompany (RECON)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A629" t="str">
            <v>1460711</v>
          </cell>
          <cell r="B629" t="str">
            <v>Interest Receivable-Intercompany (Posting)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 t="str">
            <v>1460720</v>
          </cell>
          <cell r="B630" t="str">
            <v>Dividend Receivable-Intercompany (RECON)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A631" t="str">
            <v>1460721</v>
          </cell>
          <cell r="B631" t="str">
            <v>Dividend Receivable-Intercompany (Posting)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A632" t="str">
            <v>1460730</v>
          </cell>
          <cell r="B632" t="str">
            <v>Advance Receivable-Intercompany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A633" t="str">
            <v>1460731</v>
          </cell>
          <cell r="B633" t="str">
            <v>Inactive Account   Do not use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A634" t="str">
            <v>1460732</v>
          </cell>
          <cell r="B634" t="str">
            <v>Advance Receivable-Intercompany FASB52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 t="str">
            <v>1460740</v>
          </cell>
          <cell r="B635" t="str">
            <v>Interco Receivable - CRM - TECO OneBill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A636" t="str">
            <v>1460741</v>
          </cell>
          <cell r="B636" t="str">
            <v>Interco Receivable - CRM - TEC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A637" t="str">
            <v>1460742</v>
          </cell>
          <cell r="B637" t="str">
            <v>Interco Receivable - CRM - PGS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A638" t="str">
            <v>1460743</v>
          </cell>
          <cell r="B638" t="str">
            <v>Interco Receivable - CRM - TPI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A639" t="str">
            <v>1460750</v>
          </cell>
          <cell r="B639" t="str">
            <v>Trade Receivable-Interco-Emera Brunswick E350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A640" t="str">
            <v>1460751</v>
          </cell>
          <cell r="B640" t="str">
            <v>Trade Receivable-Interco-Emera Caribbean Hlds Ltd  E033</v>
          </cell>
          <cell r="C640">
            <v>26602.65</v>
          </cell>
          <cell r="D640">
            <v>26602.65</v>
          </cell>
          <cell r="E640">
            <v>26602.65</v>
          </cell>
          <cell r="F640">
            <v>26602.65</v>
          </cell>
          <cell r="G640">
            <v>26602.65</v>
          </cell>
          <cell r="H640">
            <v>26602.65</v>
          </cell>
          <cell r="I640">
            <v>26602.65</v>
          </cell>
          <cell r="J640">
            <v>26602.65</v>
          </cell>
          <cell r="K640">
            <v>26602.65</v>
          </cell>
          <cell r="L640">
            <v>26602.65</v>
          </cell>
          <cell r="M640">
            <v>26602.65</v>
          </cell>
          <cell r="N640">
            <v>26602.65</v>
          </cell>
          <cell r="O640">
            <v>319231.80000000005</v>
          </cell>
        </row>
        <row r="641">
          <cell r="A641" t="str">
            <v>1460752</v>
          </cell>
          <cell r="B641" t="str">
            <v>Trade Receivable-Interco-EUSHI E390 (Emera US Holdings)</v>
          </cell>
          <cell r="C641">
            <v>4422.2700000000004</v>
          </cell>
          <cell r="D641">
            <v>4422.2700000000004</v>
          </cell>
          <cell r="E641">
            <v>4422.2700000000004</v>
          </cell>
          <cell r="F641">
            <v>4422.2700000000004</v>
          </cell>
          <cell r="G641">
            <v>4422.2700000000004</v>
          </cell>
          <cell r="H641">
            <v>4422.2700000000004</v>
          </cell>
          <cell r="I641">
            <v>4422.2700000000004</v>
          </cell>
          <cell r="J641">
            <v>4422.2700000000004</v>
          </cell>
          <cell r="K641">
            <v>4422.2700000000004</v>
          </cell>
          <cell r="L641">
            <v>4422.2700000000004</v>
          </cell>
          <cell r="M641">
            <v>4422.2700000000004</v>
          </cell>
          <cell r="N641">
            <v>4422.2700000000004</v>
          </cell>
          <cell r="O641">
            <v>53067.24000000002</v>
          </cell>
        </row>
        <row r="642">
          <cell r="A642" t="str">
            <v>1460753</v>
          </cell>
          <cell r="B642" t="str">
            <v>Trade Rec-Interco-Emera ICD Utilities E850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A643" t="str">
            <v>1460754</v>
          </cell>
          <cell r="B643" t="str">
            <v>Trade Rec-Interco-Emera US Sub 1 E017</v>
          </cell>
          <cell r="C643">
            <v>3388.03</v>
          </cell>
          <cell r="D643">
            <v>3388.03</v>
          </cell>
          <cell r="E643">
            <v>3388.03</v>
          </cell>
          <cell r="F643">
            <v>3388.03</v>
          </cell>
          <cell r="G643">
            <v>3388.03</v>
          </cell>
          <cell r="H643">
            <v>3388.03</v>
          </cell>
          <cell r="I643">
            <v>3388.03</v>
          </cell>
          <cell r="J643">
            <v>3388.03</v>
          </cell>
          <cell r="K643">
            <v>3388.03</v>
          </cell>
          <cell r="L643">
            <v>3388.03</v>
          </cell>
          <cell r="M643">
            <v>3388.03</v>
          </cell>
          <cell r="N643">
            <v>3388.03</v>
          </cell>
          <cell r="O643">
            <v>40656.359999999993</v>
          </cell>
        </row>
        <row r="644">
          <cell r="A644" t="str">
            <v>1460755</v>
          </cell>
          <cell r="B644" t="str">
            <v>Trade Rec-Interco-Emera Scotia Power E025</v>
          </cell>
          <cell r="C644">
            <v>1018.1</v>
          </cell>
          <cell r="D644">
            <v>1018.1</v>
          </cell>
          <cell r="E644">
            <v>1018.1</v>
          </cell>
          <cell r="F644">
            <v>1018.1</v>
          </cell>
          <cell r="G644">
            <v>1018.1</v>
          </cell>
          <cell r="H644">
            <v>1018.1</v>
          </cell>
          <cell r="I644">
            <v>1018.1</v>
          </cell>
          <cell r="J644">
            <v>1018.1</v>
          </cell>
          <cell r="K644">
            <v>1018.1</v>
          </cell>
          <cell r="L644">
            <v>1018.1</v>
          </cell>
          <cell r="M644">
            <v>1018.1</v>
          </cell>
          <cell r="N644">
            <v>1018.1</v>
          </cell>
          <cell r="O644">
            <v>12217.200000000003</v>
          </cell>
        </row>
        <row r="645">
          <cell r="A645" t="str">
            <v>1460756</v>
          </cell>
          <cell r="B645" t="str">
            <v>Trade Rec-Interco-Emera Bridgeport Energy E064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1460757</v>
          </cell>
          <cell r="B646" t="str">
            <v>Trade Rec-Interco-Emera Tiverton Power E065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A647" t="str">
            <v>1460758</v>
          </cell>
          <cell r="B647" t="str">
            <v>Trade Rec-Interco-Emera Rumford Power E066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 t="str">
            <v>1460759</v>
          </cell>
          <cell r="B648" t="str">
            <v>Trade Rec-Interco-Emera Energy Generation II E396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 t="str">
            <v>1460760</v>
          </cell>
          <cell r="B649" t="str">
            <v>Trade Rec-Interco-Emera Caribbean Inc E855</v>
          </cell>
          <cell r="C649">
            <v>171506.96</v>
          </cell>
          <cell r="D649">
            <v>171506.96</v>
          </cell>
          <cell r="E649">
            <v>171506.96</v>
          </cell>
          <cell r="F649">
            <v>171506.96</v>
          </cell>
          <cell r="G649">
            <v>171506.96</v>
          </cell>
          <cell r="H649">
            <v>171506.96</v>
          </cell>
          <cell r="I649">
            <v>171506.96</v>
          </cell>
          <cell r="J649">
            <v>171506.96</v>
          </cell>
          <cell r="K649">
            <v>171506.96</v>
          </cell>
          <cell r="L649">
            <v>171506.96</v>
          </cell>
          <cell r="M649">
            <v>171506.96</v>
          </cell>
          <cell r="N649">
            <v>171506.96</v>
          </cell>
          <cell r="O649">
            <v>2058083.5199999998</v>
          </cell>
        </row>
        <row r="650">
          <cell r="A650" t="str">
            <v>1460761</v>
          </cell>
          <cell r="B650" t="str">
            <v>Trade Rec-Interco-Emera Maine E393</v>
          </cell>
          <cell r="C650">
            <v>1298.9100000000001</v>
          </cell>
          <cell r="D650">
            <v>1298.9100000000001</v>
          </cell>
          <cell r="E650">
            <v>1298.9100000000001</v>
          </cell>
          <cell r="F650">
            <v>1298.9100000000001</v>
          </cell>
          <cell r="G650">
            <v>1298.9100000000001</v>
          </cell>
          <cell r="H650">
            <v>1298.9100000000001</v>
          </cell>
          <cell r="I650">
            <v>1298.9100000000001</v>
          </cell>
          <cell r="J650">
            <v>1298.9100000000001</v>
          </cell>
          <cell r="K650">
            <v>1298.9100000000001</v>
          </cell>
          <cell r="L650">
            <v>1298.9100000000001</v>
          </cell>
          <cell r="M650">
            <v>1298.9100000000001</v>
          </cell>
          <cell r="N650">
            <v>1298.9100000000001</v>
          </cell>
          <cell r="O650">
            <v>15586.92</v>
          </cell>
        </row>
        <row r="651">
          <cell r="A651" t="str">
            <v>1460762</v>
          </cell>
          <cell r="B651" t="str">
            <v>Trade Rec-Interco-Emera Energy Services Inc. E016</v>
          </cell>
          <cell r="C651">
            <v>14806.71</v>
          </cell>
          <cell r="D651">
            <v>14806.71</v>
          </cell>
          <cell r="E651">
            <v>14806.71</v>
          </cell>
          <cell r="F651">
            <v>14806.71</v>
          </cell>
          <cell r="G651">
            <v>14806.71</v>
          </cell>
          <cell r="H651">
            <v>14806.71</v>
          </cell>
          <cell r="I651">
            <v>14806.71</v>
          </cell>
          <cell r="J651">
            <v>14806.71</v>
          </cell>
          <cell r="K651">
            <v>14806.71</v>
          </cell>
          <cell r="L651">
            <v>14806.71</v>
          </cell>
          <cell r="M651">
            <v>14806.71</v>
          </cell>
          <cell r="N651">
            <v>14806.71</v>
          </cell>
          <cell r="O651">
            <v>177680.51999999993</v>
          </cell>
        </row>
        <row r="652">
          <cell r="A652" t="str">
            <v>1460763</v>
          </cell>
          <cell r="B652" t="str">
            <v>Trade Rec-Interco-Emera Grand HVAC Leasing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A653" t="str">
            <v>1460780</v>
          </cell>
          <cell r="B653" t="str">
            <v>Trade Receivable-Emera Interco on SAP  E410 (RECON)</v>
          </cell>
          <cell r="C653">
            <v>28638.99</v>
          </cell>
          <cell r="D653">
            <v>28638.99</v>
          </cell>
          <cell r="E653">
            <v>28638.99</v>
          </cell>
          <cell r="F653">
            <v>28638.99</v>
          </cell>
          <cell r="G653">
            <v>28638.99</v>
          </cell>
          <cell r="H653">
            <v>28638.99</v>
          </cell>
          <cell r="I653">
            <v>28638.99</v>
          </cell>
          <cell r="J653">
            <v>28638.99</v>
          </cell>
          <cell r="K653">
            <v>28638.99</v>
          </cell>
          <cell r="L653">
            <v>28638.99</v>
          </cell>
          <cell r="M653">
            <v>28638.99</v>
          </cell>
          <cell r="N653">
            <v>28638.99</v>
          </cell>
          <cell r="O653">
            <v>343667.87999999995</v>
          </cell>
        </row>
        <row r="654">
          <cell r="A654" t="str">
            <v>1460781</v>
          </cell>
          <cell r="B654" t="str">
            <v>Trade Receivable-Emera Interco on SAP E410 (Posting)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1460790</v>
          </cell>
          <cell r="B655" t="str">
            <v>Trade Receivable-Emera Intercompany (RECON)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A656" t="str">
            <v>1460791</v>
          </cell>
          <cell r="B656" t="str">
            <v>Trade Receivable-Emera Intercompany (Posting)</v>
          </cell>
          <cell r="C656">
            <v>2732237.5</v>
          </cell>
          <cell r="D656">
            <v>2732237.5</v>
          </cell>
          <cell r="E656">
            <v>2732237.5</v>
          </cell>
          <cell r="F656">
            <v>2732237.5</v>
          </cell>
          <cell r="G656">
            <v>2732237.5</v>
          </cell>
          <cell r="H656">
            <v>2732237.5</v>
          </cell>
          <cell r="I656">
            <v>2732237.5</v>
          </cell>
          <cell r="J656">
            <v>2732237.5</v>
          </cell>
          <cell r="K656">
            <v>2732237.5</v>
          </cell>
          <cell r="L656">
            <v>2732237.5</v>
          </cell>
          <cell r="M656">
            <v>2732237.5</v>
          </cell>
          <cell r="N656">
            <v>2732237.5</v>
          </cell>
          <cell r="O656">
            <v>32786850</v>
          </cell>
        </row>
        <row r="657">
          <cell r="A657" t="str">
            <v>1460799</v>
          </cell>
          <cell r="B657" t="str">
            <v>AR Intercompany Emera Energy Savings AMA</v>
          </cell>
          <cell r="C657">
            <v>3553723.1</v>
          </cell>
          <cell r="D657">
            <v>3553723.1</v>
          </cell>
          <cell r="E657">
            <v>3553723.1</v>
          </cell>
          <cell r="F657">
            <v>3553723.1</v>
          </cell>
          <cell r="G657">
            <v>3553723.1</v>
          </cell>
          <cell r="H657">
            <v>3553723.1</v>
          </cell>
          <cell r="I657">
            <v>3553723.1</v>
          </cell>
          <cell r="J657">
            <v>3553723.1</v>
          </cell>
          <cell r="K657">
            <v>3553723.1</v>
          </cell>
          <cell r="L657">
            <v>3553723.1</v>
          </cell>
          <cell r="M657">
            <v>3553723.1</v>
          </cell>
          <cell r="N657">
            <v>3553723.1</v>
          </cell>
          <cell r="O657">
            <v>42644677.20000001</v>
          </cell>
        </row>
        <row r="658">
          <cell r="A658" t="str">
            <v>1510010</v>
          </cell>
          <cell r="B658" t="str">
            <v>Fuel Stock - Diesel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 t="str">
            <v>1510015</v>
          </cell>
          <cell r="B659" t="str">
            <v>Fuel Stock - Unleaded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A660" t="str">
            <v>1510020</v>
          </cell>
          <cell r="B660" t="str">
            <v>Fuel Stock - Coal</v>
          </cell>
          <cell r="C660">
            <v>19755000</v>
          </cell>
          <cell r="D660">
            <v>18777000</v>
          </cell>
          <cell r="E660">
            <v>18257000</v>
          </cell>
          <cell r="F660">
            <v>17069000</v>
          </cell>
          <cell r="G660">
            <v>15125000</v>
          </cell>
          <cell r="H660">
            <v>12656000</v>
          </cell>
          <cell r="I660">
            <v>13854000</v>
          </cell>
          <cell r="J660">
            <v>13250000</v>
          </cell>
          <cell r="K660">
            <v>12092000</v>
          </cell>
          <cell r="L660">
            <v>12804000</v>
          </cell>
          <cell r="M660">
            <v>15989000</v>
          </cell>
          <cell r="N660">
            <v>16872000</v>
          </cell>
          <cell r="O660">
            <v>186500000</v>
          </cell>
        </row>
        <row r="661">
          <cell r="A661" t="str">
            <v>1510030</v>
          </cell>
          <cell r="B661" t="str">
            <v>Fuel Stock - #2 Oil</v>
          </cell>
          <cell r="C661">
            <v>5300000</v>
          </cell>
          <cell r="D661">
            <v>5300000</v>
          </cell>
          <cell r="E661">
            <v>4976000</v>
          </cell>
          <cell r="F661">
            <v>4757000</v>
          </cell>
          <cell r="G661">
            <v>4497000</v>
          </cell>
          <cell r="H661">
            <v>4276000</v>
          </cell>
          <cell r="I661">
            <v>4077000</v>
          </cell>
          <cell r="J661">
            <v>3904000</v>
          </cell>
          <cell r="K661">
            <v>3758000</v>
          </cell>
          <cell r="L661">
            <v>3633000</v>
          </cell>
          <cell r="M661">
            <v>3540000</v>
          </cell>
          <cell r="N661">
            <v>3438000</v>
          </cell>
          <cell r="O661">
            <v>51456000</v>
          </cell>
        </row>
        <row r="662">
          <cell r="A662" t="str">
            <v>1510040</v>
          </cell>
          <cell r="B662" t="str">
            <v>Fuel Stock - #6 Oil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 t="str">
            <v>1510050</v>
          </cell>
          <cell r="B663" t="str">
            <v>Fuel Stock - Natural Gas</v>
          </cell>
          <cell r="C663">
            <v>970000</v>
          </cell>
          <cell r="D663">
            <v>955000</v>
          </cell>
          <cell r="E663">
            <v>915000</v>
          </cell>
          <cell r="F663">
            <v>827000</v>
          </cell>
          <cell r="G663">
            <v>1085000</v>
          </cell>
          <cell r="H663">
            <v>1095000</v>
          </cell>
          <cell r="I663">
            <v>1109000</v>
          </cell>
          <cell r="J663">
            <v>1111000</v>
          </cell>
          <cell r="K663">
            <v>1107000</v>
          </cell>
          <cell r="L663">
            <v>1115000</v>
          </cell>
          <cell r="M663">
            <v>851000</v>
          </cell>
          <cell r="N663">
            <v>890000</v>
          </cell>
          <cell r="O663">
            <v>12030000</v>
          </cell>
        </row>
        <row r="664">
          <cell r="A664" t="str">
            <v>1510060</v>
          </cell>
          <cell r="B664" t="str">
            <v>Fuel Stock - Propane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 t="str">
            <v>1510300</v>
          </cell>
          <cell r="B665" t="str">
            <v>Fuel Stock - Oil Offsite Storage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A666" t="str">
            <v>1510510</v>
          </cell>
          <cell r="B666" t="str">
            <v>Fuel Stock - Diesel - Generation (RECON)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1510520</v>
          </cell>
          <cell r="B667" t="str">
            <v>Fuel Stock - Coal (RECON)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 t="str">
            <v>1510610</v>
          </cell>
          <cell r="B668" t="str">
            <v>Fuel Stock - Diesel - Transportation (RECON)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9">
          <cell r="A669" t="str">
            <v>1520010</v>
          </cell>
          <cell r="B669" t="str">
            <v>Fuel Stock Exp Undistrib - Diesel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 t="str">
            <v>1520020</v>
          </cell>
          <cell r="B670" t="str">
            <v>Fuel Stock Exp Undistrib - Coal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A671" t="str">
            <v>1520030</v>
          </cell>
          <cell r="B671" t="str">
            <v>Fuel Stock Exp Undistrib - #2 Oil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 t="str">
            <v>1520040</v>
          </cell>
          <cell r="B672" t="str">
            <v>Fuel Stock Exp Undistrib - #6 Oil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 t="str">
            <v>1520050</v>
          </cell>
          <cell r="B673" t="str">
            <v>Fuel Stock Exp Undistrib - Natural Gas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 t="str">
            <v>1520060</v>
          </cell>
          <cell r="B674" t="str">
            <v>Fuel Stock Exp Undistrib - Propane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1520070</v>
          </cell>
          <cell r="B675" t="str">
            <v>Fuel Stock Exp Undistrib - Legal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 t="str">
            <v>1530610</v>
          </cell>
          <cell r="B676" t="str">
            <v>Residuals - Slag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A677" t="str">
            <v>1530620</v>
          </cell>
          <cell r="B677" t="str">
            <v>Residuals - Fly Ash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 t="str">
            <v>1530630</v>
          </cell>
          <cell r="B678" t="str">
            <v>Residuals - Bottom Ash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1530640</v>
          </cell>
          <cell r="B679" t="str">
            <v>Residuals - Brine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1530650</v>
          </cell>
          <cell r="B680" t="str">
            <v>Residuals - Sulfuric Acid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1530660</v>
          </cell>
          <cell r="B681" t="str">
            <v>Residuals - Gypsum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1530690</v>
          </cell>
          <cell r="B682" t="str">
            <v>Residuals - Other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1540000</v>
          </cell>
          <cell r="B683" t="str">
            <v>Plant Materials and Operating Supplies (RECON)</v>
          </cell>
          <cell r="C683">
            <v>106700000</v>
          </cell>
          <cell r="D683">
            <v>106800000</v>
          </cell>
          <cell r="E683">
            <v>106900000</v>
          </cell>
          <cell r="F683">
            <v>107150000</v>
          </cell>
          <cell r="G683">
            <v>107250000</v>
          </cell>
          <cell r="H683">
            <v>107500000</v>
          </cell>
          <cell r="I683">
            <v>107600000</v>
          </cell>
          <cell r="J683">
            <v>107700000</v>
          </cell>
          <cell r="K683">
            <v>107800000</v>
          </cell>
          <cell r="L683">
            <v>107900000</v>
          </cell>
          <cell r="M683">
            <v>108000000</v>
          </cell>
          <cell r="N683">
            <v>108100000</v>
          </cell>
          <cell r="O683">
            <v>1289400000</v>
          </cell>
        </row>
        <row r="684">
          <cell r="A684" t="str">
            <v>1540001</v>
          </cell>
          <cell r="B684" t="str">
            <v>Plant Materials and Operating Supplies (Posting)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1550000</v>
          </cell>
          <cell r="B685" t="str">
            <v>Merchandise (RECON)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1550001</v>
          </cell>
          <cell r="B686" t="str">
            <v>Merchandise (Posting)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1560000</v>
          </cell>
          <cell r="B687" t="str">
            <v>Other Materials and Supplies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1581000</v>
          </cell>
          <cell r="B688" t="str">
            <v>Allowance Inventory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1582000</v>
          </cell>
          <cell r="B689" t="str">
            <v>Allowances Withheld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</row>
        <row r="690">
          <cell r="A690" t="str">
            <v>1630000</v>
          </cell>
          <cell r="B690" t="str">
            <v>Stores Expense Undistributed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1641000</v>
          </cell>
          <cell r="B691" t="str">
            <v>Gas Stored - Current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1641010</v>
          </cell>
          <cell r="B692" t="str">
            <v>Gas Stored - Storage Off-System Sales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1642000</v>
          </cell>
          <cell r="B693" t="str">
            <v>Liquefied Natural Gas Stored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1643000</v>
          </cell>
          <cell r="B694" t="str">
            <v>Liquefied Natural Gas Held for Processing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1650010</v>
          </cell>
          <cell r="B695" t="str">
            <v>Prepaid Pasco Cogen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1650011</v>
          </cell>
          <cell r="B696" t="str">
            <v>Prepaid Oleander Oil PPA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1650020</v>
          </cell>
          <cell r="B697" t="str">
            <v>Prepaid Ammonia Supply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1650030</v>
          </cell>
          <cell r="B698" t="str">
            <v>Prepaid Water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1650040</v>
          </cell>
          <cell r="B699" t="str">
            <v>Prepaid Permits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1650050</v>
          </cell>
          <cell r="B700" t="str">
            <v>Prepaid Short-term Debt Facility Fees</v>
          </cell>
          <cell r="C700">
            <v>1585892.73</v>
          </cell>
          <cell r="D700">
            <v>1521879.24</v>
          </cell>
          <cell r="E700">
            <v>1767240.75</v>
          </cell>
          <cell r="F700">
            <v>1679215.38</v>
          </cell>
          <cell r="G700">
            <v>1591190.01</v>
          </cell>
          <cell r="H700">
            <v>1503164.64</v>
          </cell>
          <cell r="I700">
            <v>1415139.27</v>
          </cell>
          <cell r="J700">
            <v>1327113.8999999999</v>
          </cell>
          <cell r="K700">
            <v>1239088.53</v>
          </cell>
          <cell r="L700">
            <v>1151063.1599999999</v>
          </cell>
          <cell r="M700">
            <v>1063037.79</v>
          </cell>
          <cell r="N700">
            <v>975012.42</v>
          </cell>
          <cell r="O700">
            <v>16819037.82</v>
          </cell>
        </row>
        <row r="701">
          <cell r="A701" t="str">
            <v>1650051</v>
          </cell>
          <cell r="B701" t="str">
            <v xml:space="preserve">Prepaid Short-term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A702" t="str">
            <v>1650401</v>
          </cell>
          <cell r="B702" t="str">
            <v>Prepaid LTSA - Polk Unit #1</v>
          </cell>
          <cell r="C702">
            <v>1372124.169588</v>
          </cell>
          <cell r="D702">
            <v>1373327.8048121</v>
          </cell>
          <cell r="E702">
            <v>1372124.169588</v>
          </cell>
          <cell r="F702">
            <v>1372525.3813293001</v>
          </cell>
          <cell r="G702">
            <v>1372124.169588</v>
          </cell>
          <cell r="H702">
            <v>1372525.3813293001</v>
          </cell>
          <cell r="I702">
            <v>1372124.169588</v>
          </cell>
          <cell r="J702">
            <v>1372124.169588</v>
          </cell>
          <cell r="K702">
            <v>1372525.3813293001</v>
          </cell>
          <cell r="L702">
            <v>1372124.169588</v>
          </cell>
          <cell r="M702">
            <v>1372525.3813293001</v>
          </cell>
          <cell r="N702">
            <v>1372124.169588</v>
          </cell>
          <cell r="O702">
            <v>16468298.517245298</v>
          </cell>
        </row>
        <row r="703">
          <cell r="A703" t="str">
            <v>1650402</v>
          </cell>
          <cell r="B703" t="str">
            <v>Prepaid CSA - Polk Unit #2</v>
          </cell>
          <cell r="C703">
            <v>-704807.35959999997</v>
          </cell>
          <cell r="D703">
            <v>-715119.50199999998</v>
          </cell>
          <cell r="E703">
            <v>8551.7831999999999</v>
          </cell>
          <cell r="F703">
            <v>-704439.06880000001</v>
          </cell>
          <cell r="G703">
            <v>-866620.78359999997</v>
          </cell>
          <cell r="H703">
            <v>-142581.20759999999</v>
          </cell>
          <cell r="I703">
            <v>-704807.35959999997</v>
          </cell>
          <cell r="J703">
            <v>-866989.07440000004</v>
          </cell>
          <cell r="K703">
            <v>-142949.49840000001</v>
          </cell>
          <cell r="L703">
            <v>-550273.81707999995</v>
          </cell>
          <cell r="M703">
            <v>-710871.88144000003</v>
          </cell>
          <cell r="N703">
            <v>12799.403759999999</v>
          </cell>
          <cell r="O703">
            <v>-6088108.3655599989</v>
          </cell>
        </row>
        <row r="704">
          <cell r="A704" t="str">
            <v>1650403</v>
          </cell>
          <cell r="B704" t="str">
            <v>Prepaid CSA - Polk Unit #3</v>
          </cell>
          <cell r="C704">
            <v>-602956.40960000001</v>
          </cell>
          <cell r="D704">
            <v>-613268.55200000003</v>
          </cell>
          <cell r="E704">
            <v>25243.733199999999</v>
          </cell>
          <cell r="F704">
            <v>-602588.11880000005</v>
          </cell>
          <cell r="G704">
            <v>-764769.83360000001</v>
          </cell>
          <cell r="H704">
            <v>-125889.2576</v>
          </cell>
          <cell r="I704">
            <v>-602956.40960000001</v>
          </cell>
          <cell r="J704">
            <v>-765138.12439999997</v>
          </cell>
          <cell r="K704">
            <v>-126257.5484</v>
          </cell>
          <cell r="L704">
            <v>-452191.7096</v>
          </cell>
          <cell r="M704">
            <v>-609147.78715999995</v>
          </cell>
          <cell r="N704">
            <v>29364.498039999999</v>
          </cell>
          <cell r="O704">
            <v>-5210555.5195200006</v>
          </cell>
        </row>
        <row r="705">
          <cell r="A705" t="str">
            <v>1650404</v>
          </cell>
          <cell r="B705" t="str">
            <v>Prepaid CSA - Polk Unit #4</v>
          </cell>
          <cell r="C705">
            <v>91791.672000000006</v>
          </cell>
          <cell r="D705">
            <v>86062.703999999998</v>
          </cell>
          <cell r="E705">
            <v>1331.2180000000001</v>
          </cell>
          <cell r="F705">
            <v>91996.278000000006</v>
          </cell>
          <cell r="G705">
            <v>-65111.207999999999</v>
          </cell>
          <cell r="H705">
            <v>-149638.08799999999</v>
          </cell>
          <cell r="I705">
            <v>91791.672000000006</v>
          </cell>
          <cell r="J705">
            <v>-65315.813999999998</v>
          </cell>
          <cell r="K705">
            <v>-149842.69399999999</v>
          </cell>
          <cell r="L705">
            <v>242556.372</v>
          </cell>
          <cell r="M705">
            <v>86676.521999999997</v>
          </cell>
          <cell r="N705">
            <v>1945.0360000000001</v>
          </cell>
          <cell r="O705">
            <v>264243.67000000004</v>
          </cell>
        </row>
        <row r="706">
          <cell r="A706" t="str">
            <v>1650405</v>
          </cell>
          <cell r="B706" t="str">
            <v>Prepaid CSA - Polk Unit #5</v>
          </cell>
          <cell r="C706">
            <v>81612.104000000007</v>
          </cell>
          <cell r="D706">
            <v>75883.135999999999</v>
          </cell>
          <cell r="E706">
            <v>73308.649999999994</v>
          </cell>
          <cell r="F706">
            <v>81816.710000000006</v>
          </cell>
          <cell r="G706">
            <v>-75290.775999999998</v>
          </cell>
          <cell r="H706">
            <v>-77660.656000000003</v>
          </cell>
          <cell r="I706">
            <v>81612.104000000007</v>
          </cell>
          <cell r="J706">
            <v>-75495.381999999998</v>
          </cell>
          <cell r="K706">
            <v>-77865.262000000002</v>
          </cell>
          <cell r="L706">
            <v>232376.804</v>
          </cell>
          <cell r="M706">
            <v>75473.923999999999</v>
          </cell>
          <cell r="N706">
            <v>74127.073999999993</v>
          </cell>
          <cell r="O706">
            <v>469898.42999999993</v>
          </cell>
        </row>
        <row r="707">
          <cell r="A707" t="str">
            <v>1650411</v>
          </cell>
          <cell r="B707" t="str">
            <v>Prepaid CSA - Bayside #1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1650412</v>
          </cell>
          <cell r="B708" t="str">
            <v>Prepaid CSA - Bayside #2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1650500</v>
          </cell>
          <cell r="B709" t="str">
            <v>DO NOT USE - Prepaid Insurance - Automobile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1650501</v>
          </cell>
          <cell r="B710" t="str">
            <v>DO NOT USE - Prepaid Insurance - Blanket Accident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1650502</v>
          </cell>
          <cell r="B711" t="str">
            <v>DO NOT USE - Prepaid Insurance - Brokerage Fees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1650503</v>
          </cell>
          <cell r="B712" t="str">
            <v>DO NOT USE - Prepaid Insurance - Crime &amp; Fidelity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1650504</v>
          </cell>
          <cell r="B713" t="str">
            <v>DO NOT USE - Prepaid Insurance - Directors &amp; Officers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1650505</v>
          </cell>
          <cell r="B714" t="str">
            <v>DO NOT USE - Prepaid Insurance - Errors and Omissions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1650506</v>
          </cell>
          <cell r="B715" t="str">
            <v>DO NOT USE - Prepaid Insurance - Excess Automobile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1650507</v>
          </cell>
          <cell r="B716" t="str">
            <v>DO NOT USE - Prepaid Insurance - Excess General Liability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1650508</v>
          </cell>
          <cell r="B717" t="str">
            <v>DO NOT USE - Prepaid Insurance - Fiduciary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1650509</v>
          </cell>
          <cell r="B718" t="str">
            <v>DO NOT USE - Prepaid Insurance - I&amp;D Reserves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1650510</v>
          </cell>
          <cell r="B719" t="str">
            <v>DO NOT USE - Prepaid Insurance - Longshoremen's Compensation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1650511</v>
          </cell>
          <cell r="B720" t="str">
            <v>DO NOT USE - Prepaid Insurance - Mobile Equipment Rental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1650512</v>
          </cell>
          <cell r="B721" t="str">
            <v>DO NOT USE - Prepaid Insurance - Political Risk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1650513</v>
          </cell>
          <cell r="B722" t="str">
            <v>DO NOT USE - Prepaid Insurance - Practices Liability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1650514</v>
          </cell>
          <cell r="B723" t="str">
            <v>DO NOT USE - Prepaid Insurance - Property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1650515</v>
          </cell>
          <cell r="B724" t="str">
            <v>DO NOT USE - Prepaid Insurance - Punitive Damages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1650516</v>
          </cell>
          <cell r="B725" t="str">
            <v>DO NOT USE - Prepaid Insurance - Special Risk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1650517</v>
          </cell>
          <cell r="B726" t="str">
            <v>DO NOT USE - Prepaid Insurance - Surety Bonds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1650518</v>
          </cell>
          <cell r="B727" t="str">
            <v>DO NOT USE - Prepaid Insurance - Travel Accident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1650519</v>
          </cell>
          <cell r="B728" t="str">
            <v>DO NOT USE - Prepaid Insurance - Workers Compensation - Exce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1650520</v>
          </cell>
          <cell r="B729" t="str">
            <v>DO NOT USE - Prepaid Insurance - Workers Compensation - Stat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1650599</v>
          </cell>
          <cell r="B730" t="str">
            <v>Prepaid Insurance - Other</v>
          </cell>
          <cell r="C730">
            <v>7860927.9400000004</v>
          </cell>
          <cell r="D730">
            <v>5854336.8499999996</v>
          </cell>
          <cell r="E730">
            <v>17628497.629999999</v>
          </cell>
          <cell r="F730">
            <v>15263216.369999999</v>
          </cell>
          <cell r="G730">
            <v>12918789.029999999</v>
          </cell>
          <cell r="H730">
            <v>23363294.760000002</v>
          </cell>
          <cell r="I730">
            <v>20773330.59</v>
          </cell>
          <cell r="J730">
            <v>18429307.859999999</v>
          </cell>
          <cell r="K730">
            <v>16954922.050000001</v>
          </cell>
          <cell r="L730">
            <v>14358410.970000001</v>
          </cell>
          <cell r="M730">
            <v>11761899.890000001</v>
          </cell>
          <cell r="N730">
            <v>9150084.2100000009</v>
          </cell>
          <cell r="O730">
            <v>174317018.15000001</v>
          </cell>
        </row>
        <row r="731">
          <cell r="A731" t="str">
            <v>1650800</v>
          </cell>
          <cell r="B731" t="str">
            <v>Prepaid Miscellaneous</v>
          </cell>
          <cell r="C731">
            <v>3036617.2</v>
          </cell>
          <cell r="D731">
            <v>3116382.0433332999</v>
          </cell>
          <cell r="E731">
            <v>2702468.3066667002</v>
          </cell>
          <cell r="F731">
            <v>2905248.57</v>
          </cell>
          <cell r="G731">
            <v>2938334.8333333</v>
          </cell>
          <cell r="H731">
            <v>2601421.0966667002</v>
          </cell>
          <cell r="I731">
            <v>2240507.36</v>
          </cell>
          <cell r="J731">
            <v>2426886.1611358998</v>
          </cell>
          <cell r="K731">
            <v>2012086.5973962001</v>
          </cell>
          <cell r="L731">
            <v>1601287.0336565999</v>
          </cell>
          <cell r="M731">
            <v>1191487.469917</v>
          </cell>
          <cell r="N731">
            <v>2298687.9061774001</v>
          </cell>
          <cell r="O731">
            <v>29071414.578283101</v>
          </cell>
        </row>
        <row r="732">
          <cell r="A732" t="str">
            <v>1650801</v>
          </cell>
          <cell r="B732" t="str">
            <v>Prepaid Miscellaneous - Other Shared Services</v>
          </cell>
          <cell r="C732">
            <v>2990000</v>
          </cell>
          <cell r="D732">
            <v>2661000</v>
          </cell>
          <cell r="E732">
            <v>2759000</v>
          </cell>
          <cell r="F732">
            <v>2405000</v>
          </cell>
          <cell r="G732">
            <v>2060000</v>
          </cell>
          <cell r="H732">
            <v>1870000</v>
          </cell>
          <cell r="I732">
            <v>1952000</v>
          </cell>
          <cell r="J732">
            <v>1861000</v>
          </cell>
          <cell r="K732">
            <v>1513000</v>
          </cell>
          <cell r="L732">
            <v>1573000</v>
          </cell>
          <cell r="M732">
            <v>1228000</v>
          </cell>
          <cell r="N732">
            <v>1080000</v>
          </cell>
          <cell r="O732">
            <v>23952000</v>
          </cell>
        </row>
        <row r="733">
          <cell r="A733" t="str">
            <v>1650880</v>
          </cell>
          <cell r="B733" t="str">
            <v>Prepaid Miscellaneous - Transmission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1650881</v>
          </cell>
          <cell r="B734" t="str">
            <v>Prepaid Miscellaneous - Distribution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1650882</v>
          </cell>
          <cell r="B735" t="str">
            <v>Prepaid Miscellaneous - Production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1710000</v>
          </cell>
          <cell r="B736" t="str">
            <v>Interest and Dividends Receivable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1720000</v>
          </cell>
          <cell r="B737" t="str">
            <v>Rents Receivable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</row>
        <row r="738">
          <cell r="A738" t="str">
            <v>1720101</v>
          </cell>
          <cell r="B738" t="str">
            <v>Minimum Lease Payments Receivable Current-GAAP adj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 t="str">
            <v>1720201</v>
          </cell>
          <cell r="B739" t="str">
            <v>Minimum Lease Payments Receivable NonCurr-GAAP adj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 t="str">
            <v>1720202</v>
          </cell>
          <cell r="B740" t="str">
            <v>Lease contra-Unearned Interest Rev-GAAP adj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A741" t="str">
            <v>1730100</v>
          </cell>
          <cell r="B741" t="str">
            <v>Accrued Utility Revenues - Current</v>
          </cell>
          <cell r="C741">
            <v>56069974.350000001</v>
          </cell>
          <cell r="D741">
            <v>51820546.189999998</v>
          </cell>
          <cell r="E741">
            <v>54257482.270000003</v>
          </cell>
          <cell r="F741">
            <v>58345406.630000003</v>
          </cell>
          <cell r="G741">
            <v>67197065.530000001</v>
          </cell>
          <cell r="H741">
            <v>69427070.640000001</v>
          </cell>
          <cell r="I741">
            <v>71277871.489999995</v>
          </cell>
          <cell r="J741">
            <v>75243861.689999998</v>
          </cell>
          <cell r="K741">
            <v>68485879.939999998</v>
          </cell>
          <cell r="L741">
            <v>63174134.020000003</v>
          </cell>
          <cell r="M741">
            <v>56469352.100000001</v>
          </cell>
          <cell r="N741">
            <v>58258010.219999999</v>
          </cell>
          <cell r="O741">
            <v>750026655.07000005</v>
          </cell>
        </row>
        <row r="742">
          <cell r="A742" t="str">
            <v>1730200</v>
          </cell>
          <cell r="B742" t="str">
            <v>Accrued Utility Revenues - Noncurrent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A743" t="str">
            <v>1740100</v>
          </cell>
          <cell r="B743" t="str">
            <v>Misc Accrued Assets Held For Sale - Current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A744" t="str">
            <v>1740200</v>
          </cell>
          <cell r="B744" t="str">
            <v>Misc Accrued Assets Held For Sale - Noncurrent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A745" t="str">
            <v>1740300</v>
          </cell>
          <cell r="B745" t="str">
            <v>Non-Regulated Intangibles &amp; Goodwill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1740400</v>
          </cell>
          <cell r="B746" t="str">
            <v>Gas Imbalance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A747" t="str">
            <v>1760100</v>
          </cell>
          <cell r="B747" t="str">
            <v>Current Derivative Asset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A748" t="str">
            <v>1760110</v>
          </cell>
          <cell r="B748" t="str">
            <v>Current Derivative Premium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A749" t="str">
            <v>1760120</v>
          </cell>
          <cell r="B749" t="str">
            <v>Current Derivative Asset - Collateral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A750" t="str">
            <v>1760200</v>
          </cell>
          <cell r="B750" t="str">
            <v>Long-Term Derivative Asset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1">
          <cell r="A751" t="str">
            <v>1760210</v>
          </cell>
          <cell r="B751" t="str">
            <v>Long-Term Derivative Premium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A752" t="str">
            <v>1760700</v>
          </cell>
          <cell r="B752" t="str">
            <v>Current Deriv Asset-Intercompany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A753" t="str">
            <v>1760710</v>
          </cell>
          <cell r="B753" t="str">
            <v>Current Deriv Premium Asset-Intercompany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A754" t="str">
            <v>1760720</v>
          </cell>
          <cell r="B754" t="str">
            <v>Non-Current Deriv Asset-Intercompany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A755" t="str">
            <v>1760730</v>
          </cell>
          <cell r="B755" t="str">
            <v>Non-Current Deriv Premium Asset-Interco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A756" t="str">
            <v>1810100</v>
          </cell>
          <cell r="B756" t="str">
            <v>Unamortized Debt Expense - Short-term Loan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A757" t="str">
            <v>1810200</v>
          </cell>
          <cell r="B757" t="str">
            <v>Unamortized Debt Expense - Recourse</v>
          </cell>
          <cell r="C757">
            <v>18803488.25</v>
          </cell>
          <cell r="D757">
            <v>24209064.162222199</v>
          </cell>
          <cell r="E757">
            <v>24114640.074444398</v>
          </cell>
          <cell r="F757">
            <v>24020215.986666702</v>
          </cell>
          <cell r="G757">
            <v>23925791.898888901</v>
          </cell>
          <cell r="H757">
            <v>23831367.8111111</v>
          </cell>
          <cell r="I757">
            <v>23736943.723333299</v>
          </cell>
          <cell r="J757">
            <v>23642519.635555498</v>
          </cell>
          <cell r="K757">
            <v>23548095.547777802</v>
          </cell>
          <cell r="L757">
            <v>23453671.460000001</v>
          </cell>
          <cell r="M757">
            <v>25852302.927777801</v>
          </cell>
          <cell r="N757">
            <v>25750934.3955555</v>
          </cell>
          <cell r="O757">
            <v>284889035.87333322</v>
          </cell>
        </row>
        <row r="758">
          <cell r="A758" t="str">
            <v>1810250</v>
          </cell>
          <cell r="B758" t="str">
            <v>Unamortized Debt Expense - Non-Recourse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 t="str">
            <v>1821000</v>
          </cell>
          <cell r="B759" t="str">
            <v>Extraordinary Property Losses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60">
          <cell r="A760" t="str">
            <v>1822000</v>
          </cell>
          <cell r="B760" t="str">
            <v>Unrecovered Plant Regulatory Study Costs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A761" t="str">
            <v>1823020</v>
          </cell>
          <cell r="B761" t="str">
            <v>Oth Reg Asset-Fuel Clause</v>
          </cell>
          <cell r="C761">
            <v>21364582.424083199</v>
          </cell>
          <cell r="D761">
            <v>21006911.261369798</v>
          </cell>
          <cell r="E761">
            <v>23254122.593348499</v>
          </cell>
          <cell r="F761">
            <v>21451072.549120899</v>
          </cell>
          <cell r="G761">
            <v>22368332.226257201</v>
          </cell>
          <cell r="H761">
            <v>19169750.528219499</v>
          </cell>
          <cell r="I761">
            <v>15056161.5624229</v>
          </cell>
          <cell r="J761">
            <v>12270383.3589222</v>
          </cell>
          <cell r="K761">
            <v>3588990.0651773</v>
          </cell>
          <cell r="L761">
            <v>1290734.2957331</v>
          </cell>
          <cell r="M761">
            <v>0</v>
          </cell>
          <cell r="N761">
            <v>0</v>
          </cell>
          <cell r="O761">
            <v>160821040.8646546</v>
          </cell>
        </row>
        <row r="762">
          <cell r="A762" t="str">
            <v>1823030</v>
          </cell>
          <cell r="B762" t="str">
            <v>Oth Reg Asset-Capacity Clause</v>
          </cell>
          <cell r="C762">
            <v>2959224.5642601</v>
          </cell>
          <cell r="D762">
            <v>4337063.7872195998</v>
          </cell>
          <cell r="E762">
            <v>4242110.6362883002</v>
          </cell>
          <cell r="F762">
            <v>4146021.8114422001</v>
          </cell>
          <cell r="G762">
            <v>4046958.4459453002</v>
          </cell>
          <cell r="H762">
            <v>3943109.6022327999</v>
          </cell>
          <cell r="I762">
            <v>3837863.6007138998</v>
          </cell>
          <cell r="J762">
            <v>3732748.2006819001</v>
          </cell>
          <cell r="K762">
            <v>3626114.1695842999</v>
          </cell>
          <cell r="L762">
            <v>3522620.4137284998</v>
          </cell>
          <cell r="M762">
            <v>3424444.1555144</v>
          </cell>
          <cell r="N762">
            <v>3327671.9933111998</v>
          </cell>
          <cell r="O762">
            <v>45145951.380922489</v>
          </cell>
        </row>
        <row r="763">
          <cell r="A763" t="str">
            <v>1823040</v>
          </cell>
          <cell r="B763" t="str">
            <v>Oth Reg Asset-Conservation Clause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A764" t="str">
            <v>1823050</v>
          </cell>
          <cell r="B764" t="str">
            <v>Oth Reg Asset-Environmental Clause</v>
          </cell>
          <cell r="C764">
            <v>0</v>
          </cell>
          <cell r="D764">
            <v>12080</v>
          </cell>
          <cell r="E764">
            <v>452108</v>
          </cell>
          <cell r="F764">
            <v>645544</v>
          </cell>
          <cell r="G764">
            <v>450351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1560083</v>
          </cell>
        </row>
        <row r="765">
          <cell r="A765" t="str">
            <v>1823070</v>
          </cell>
          <cell r="B765" t="str">
            <v>Oth Reg Asset-Competitive Rate Adjustment Clause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 t="str">
            <v>1823071</v>
          </cell>
          <cell r="B766" t="str">
            <v>Oth Reg Asset-Cast Iron Bare Steel Replacem Rider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1823080</v>
          </cell>
          <cell r="B767" t="str">
            <v>Oth Reg Asset - Surcharge Rider (RR14)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A768" t="str">
            <v>1823081</v>
          </cell>
          <cell r="B768" t="str">
            <v>Oth Reg Asset - Pipeline Safety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A769" t="str">
            <v>1823082</v>
          </cell>
          <cell r="B769" t="str">
            <v>Oth Reg Asset-Weather Norm UnderRcv Resid-Cur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1823083</v>
          </cell>
          <cell r="B770" t="str">
            <v>Oth Reg Asset-Weather Norm UnderRcv Comm-Cur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 t="str">
            <v>1823090</v>
          </cell>
          <cell r="B771" t="str">
            <v>Oth Reg Asset-Storm Protection Clause</v>
          </cell>
          <cell r="C771">
            <v>4268586</v>
          </cell>
          <cell r="D771">
            <v>3869856</v>
          </cell>
          <cell r="E771">
            <v>3643586</v>
          </cell>
          <cell r="F771">
            <v>3624282</v>
          </cell>
          <cell r="G771">
            <v>3295635</v>
          </cell>
          <cell r="H771">
            <v>2398908</v>
          </cell>
          <cell r="I771">
            <v>1394546</v>
          </cell>
          <cell r="J771">
            <v>398852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22894251</v>
          </cell>
        </row>
        <row r="772">
          <cell r="A772" t="str">
            <v>1823100</v>
          </cell>
          <cell r="B772" t="str">
            <v>Oth Reg Asset-FAS 158 Benefit Current</v>
          </cell>
          <cell r="C772">
            <v>8265030</v>
          </cell>
          <cell r="D772">
            <v>8265030</v>
          </cell>
          <cell r="E772">
            <v>8265030</v>
          </cell>
          <cell r="F772">
            <v>8265030</v>
          </cell>
          <cell r="G772">
            <v>8265030</v>
          </cell>
          <cell r="H772">
            <v>8265030</v>
          </cell>
          <cell r="I772">
            <v>8265030</v>
          </cell>
          <cell r="J772">
            <v>8265030</v>
          </cell>
          <cell r="K772">
            <v>8265030</v>
          </cell>
          <cell r="L772">
            <v>8265030</v>
          </cell>
          <cell r="M772">
            <v>8265030</v>
          </cell>
          <cell r="N772">
            <v>8265030</v>
          </cell>
          <cell r="O772">
            <v>99180360</v>
          </cell>
        </row>
        <row r="773">
          <cell r="A773" t="str">
            <v>1823101</v>
          </cell>
          <cell r="B773" t="str">
            <v>Oth Reg Asset-PBOP FAS 106 Current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A774" t="str">
            <v>1823102</v>
          </cell>
          <cell r="B774" t="str">
            <v>Oth Reg Asset-Rate Case Expense Current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1823103</v>
          </cell>
          <cell r="B775" t="str">
            <v>Oth Reg Asset-Deferred Dredging Costs Current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A776" t="str">
            <v>1823104</v>
          </cell>
          <cell r="B776" t="str">
            <v>Oth Reg Asset-ARO Asset Current</v>
          </cell>
          <cell r="C776">
            <v>6999084.8399999999</v>
          </cell>
          <cell r="D776">
            <v>6999084.8399999999</v>
          </cell>
          <cell r="E776">
            <v>6999084.8399999999</v>
          </cell>
          <cell r="F776">
            <v>6999084.8399999999</v>
          </cell>
          <cell r="G776">
            <v>6999084.8399999999</v>
          </cell>
          <cell r="H776">
            <v>6999084.8399999999</v>
          </cell>
          <cell r="I776">
            <v>6999084.8399999999</v>
          </cell>
          <cell r="J776">
            <v>6999084.8399999999</v>
          </cell>
          <cell r="K776">
            <v>6999084.8399999999</v>
          </cell>
          <cell r="L776">
            <v>6999084.8399999999</v>
          </cell>
          <cell r="M776">
            <v>6999084.8399999999</v>
          </cell>
          <cell r="N776">
            <v>6999084.8399999999</v>
          </cell>
          <cell r="O776">
            <v>83989018.080000028</v>
          </cell>
        </row>
        <row r="777">
          <cell r="A777" t="str">
            <v>1823105</v>
          </cell>
          <cell r="B777" t="str">
            <v>Current Derivative Asset - Regulatory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8">
          <cell r="A778" t="str">
            <v>1823106</v>
          </cell>
          <cell r="B778" t="str">
            <v>Oth Reg Asset - Optimization Gain Current</v>
          </cell>
          <cell r="C778">
            <v>1082418</v>
          </cell>
          <cell r="D778">
            <v>984016</v>
          </cell>
          <cell r="E778">
            <v>885614</v>
          </cell>
          <cell r="F778">
            <v>787212</v>
          </cell>
          <cell r="G778">
            <v>688810</v>
          </cell>
          <cell r="H778">
            <v>590408</v>
          </cell>
          <cell r="I778">
            <v>492006</v>
          </cell>
          <cell r="J778">
            <v>393604</v>
          </cell>
          <cell r="K778">
            <v>295202</v>
          </cell>
          <cell r="L778">
            <v>196800</v>
          </cell>
          <cell r="M778">
            <v>98398</v>
          </cell>
          <cell r="N778">
            <v>0</v>
          </cell>
          <cell r="O778">
            <v>6494488</v>
          </cell>
        </row>
        <row r="779">
          <cell r="A779" t="str">
            <v>1823107</v>
          </cell>
          <cell r="B779" t="str">
            <v>Oth Reg Asset - Storm Settlement Current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</row>
        <row r="780">
          <cell r="A780" t="str">
            <v>1823108</v>
          </cell>
          <cell r="B780" t="str">
            <v>Oth Reg Asset-Deft Loss Prof Sales-Current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A781" t="str">
            <v>1823109</v>
          </cell>
          <cell r="B781" t="str">
            <v>Oth Reg Asset-Debt Basis Adjustment Current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 t="str">
            <v>1823110</v>
          </cell>
          <cell r="B782"/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A783" t="str">
            <v>1823200</v>
          </cell>
          <cell r="B783" t="str">
            <v>Oth Reg Asset-FAS 158 Benefit Non-Current</v>
          </cell>
          <cell r="C783">
            <v>266503744</v>
          </cell>
          <cell r="D783">
            <v>266503744</v>
          </cell>
          <cell r="E783">
            <v>266503744</v>
          </cell>
          <cell r="F783">
            <v>266503744</v>
          </cell>
          <cell r="G783">
            <v>266503744</v>
          </cell>
          <cell r="H783">
            <v>266503744</v>
          </cell>
          <cell r="I783">
            <v>266503744</v>
          </cell>
          <cell r="J783">
            <v>266503744</v>
          </cell>
          <cell r="K783">
            <v>266503744</v>
          </cell>
          <cell r="L783">
            <v>266503744</v>
          </cell>
          <cell r="M783">
            <v>266503744</v>
          </cell>
          <cell r="N783">
            <v>266503744</v>
          </cell>
          <cell r="O783">
            <v>3198044928</v>
          </cell>
        </row>
        <row r="784">
          <cell r="A784" t="str">
            <v>1823201</v>
          </cell>
          <cell r="B784" t="str">
            <v>Oth Reg Asset-PBOP FAS 106 Non-Current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 t="str">
            <v>1823202</v>
          </cell>
          <cell r="B785" t="str">
            <v>Oth Reg Asset-Rate Case Expense Non-Current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A786" t="str">
            <v>1823203</v>
          </cell>
          <cell r="B786" t="str">
            <v>Oth Reg Asset-Deferred Dredging Costs Non-Current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1823204</v>
          </cell>
          <cell r="B787" t="str">
            <v>Oth Reg Asset-ARO Asset Non-Current</v>
          </cell>
          <cell r="C787">
            <v>6891057.1871499997</v>
          </cell>
          <cell r="D787">
            <v>7482747.2474857001</v>
          </cell>
          <cell r="E787">
            <v>8075106.8219232</v>
          </cell>
          <cell r="F787">
            <v>8668139.2580328006</v>
          </cell>
          <cell r="G787">
            <v>9261847.9201229997</v>
          </cell>
          <cell r="H787">
            <v>9856236.1893236004</v>
          </cell>
          <cell r="I787">
            <v>10451307.4636702</v>
          </cell>
          <cell r="J787">
            <v>11047065.1581885</v>
          </cell>
          <cell r="K787">
            <v>11643512.7049795</v>
          </cell>
          <cell r="L787">
            <v>12240653.5533044</v>
          </cell>
          <cell r="M787">
            <v>12838491.1696709</v>
          </cell>
          <cell r="N787">
            <v>13437029.037919199</v>
          </cell>
          <cell r="O787">
            <v>121893193.711771</v>
          </cell>
        </row>
        <row r="788">
          <cell r="A788" t="str">
            <v>1823205</v>
          </cell>
          <cell r="B788" t="str">
            <v>Long-Term Derivative Asset - Regulatory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</row>
        <row r="789">
          <cell r="A789" t="str">
            <v>1823206</v>
          </cell>
          <cell r="B789" t="str">
            <v>Oth Reg Asset - Optimization Gain Non Current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 t="str">
            <v>1823207</v>
          </cell>
          <cell r="B790" t="str">
            <v>Oth Reg Asset - Storm NC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A791" t="str">
            <v>1823208</v>
          </cell>
          <cell r="B791" t="str">
            <v>Oth Reg Asset-Deft Loss Prop Sales Non-Current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>
            <v>1823210</v>
          </cell>
          <cell r="B792"/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 t="str">
            <v>1823245</v>
          </cell>
          <cell r="B793" t="str">
            <v>Oth Reg Assest-Evniromental Remediation cost NC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1823310</v>
          </cell>
          <cell r="B794" t="str">
            <v>Oth Reg Asset-Deferred Aerial Survey Adjustments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1823320</v>
          </cell>
          <cell r="B795" t="str">
            <v>Oth Reg Asset-Residential Load Management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1823321</v>
          </cell>
          <cell r="B796" t="str">
            <v>Oth Reg Asset-Commercial Load Management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1823322</v>
          </cell>
          <cell r="B797" t="str">
            <v>Oth Reg Asset-Price Responsive Load Management</v>
          </cell>
          <cell r="C797">
            <v>1565537</v>
          </cell>
          <cell r="D797">
            <v>1639385</v>
          </cell>
          <cell r="E797">
            <v>1713054</v>
          </cell>
          <cell r="F797">
            <v>1786149</v>
          </cell>
          <cell r="G797">
            <v>1857998</v>
          </cell>
          <cell r="H797">
            <v>1928819</v>
          </cell>
          <cell r="I797">
            <v>1998440</v>
          </cell>
          <cell r="J797">
            <v>2066903</v>
          </cell>
          <cell r="K797">
            <v>2134314</v>
          </cell>
          <cell r="L797">
            <v>2200305</v>
          </cell>
          <cell r="M797">
            <v>2265047</v>
          </cell>
          <cell r="N797">
            <v>2328132</v>
          </cell>
          <cell r="O797">
            <v>23484083</v>
          </cell>
        </row>
        <row r="798">
          <cell r="A798" t="str">
            <v>1823323</v>
          </cell>
          <cell r="B798" t="str">
            <v>Oth Reg Asset-Industrial Load Management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A799" t="str">
            <v>1823324</v>
          </cell>
          <cell r="B799" t="str">
            <v>Oth Reg Asset-Energy Education Awareness/Outreach</v>
          </cell>
          <cell r="C799">
            <v>22917</v>
          </cell>
          <cell r="D799">
            <v>22188</v>
          </cell>
          <cell r="E799">
            <v>21459</v>
          </cell>
          <cell r="F799">
            <v>20730</v>
          </cell>
          <cell r="G799">
            <v>20001</v>
          </cell>
          <cell r="H799">
            <v>19272</v>
          </cell>
          <cell r="I799">
            <v>18543</v>
          </cell>
          <cell r="J799">
            <v>17814</v>
          </cell>
          <cell r="K799">
            <v>17085</v>
          </cell>
          <cell r="L799">
            <v>16356</v>
          </cell>
          <cell r="M799">
            <v>15627</v>
          </cell>
          <cell r="N799">
            <v>14898</v>
          </cell>
          <cell r="O799">
            <v>226890</v>
          </cell>
        </row>
        <row r="800">
          <cell r="A800" t="str">
            <v>1823325</v>
          </cell>
          <cell r="B800" t="str">
            <v>Oth Reg Asset - Emergency Conditions COVID-19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1">
          <cell r="A801" t="str">
            <v>1823326</v>
          </cell>
          <cell r="B801" t="str">
            <v>Oth Reg Asset - Integrated Renewable Energy System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>
            <v>1823331</v>
          </cell>
          <cell r="B802"/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 t="str">
            <v>1823340</v>
          </cell>
          <cell r="B803" t="str">
            <v>Oth Reg Asset-Environmental Remediation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 t="str">
            <v>1823345</v>
          </cell>
          <cell r="B804" t="str">
            <v>Oth Reg Asset-Environmental Remediation Costs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 t="str">
            <v>1823360</v>
          </cell>
          <cell r="B805" t="str">
            <v>Oth Reg Asset - Debt Basis Adjustment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 t="str">
            <v>1823610</v>
          </cell>
          <cell r="B806" t="str">
            <v>Oth Reg Asset-FAS 109 Income Tax</v>
          </cell>
          <cell r="C806">
            <v>91517727.939999998</v>
          </cell>
          <cell r="D806">
            <v>92114433.349999994</v>
          </cell>
          <cell r="E806">
            <v>92802447.730000004</v>
          </cell>
          <cell r="F806">
            <v>93491913.230000004</v>
          </cell>
          <cell r="G806">
            <v>94382784.290000007</v>
          </cell>
          <cell r="H806">
            <v>95275001.879999995</v>
          </cell>
          <cell r="I806">
            <v>96293902.650000006</v>
          </cell>
          <cell r="J806">
            <v>97228655.569999993</v>
          </cell>
          <cell r="K806">
            <v>98294725.010000005</v>
          </cell>
          <cell r="L806">
            <v>99310346.599999994</v>
          </cell>
          <cell r="M806">
            <v>111312246.09999999</v>
          </cell>
          <cell r="N806">
            <v>111633767.5</v>
          </cell>
          <cell r="O806">
            <v>1173657951.8500001</v>
          </cell>
        </row>
        <row r="807">
          <cell r="A807" t="str">
            <v>1823611</v>
          </cell>
          <cell r="B807" t="str">
            <v>Oth Reg Asset-Medicare Part D</v>
          </cell>
          <cell r="C807">
            <v>1961592.21</v>
          </cell>
          <cell r="D807">
            <v>1939434.71</v>
          </cell>
          <cell r="E807">
            <v>1917277.22</v>
          </cell>
          <cell r="F807">
            <v>1895119.71</v>
          </cell>
          <cell r="G807">
            <v>1872962.2</v>
          </cell>
          <cell r="H807">
            <v>1850804.7</v>
          </cell>
          <cell r="I807">
            <v>1828647.18</v>
          </cell>
          <cell r="J807">
            <v>1806489.69</v>
          </cell>
          <cell r="K807">
            <v>1784332.18</v>
          </cell>
          <cell r="L807">
            <v>1762174.68</v>
          </cell>
          <cell r="M807">
            <v>1740017.18</v>
          </cell>
          <cell r="N807">
            <v>1717859.68</v>
          </cell>
          <cell r="O807">
            <v>22076711.339999996</v>
          </cell>
        </row>
        <row r="808">
          <cell r="A808" t="str">
            <v>1823612</v>
          </cell>
          <cell r="B808" t="str">
            <v>Oth Reg Asset-Deferred Tax Reform Impact Current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1823613</v>
          </cell>
          <cell r="B809" t="str">
            <v>Oth Reg Asset-FAS 109 Income Tax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1830000</v>
          </cell>
          <cell r="B810" t="str">
            <v>Preliminary Survey and Investigation Charges</v>
          </cell>
          <cell r="C810">
            <v>4790591.46</v>
          </cell>
          <cell r="D810">
            <v>4845591.46</v>
          </cell>
          <cell r="E810">
            <v>3434591.46</v>
          </cell>
          <cell r="F810">
            <v>3434591.46</v>
          </cell>
          <cell r="G810">
            <v>3439591.46</v>
          </cell>
          <cell r="H810">
            <v>3914591.46</v>
          </cell>
          <cell r="I810">
            <v>3914591.46</v>
          </cell>
          <cell r="J810">
            <v>3924591.46</v>
          </cell>
          <cell r="K810">
            <v>3924591.46</v>
          </cell>
          <cell r="L810">
            <v>3934591.46</v>
          </cell>
          <cell r="M810">
            <v>3934591.46</v>
          </cell>
          <cell r="N810">
            <v>3959591.46</v>
          </cell>
          <cell r="O810">
            <v>47452097.520000003</v>
          </cell>
        </row>
        <row r="811">
          <cell r="A811" t="str">
            <v>1831000</v>
          </cell>
          <cell r="B811" t="str">
            <v>Prelim Natural Gas Survey &amp; Investigation Charges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 t="str">
            <v>1832000</v>
          </cell>
          <cell r="B812" t="str">
            <v>Other Preliminary Survey and Investigation Charges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 t="str">
            <v>1840000</v>
          </cell>
          <cell r="B813" t="str">
            <v>Clearing Account - General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A814" t="str">
            <v>1840001</v>
          </cell>
          <cell r="B814" t="str">
            <v>Clearing Account - General - Translation Gain/Loss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</row>
        <row r="815">
          <cell r="A815" t="str">
            <v>1840002</v>
          </cell>
          <cell r="B815" t="str">
            <v>Clearing - Cash Currency Transactions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6">
          <cell r="A816" t="str">
            <v>1840010</v>
          </cell>
          <cell r="B816" t="str">
            <v>Clearing Account - Uniform Rental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</row>
        <row r="817">
          <cell r="A817" t="str">
            <v>1840020</v>
          </cell>
          <cell r="B817" t="str">
            <v>Inactive Account   Do not use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</row>
        <row r="818">
          <cell r="A818" t="str">
            <v>1840300</v>
          </cell>
          <cell r="B818" t="str">
            <v>Inactive Account   Do not use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</row>
        <row r="819">
          <cell r="A819" t="str">
            <v>1840500</v>
          </cell>
          <cell r="B819" t="str">
            <v>CIS Interface Suspense Account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1840510</v>
          </cell>
          <cell r="B820" t="str">
            <v>PowerPlant Interface Suspense Account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</row>
        <row r="821">
          <cell r="A821" t="str">
            <v>1840590</v>
          </cell>
          <cell r="B821" t="str">
            <v>Interface Document Balancing Account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1840591</v>
          </cell>
          <cell r="B822" t="str">
            <v>HR Document Balancing Account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1860010</v>
          </cell>
          <cell r="B823" t="str">
            <v>Inactive Account   Do not use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1860020</v>
          </cell>
          <cell r="B824" t="str">
            <v>Deferred Debits - SERP Trust</v>
          </cell>
          <cell r="C824">
            <v>6958077.3099999996</v>
          </cell>
          <cell r="D824">
            <v>6913077.3099999996</v>
          </cell>
          <cell r="E824">
            <v>6868077.3099999996</v>
          </cell>
          <cell r="F824">
            <v>6823077.3099999996</v>
          </cell>
          <cell r="G824">
            <v>6778077.3099999996</v>
          </cell>
          <cell r="H824">
            <v>6733077.3099999996</v>
          </cell>
          <cell r="I824">
            <v>6688077.3099999996</v>
          </cell>
          <cell r="J824">
            <v>6643077.3099999996</v>
          </cell>
          <cell r="K824">
            <v>6598077.3099999996</v>
          </cell>
          <cell r="L824">
            <v>6553077.3099999996</v>
          </cell>
          <cell r="M824">
            <v>6508077.3099999996</v>
          </cell>
          <cell r="N824">
            <v>6463077.3099999996</v>
          </cell>
          <cell r="O824">
            <v>80526927.720000014</v>
          </cell>
        </row>
        <row r="825">
          <cell r="A825" t="str">
            <v>1860030</v>
          </cell>
          <cell r="B825" t="str">
            <v>Deferred Debits - Undistributed Aetna Medical Pmts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1860040</v>
          </cell>
          <cell r="B826" t="str">
            <v>Deferred Debits - Undistributed Flex Spending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</row>
        <row r="827">
          <cell r="A827" t="str">
            <v>1860100</v>
          </cell>
          <cell r="B827" t="str">
            <v>Developmental Assets (TECO Coal)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8">
          <cell r="A828" t="str">
            <v>1860200</v>
          </cell>
          <cell r="B828" t="str">
            <v>Right of Way  Expenses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</row>
        <row r="829">
          <cell r="A829" t="str">
            <v>1860201</v>
          </cell>
          <cell r="B829"/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1860202</v>
          </cell>
          <cell r="B830"/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</row>
        <row r="831">
          <cell r="A831" t="str">
            <v>1860800</v>
          </cell>
          <cell r="B831" t="str">
            <v>Deferred Debits - Other</v>
          </cell>
          <cell r="C831">
            <v>6838627.2949999999</v>
          </cell>
          <cell r="D831">
            <v>6226716.415</v>
          </cell>
          <cell r="E831">
            <v>6375385.0300000003</v>
          </cell>
          <cell r="F831">
            <v>6254713.1550000003</v>
          </cell>
          <cell r="G831">
            <v>6130581.6349999998</v>
          </cell>
          <cell r="H831">
            <v>6143547.5350000001</v>
          </cell>
          <cell r="I831">
            <v>6137610.9299999997</v>
          </cell>
          <cell r="J831">
            <v>2050929.67</v>
          </cell>
          <cell r="K831">
            <v>1733393.187653</v>
          </cell>
          <cell r="L831">
            <v>1979282.325468</v>
          </cell>
          <cell r="M831">
            <v>1887867.6602930001</v>
          </cell>
          <cell r="N831">
            <v>2821488.809568</v>
          </cell>
          <cell r="O831">
            <v>54580143.647982001</v>
          </cell>
        </row>
        <row r="832">
          <cell r="A832" t="str">
            <v>1860801</v>
          </cell>
          <cell r="B832" t="str">
            <v>Deferred Debits - Accumulated Amortization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</row>
        <row r="833">
          <cell r="A833" t="str">
            <v>1870000</v>
          </cell>
          <cell r="B833" t="str">
            <v>Deferred Losses from Disposition of Utility Plant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1880000</v>
          </cell>
          <cell r="B834" t="str">
            <v>Research Development &amp; Demonstration Expenditures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</row>
        <row r="835">
          <cell r="A835" t="str">
            <v>1890100</v>
          </cell>
          <cell r="B835" t="str">
            <v>Unamortized Loss on Reacquired Debt - Short-term</v>
          </cell>
          <cell r="C835">
            <v>942451.44</v>
          </cell>
          <cell r="D835">
            <v>938716.78</v>
          </cell>
          <cell r="E835">
            <v>934982.12</v>
          </cell>
          <cell r="F835">
            <v>931247.46</v>
          </cell>
          <cell r="G835">
            <v>907891.54</v>
          </cell>
          <cell r="H835">
            <v>884535.62</v>
          </cell>
          <cell r="I835">
            <v>861179.7</v>
          </cell>
          <cell r="J835">
            <v>841558.44</v>
          </cell>
          <cell r="K835">
            <v>821937.18</v>
          </cell>
          <cell r="L835">
            <v>802315.92</v>
          </cell>
          <cell r="M835">
            <v>765040.33</v>
          </cell>
          <cell r="N835">
            <v>727764.74</v>
          </cell>
          <cell r="O835">
            <v>10359621.27</v>
          </cell>
        </row>
        <row r="836">
          <cell r="A836" t="str">
            <v>1890200</v>
          </cell>
          <cell r="B836" t="str">
            <v>Unamortized Loss on Reacquired Debt</v>
          </cell>
          <cell r="C836">
            <v>4017331.35</v>
          </cell>
          <cell r="D836">
            <v>3940661.06</v>
          </cell>
          <cell r="E836">
            <v>3863990.77</v>
          </cell>
          <cell r="F836">
            <v>3787320.48</v>
          </cell>
          <cell r="G836">
            <v>3730271.45</v>
          </cell>
          <cell r="H836">
            <v>3673222.42</v>
          </cell>
          <cell r="I836">
            <v>3616173.39</v>
          </cell>
          <cell r="J836">
            <v>3559124.36</v>
          </cell>
          <cell r="K836">
            <v>3502075.33</v>
          </cell>
          <cell r="L836">
            <v>3445026.3</v>
          </cell>
          <cell r="M836">
            <v>3405631.6</v>
          </cell>
          <cell r="N836">
            <v>3366236.9</v>
          </cell>
          <cell r="O836">
            <v>43907065.409999996</v>
          </cell>
        </row>
        <row r="837">
          <cell r="A837" t="str">
            <v>1900100</v>
          </cell>
          <cell r="B837" t="str">
            <v>DIT Asset - Current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</row>
        <row r="838">
          <cell r="A838" t="str">
            <v>1900300</v>
          </cell>
          <cell r="B838" t="str">
            <v>Deferred Tax Asset - Federal</v>
          </cell>
          <cell r="C838">
            <v>100904668.95</v>
          </cell>
          <cell r="D838">
            <v>99888840.249999896</v>
          </cell>
          <cell r="E838">
            <v>98671136.150000006</v>
          </cell>
          <cell r="F838">
            <v>97568992.689999998</v>
          </cell>
          <cell r="G838">
            <v>96437917.170000002</v>
          </cell>
          <cell r="H838">
            <v>95281399.079999998</v>
          </cell>
          <cell r="I838">
            <v>94111337.340000004</v>
          </cell>
          <cell r="J838">
            <v>92940560.700000003</v>
          </cell>
          <cell r="K838">
            <v>91775617.480000004</v>
          </cell>
          <cell r="L838">
            <v>90639483.090000004</v>
          </cell>
          <cell r="M838">
            <v>89545025.890000001</v>
          </cell>
          <cell r="N838">
            <v>88464800.430000007</v>
          </cell>
          <cell r="O838">
            <v>1136229779.22</v>
          </cell>
        </row>
        <row r="839">
          <cell r="A839" t="str">
            <v>1900302</v>
          </cell>
          <cell r="B839" t="str">
            <v>Deferred Debit Tax - Federal Amt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</row>
        <row r="840">
          <cell r="A840" t="str">
            <v>1900303</v>
          </cell>
          <cell r="B840" t="str">
            <v>DTA Separate Company - Federal</v>
          </cell>
          <cell r="C840">
            <v>111939964.04000001</v>
          </cell>
          <cell r="D840">
            <v>111406883.56999999</v>
          </cell>
          <cell r="E840">
            <v>111197555.95</v>
          </cell>
          <cell r="F840">
            <v>111119097.09</v>
          </cell>
          <cell r="G840">
            <v>111192860.90000001</v>
          </cell>
          <cell r="H840">
            <v>111400427.34999999</v>
          </cell>
          <cell r="I840">
            <v>111678121.59</v>
          </cell>
          <cell r="J840">
            <v>111959091.91</v>
          </cell>
          <cell r="K840">
            <v>112208772.48999999</v>
          </cell>
          <cell r="L840">
            <v>112305890.65000001</v>
          </cell>
          <cell r="M840">
            <v>112196253.69</v>
          </cell>
          <cell r="N840">
            <v>112011032.26000001</v>
          </cell>
          <cell r="O840">
            <v>1340615951.49</v>
          </cell>
        </row>
        <row r="841">
          <cell r="A841" t="str">
            <v>1900304</v>
          </cell>
          <cell r="B841" t="str">
            <v>Inactive Account   Do not use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</row>
        <row r="842">
          <cell r="A842" t="str">
            <v>1900305</v>
          </cell>
          <cell r="B842" t="str">
            <v>Deferred Tax Asset - Federal Non Utility</v>
          </cell>
          <cell r="C842">
            <v>-13176.83</v>
          </cell>
          <cell r="D842">
            <v>-13176.83</v>
          </cell>
          <cell r="E842">
            <v>-13176.83</v>
          </cell>
          <cell r="F842">
            <v>-13176.83</v>
          </cell>
          <cell r="G842">
            <v>-13176.83</v>
          </cell>
          <cell r="H842">
            <v>-13176.83</v>
          </cell>
          <cell r="I842">
            <v>-13176.83</v>
          </cell>
          <cell r="J842">
            <v>-13176.83</v>
          </cell>
          <cell r="K842">
            <v>-13176.83</v>
          </cell>
          <cell r="L842">
            <v>-13176.83</v>
          </cell>
          <cell r="M842">
            <v>-13176.83</v>
          </cell>
          <cell r="N842">
            <v>-13176.83</v>
          </cell>
          <cell r="O842">
            <v>-158121.95999999996</v>
          </cell>
        </row>
        <row r="843">
          <cell r="A843" t="str">
            <v>1900306</v>
          </cell>
          <cell r="B843" t="str">
            <v>Deferred Tax FIT - FAS 133</v>
          </cell>
          <cell r="C843">
            <v>1926508.04</v>
          </cell>
          <cell r="D843">
            <v>1926508.04</v>
          </cell>
          <cell r="E843">
            <v>1926508.04</v>
          </cell>
          <cell r="F843">
            <v>1926508.04</v>
          </cell>
          <cell r="G843">
            <v>1926508.04</v>
          </cell>
          <cell r="H843">
            <v>1926508.04</v>
          </cell>
          <cell r="I843">
            <v>1926508.04</v>
          </cell>
          <cell r="J843">
            <v>1926508.04</v>
          </cell>
          <cell r="K843">
            <v>1926508.04</v>
          </cell>
          <cell r="L843">
            <v>1926508.04</v>
          </cell>
          <cell r="M843">
            <v>1926508.04</v>
          </cell>
          <cell r="N843">
            <v>1926508.04</v>
          </cell>
          <cell r="O843">
            <v>23118096.479999993</v>
          </cell>
        </row>
        <row r="844">
          <cell r="A844" t="str">
            <v>1900307</v>
          </cell>
          <cell r="B844" t="str">
            <v>Deferred Tax FIT - FAS 133 Interest</v>
          </cell>
          <cell r="C844">
            <v>762394.39</v>
          </cell>
          <cell r="D844">
            <v>760773.25</v>
          </cell>
          <cell r="E844">
            <v>759152.11</v>
          </cell>
          <cell r="F844">
            <v>757530.96</v>
          </cell>
          <cell r="G844">
            <v>755909.82</v>
          </cell>
          <cell r="H844">
            <v>754288.67</v>
          </cell>
          <cell r="I844">
            <v>752667.54</v>
          </cell>
          <cell r="J844">
            <v>751046.39</v>
          </cell>
          <cell r="K844">
            <v>749425.24</v>
          </cell>
          <cell r="L844">
            <v>747804.1</v>
          </cell>
          <cell r="M844">
            <v>746182.96</v>
          </cell>
          <cell r="N844">
            <v>744561.81</v>
          </cell>
          <cell r="O844">
            <v>9041737.2400000002</v>
          </cell>
        </row>
        <row r="845">
          <cell r="A845" t="str">
            <v>1900308</v>
          </cell>
          <cell r="B845" t="str">
            <v>Deferred Tax FIT - FAS 158</v>
          </cell>
          <cell r="C845">
            <v>86769019.810000002</v>
          </cell>
          <cell r="D845">
            <v>86769019.810000002</v>
          </cell>
          <cell r="E845">
            <v>86769019.810000002</v>
          </cell>
          <cell r="F845">
            <v>86769019.810000002</v>
          </cell>
          <cell r="G845">
            <v>86769019.810000002</v>
          </cell>
          <cell r="H845">
            <v>86769019.810000002</v>
          </cell>
          <cell r="I845">
            <v>86769019.810000002</v>
          </cell>
          <cell r="J845">
            <v>86769019.810000002</v>
          </cell>
          <cell r="K845">
            <v>86769019.810000002</v>
          </cell>
          <cell r="L845">
            <v>86769019.810000002</v>
          </cell>
          <cell r="M845">
            <v>86769019.810000002</v>
          </cell>
          <cell r="N845">
            <v>86769019.810000002</v>
          </cell>
          <cell r="O845">
            <v>1041228237.7199998</v>
          </cell>
        </row>
        <row r="846">
          <cell r="A846" t="str">
            <v>1900309</v>
          </cell>
          <cell r="B846" t="str">
            <v>Deferred Tax FIT - FAS 158 - Medicare Part D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1900310</v>
          </cell>
          <cell r="B847" t="str">
            <v>Deferred Tax FIT - Credits</v>
          </cell>
          <cell r="C847">
            <v>265521878.61000001</v>
          </cell>
          <cell r="D847">
            <v>265521878.61000001</v>
          </cell>
          <cell r="E847">
            <v>265906878.61000001</v>
          </cell>
          <cell r="F847">
            <v>265906878.61000001</v>
          </cell>
          <cell r="G847">
            <v>266777935.03</v>
          </cell>
          <cell r="H847">
            <v>267334445.71000001</v>
          </cell>
          <cell r="I847">
            <v>268127310.13999999</v>
          </cell>
          <cell r="J847">
            <v>268127310.13999999</v>
          </cell>
          <cell r="K847">
            <v>268772310.13999999</v>
          </cell>
          <cell r="L847">
            <v>268772310.13999999</v>
          </cell>
          <cell r="M847">
            <v>335174186.56999999</v>
          </cell>
          <cell r="N847">
            <v>335299186.56999999</v>
          </cell>
          <cell r="O847">
            <v>3341242508.8800001</v>
          </cell>
        </row>
        <row r="848">
          <cell r="A848" t="str">
            <v>1900400</v>
          </cell>
          <cell r="B848" t="str">
            <v>Deferred Tax Asset - State</v>
          </cell>
          <cell r="C848">
            <v>20717138.59</v>
          </cell>
          <cell r="D848">
            <v>20023298.34</v>
          </cell>
          <cell r="E848">
            <v>19590309.93</v>
          </cell>
          <cell r="F848">
            <v>19306572.149999999</v>
          </cell>
          <cell r="G848">
            <v>19160143.620000001</v>
          </cell>
          <cell r="H848">
            <v>19134406.43</v>
          </cell>
          <cell r="I848">
            <v>19171878.800000001</v>
          </cell>
          <cell r="J848">
            <v>19212285.780000001</v>
          </cell>
          <cell r="K848">
            <v>19224443.280000001</v>
          </cell>
          <cell r="L848">
            <v>19098943.280000001</v>
          </cell>
          <cell r="M848">
            <v>18787473.109999999</v>
          </cell>
          <cell r="N848">
            <v>18407793.73</v>
          </cell>
          <cell r="O848">
            <v>231834687.03999999</v>
          </cell>
        </row>
        <row r="849">
          <cell r="A849" t="str">
            <v>1900401</v>
          </cell>
          <cell r="B849" t="str">
            <v>Deferred Debit Tax - State Amt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</row>
        <row r="850">
          <cell r="A850" t="str">
            <v>1900402</v>
          </cell>
          <cell r="B850" t="str">
            <v>Deferred Debit Tax - SIT NOL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</row>
        <row r="851">
          <cell r="A851" t="str">
            <v>1900403</v>
          </cell>
          <cell r="B851" t="str">
            <v>DTA Separate Company - State</v>
          </cell>
          <cell r="C851">
            <v>5996147.1500000004</v>
          </cell>
          <cell r="D851">
            <v>8534625.5800000001</v>
          </cell>
          <cell r="E851">
            <v>9531423.7899999991</v>
          </cell>
          <cell r="F851">
            <v>9905037.3800000008</v>
          </cell>
          <cell r="G851">
            <v>9553781.1400000006</v>
          </cell>
          <cell r="H851">
            <v>8565369.5</v>
          </cell>
          <cell r="I851">
            <v>7243015.9500000002</v>
          </cell>
          <cell r="J851">
            <v>5905062.0700000003</v>
          </cell>
          <cell r="K851">
            <v>4716106.91</v>
          </cell>
          <cell r="L851">
            <v>4253639.5</v>
          </cell>
          <cell r="M851">
            <v>4775720.25</v>
          </cell>
          <cell r="N851">
            <v>5657727.04</v>
          </cell>
          <cell r="O851">
            <v>84637656.260000005</v>
          </cell>
        </row>
        <row r="852">
          <cell r="A852" t="str">
            <v>1900404</v>
          </cell>
          <cell r="B852" t="str">
            <v>Inactive Account   Do not use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</row>
        <row r="853">
          <cell r="A853" t="str">
            <v>1900405</v>
          </cell>
          <cell r="B853" t="str">
            <v>Deferred Tax Asset - State Non Utility</v>
          </cell>
          <cell r="C853">
            <v>-3650.67</v>
          </cell>
          <cell r="D853">
            <v>-3650.67</v>
          </cell>
          <cell r="E853">
            <v>-3650.67</v>
          </cell>
          <cell r="F853">
            <v>-3650.67</v>
          </cell>
          <cell r="G853">
            <v>-3650.67</v>
          </cell>
          <cell r="H853">
            <v>-3650.67</v>
          </cell>
          <cell r="I853">
            <v>-3650.67</v>
          </cell>
          <cell r="J853">
            <v>-3650.67</v>
          </cell>
          <cell r="K853">
            <v>-3650.67</v>
          </cell>
          <cell r="L853">
            <v>-3650.67</v>
          </cell>
          <cell r="M853">
            <v>-3650.67</v>
          </cell>
          <cell r="N853">
            <v>-3650.67</v>
          </cell>
          <cell r="O853">
            <v>-43808.039999999986</v>
          </cell>
        </row>
        <row r="854">
          <cell r="A854" t="str">
            <v>1900406</v>
          </cell>
          <cell r="B854" t="str">
            <v>Deferred Tax SIT - FAS 133</v>
          </cell>
          <cell r="C854">
            <v>0.2</v>
          </cell>
          <cell r="D854">
            <v>0.2</v>
          </cell>
          <cell r="E854">
            <v>0.2</v>
          </cell>
          <cell r="F854">
            <v>0.2</v>
          </cell>
          <cell r="G854">
            <v>0.2</v>
          </cell>
          <cell r="H854">
            <v>0.2</v>
          </cell>
          <cell r="I854">
            <v>0.2</v>
          </cell>
          <cell r="J854">
            <v>0.2</v>
          </cell>
          <cell r="K854">
            <v>0.2</v>
          </cell>
          <cell r="L854">
            <v>0.2</v>
          </cell>
          <cell r="M854">
            <v>0.2</v>
          </cell>
          <cell r="N854">
            <v>0.2</v>
          </cell>
          <cell r="O854">
            <v>2.4</v>
          </cell>
        </row>
        <row r="855">
          <cell r="A855" t="str">
            <v>1900407</v>
          </cell>
          <cell r="B855" t="str">
            <v>Deferred Tax SIT - FAS 133 Interest</v>
          </cell>
          <cell r="C855">
            <v>94123.580000100003</v>
          </cell>
          <cell r="D855">
            <v>93674.290000099994</v>
          </cell>
          <cell r="E855">
            <v>93224.990000100006</v>
          </cell>
          <cell r="F855">
            <v>92775.690000100003</v>
          </cell>
          <cell r="G855">
            <v>92326.400000099995</v>
          </cell>
          <cell r="H855">
            <v>91877.100000100007</v>
          </cell>
          <cell r="I855">
            <v>91427.800000100004</v>
          </cell>
          <cell r="J855">
            <v>90978.510000099996</v>
          </cell>
          <cell r="K855">
            <v>90529.210000100007</v>
          </cell>
          <cell r="L855">
            <v>90079.910000200005</v>
          </cell>
          <cell r="M855">
            <v>89630.620000199997</v>
          </cell>
          <cell r="N855">
            <v>89181.320000199994</v>
          </cell>
          <cell r="O855">
            <v>1099829.4200015001</v>
          </cell>
        </row>
        <row r="856">
          <cell r="A856" t="str">
            <v>1900408</v>
          </cell>
          <cell r="B856" t="str">
            <v>Deferred Tax SIT - FAS 158</v>
          </cell>
          <cell r="C856">
            <v>15112282.810000001</v>
          </cell>
          <cell r="D856">
            <v>15112282.810000001</v>
          </cell>
          <cell r="E856">
            <v>15112282.810000001</v>
          </cell>
          <cell r="F856">
            <v>15112282.810000001</v>
          </cell>
          <cell r="G856">
            <v>15112282.810000001</v>
          </cell>
          <cell r="H856">
            <v>15112282.810000001</v>
          </cell>
          <cell r="I856">
            <v>15112282.810000001</v>
          </cell>
          <cell r="J856">
            <v>15112282.810000001</v>
          </cell>
          <cell r="K856">
            <v>15112282.810000001</v>
          </cell>
          <cell r="L856">
            <v>15112282.810000001</v>
          </cell>
          <cell r="M856">
            <v>15112282.810000001</v>
          </cell>
          <cell r="N856">
            <v>15112282.810000001</v>
          </cell>
          <cell r="O856">
            <v>181347393.72</v>
          </cell>
        </row>
        <row r="857">
          <cell r="A857" t="str">
            <v>1900409</v>
          </cell>
          <cell r="B857" t="str">
            <v>Deferred Tax SIT - FAS 158 - Medicare Part D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</row>
        <row r="858">
          <cell r="A858" t="str">
            <v>1900410</v>
          </cell>
          <cell r="B858" t="str">
            <v>Deferred Tax SIT - Credits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</row>
        <row r="859">
          <cell r="A859" t="str">
            <v>1900600</v>
          </cell>
          <cell r="B859" t="str">
            <v>Deferred Tax-Valuation Allow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</row>
        <row r="860">
          <cell r="A860" t="str">
            <v>1900610</v>
          </cell>
          <cell r="B860" t="str">
            <v>Deferred Tax Fd ITC - FAS109 Inc Tax</v>
          </cell>
          <cell r="C860">
            <v>-67681027.680000007</v>
          </cell>
          <cell r="D860">
            <v>-67471692.730000004</v>
          </cell>
          <cell r="E860">
            <v>-67335494.280000001</v>
          </cell>
          <cell r="F860">
            <v>-67126159.420000002</v>
          </cell>
          <cell r="G860">
            <v>-67161847.329999998</v>
          </cell>
          <cell r="H860">
            <v>-67073893.810000002</v>
          </cell>
          <cell r="I860">
            <v>-67087586.850000001</v>
          </cell>
          <cell r="J860">
            <v>-66878251.920000002</v>
          </cell>
          <cell r="K860">
            <v>-66815189.829999998</v>
          </cell>
          <cell r="L860">
            <v>-66605854.960000001</v>
          </cell>
          <cell r="M860">
            <v>-85074966.340000004</v>
          </cell>
          <cell r="N860">
            <v>-84865631.450000003</v>
          </cell>
          <cell r="O860">
            <v>-841177596.60000014</v>
          </cell>
        </row>
        <row r="861">
          <cell r="A861" t="str">
            <v>1910100</v>
          </cell>
          <cell r="B861" t="str">
            <v>Unrecovered Purchased Gas Costs - Current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</row>
        <row r="862">
          <cell r="A862" t="str">
            <v>1910110</v>
          </cell>
          <cell r="B862" t="str">
            <v>Unrecov Purch Gas Cost-Deriv Settled - Current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</row>
        <row r="863">
          <cell r="A863" t="str">
            <v>1910120</v>
          </cell>
          <cell r="B863" t="str">
            <v>Unrecov Purch Gas Cost-Deriv Offset - Current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</row>
        <row r="864">
          <cell r="A864" t="str">
            <v>1910160</v>
          </cell>
          <cell r="B864" t="str">
            <v>Unrecov Purch Gas Adj Contra - Current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</row>
        <row r="865">
          <cell r="A865" t="str">
            <v>1910165</v>
          </cell>
          <cell r="B865" t="str">
            <v>Other Reg Liab Pur Gas Adj Reclass - Current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</row>
        <row r="866">
          <cell r="A866" t="str">
            <v>1910200</v>
          </cell>
          <cell r="B866" t="str">
            <v>Unrecovered Purchased Gas Costs - Non-Current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</row>
        <row r="867">
          <cell r="A867" t="str">
            <v>1910210</v>
          </cell>
          <cell r="B867" t="str">
            <v>Unrecov Purch Gas Cost-Deriv Settled - Non-Current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</row>
        <row r="868">
          <cell r="A868" t="str">
            <v>1910220</v>
          </cell>
          <cell r="B868" t="str">
            <v>Unrecov Purch Gas Cost-Deriv Offset - Non-Current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</row>
        <row r="869">
          <cell r="A869" t="str">
            <v>1990900</v>
          </cell>
          <cell r="B869" t="str">
            <v>Inactive Account   Do not use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</row>
        <row r="870">
          <cell r="A870" t="str">
            <v>1990910</v>
          </cell>
          <cell r="B870" t="str">
            <v>Inactive Account   Do not use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</row>
        <row r="871">
          <cell r="A871" t="str">
            <v>1990920</v>
          </cell>
          <cell r="B871" t="str">
            <v>CRM Data Takeover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</row>
        <row r="872">
          <cell r="A872" t="str">
            <v>2010000</v>
          </cell>
          <cell r="B872" t="str">
            <v>Common Stock Issued</v>
          </cell>
          <cell r="C872">
            <v>119696800</v>
          </cell>
          <cell r="D872">
            <v>119696800</v>
          </cell>
          <cell r="E872">
            <v>119696800</v>
          </cell>
          <cell r="F872">
            <v>119696800</v>
          </cell>
          <cell r="G872">
            <v>119696800</v>
          </cell>
          <cell r="H872">
            <v>119696800</v>
          </cell>
          <cell r="I872">
            <v>119696800</v>
          </cell>
          <cell r="J872">
            <v>119696800</v>
          </cell>
          <cell r="K872">
            <v>119696800</v>
          </cell>
          <cell r="L872">
            <v>119696800</v>
          </cell>
          <cell r="M872">
            <v>119696800</v>
          </cell>
          <cell r="N872">
            <v>119696800</v>
          </cell>
          <cell r="O872">
            <v>1436361600</v>
          </cell>
        </row>
        <row r="873">
          <cell r="A873" t="str">
            <v>2010010</v>
          </cell>
          <cell r="B873" t="str">
            <v>Common Stock Issued - Employee Restricted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</row>
        <row r="874">
          <cell r="A874" t="str">
            <v>2010020</v>
          </cell>
          <cell r="B874" t="str">
            <v>Common Stock Issued - Deferred Dividend Restricted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</row>
        <row r="875">
          <cell r="A875" t="str">
            <v>2010030</v>
          </cell>
          <cell r="B875" t="str">
            <v>Common Stock Issued - Directors' Restricted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</row>
        <row r="876">
          <cell r="A876" t="str">
            <v>2010700</v>
          </cell>
          <cell r="B876" t="str">
            <v>Common Stock Issued - Intercompany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7">
          <cell r="A877" t="str">
            <v>2070000</v>
          </cell>
          <cell r="B877" t="str">
            <v>Premium on Capital Stock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</row>
        <row r="878">
          <cell r="A878" t="str">
            <v>2110000</v>
          </cell>
          <cell r="B878" t="str">
            <v>Miscellaneous Paid-in Capital</v>
          </cell>
          <cell r="C878">
            <v>3225840200</v>
          </cell>
          <cell r="D878">
            <v>3340840200</v>
          </cell>
          <cell r="E878">
            <v>3340840200</v>
          </cell>
          <cell r="F878">
            <v>3340840200</v>
          </cell>
          <cell r="G878">
            <v>3455840200</v>
          </cell>
          <cell r="H878">
            <v>3455840200</v>
          </cell>
          <cell r="I878">
            <v>3455840200</v>
          </cell>
          <cell r="J878">
            <v>3570840200</v>
          </cell>
          <cell r="K878">
            <v>3570840200</v>
          </cell>
          <cell r="L878">
            <v>3570840200</v>
          </cell>
          <cell r="M878">
            <v>3685840200</v>
          </cell>
          <cell r="N878">
            <v>3685840200</v>
          </cell>
          <cell r="O878">
            <v>41700082400</v>
          </cell>
        </row>
        <row r="879">
          <cell r="A879" t="str">
            <v>2140000</v>
          </cell>
          <cell r="B879" t="str">
            <v>Capital Stock Expense</v>
          </cell>
          <cell r="C879">
            <v>-700900</v>
          </cell>
          <cell r="D879">
            <v>-700900</v>
          </cell>
          <cell r="E879">
            <v>-700900</v>
          </cell>
          <cell r="F879">
            <v>-700900</v>
          </cell>
          <cell r="G879">
            <v>-700900</v>
          </cell>
          <cell r="H879">
            <v>-700900</v>
          </cell>
          <cell r="I879">
            <v>-700900</v>
          </cell>
          <cell r="J879">
            <v>-700900</v>
          </cell>
          <cell r="K879">
            <v>-700900</v>
          </cell>
          <cell r="L879">
            <v>-700900</v>
          </cell>
          <cell r="M879">
            <v>-700900</v>
          </cell>
          <cell r="N879">
            <v>-700900</v>
          </cell>
          <cell r="O879">
            <v>-8410800</v>
          </cell>
        </row>
        <row r="880">
          <cell r="A880" t="str">
            <v>2140010</v>
          </cell>
          <cell r="B880" t="str">
            <v>Inactive Account   Do not use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</row>
        <row r="881">
          <cell r="A881" t="str">
            <v>2140020</v>
          </cell>
          <cell r="B881" t="str">
            <v>Inactive Account   Do not use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</row>
        <row r="882">
          <cell r="A882" t="str">
            <v>2140030</v>
          </cell>
          <cell r="B882" t="str">
            <v>Inactive Account   Do not use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</row>
        <row r="883">
          <cell r="A883" t="str">
            <v>2140040</v>
          </cell>
          <cell r="B883" t="str">
            <v>Inactive Account   Do not use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</row>
        <row r="884">
          <cell r="A884" t="str">
            <v>2140050</v>
          </cell>
          <cell r="B884" t="str">
            <v>Inactive Account   Do not use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</row>
        <row r="885">
          <cell r="A885" t="str">
            <v>2150000</v>
          </cell>
          <cell r="B885" t="str">
            <v>Appropriated Retained Earnings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</row>
        <row r="886">
          <cell r="A886" t="str">
            <v>2151000</v>
          </cell>
          <cell r="B886" t="str">
            <v>Appropriated Retained Earn-Amortiz Reserve Federal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</row>
        <row r="887">
          <cell r="A887" t="str">
            <v>2160000</v>
          </cell>
          <cell r="B887" t="str">
            <v>Retained Earnings</v>
          </cell>
          <cell r="C887">
            <v>229915765.95199499</v>
          </cell>
          <cell r="D887">
            <v>169144585.19044101</v>
          </cell>
          <cell r="E887">
            <v>179798031.82588801</v>
          </cell>
          <cell r="F887">
            <v>201735932.290535</v>
          </cell>
          <cell r="G887">
            <v>188805012.38654101</v>
          </cell>
          <cell r="H887">
            <v>226526387.257736</v>
          </cell>
          <cell r="I887">
            <v>267999403.765683</v>
          </cell>
          <cell r="J887">
            <v>219318461.53044099</v>
          </cell>
          <cell r="K887">
            <v>260235180.22273999</v>
          </cell>
          <cell r="L887">
            <v>292678538.98394001</v>
          </cell>
          <cell r="M887">
            <v>184872542.51159999</v>
          </cell>
          <cell r="N887">
            <v>198683346.3436</v>
          </cell>
          <cell r="O887">
            <v>2619713188.2611399</v>
          </cell>
        </row>
        <row r="888">
          <cell r="A888" t="str">
            <v>2160010</v>
          </cell>
          <cell r="B888" t="str">
            <v>Retained Earn-Dividends Forfeited Restrict Stock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</row>
        <row r="889">
          <cell r="A889" t="str">
            <v>2160020</v>
          </cell>
          <cell r="B889" t="str">
            <v>Retained Earnings-FIN48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</row>
        <row r="890">
          <cell r="A890" t="str">
            <v>2160030</v>
          </cell>
          <cell r="B890" t="str">
            <v>Retained Earnings-FAS158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</row>
        <row r="891">
          <cell r="A891" t="str">
            <v>2160040</v>
          </cell>
          <cell r="B891" t="str">
            <v>Retained Earnings Adjustments - Prior Year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</row>
        <row r="892">
          <cell r="A892" t="str">
            <v>2160041</v>
          </cell>
          <cell r="B892" t="str">
            <v>Retained Earnings Adjustments - Current Year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</row>
        <row r="893">
          <cell r="A893" t="str">
            <v>2161000</v>
          </cell>
          <cell r="B893" t="str">
            <v>Unappropriated Undistributed Subsidiary Earnings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</row>
        <row r="894">
          <cell r="A894" t="str">
            <v>2180000</v>
          </cell>
          <cell r="B894" t="str">
            <v>Noncontrolling Interest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</row>
        <row r="895">
          <cell r="A895" t="str">
            <v>2190000</v>
          </cell>
          <cell r="B895" t="str">
            <v>Comprehensive Income - Other Pretax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</row>
        <row r="896">
          <cell r="A896" t="str">
            <v>2190001</v>
          </cell>
          <cell r="B896" t="str">
            <v>Comprehensive Income - Other Taxes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</row>
        <row r="897">
          <cell r="A897" t="str">
            <v>2190010</v>
          </cell>
          <cell r="B897" t="str">
            <v>Comprehensive Income - Pension Pretax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</row>
        <row r="898">
          <cell r="A898" t="str">
            <v>2190011</v>
          </cell>
          <cell r="B898" t="str">
            <v>Comprehensive Income - Pension Taxes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</row>
        <row r="899">
          <cell r="A899" t="str">
            <v>2190020</v>
          </cell>
          <cell r="B899" t="str">
            <v>Comprehensive Income - SERP Pretax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A900" t="str">
            <v>2190021</v>
          </cell>
          <cell r="B900" t="str">
            <v>Comprehensive Income - SERP Taxes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1">
          <cell r="A901" t="str">
            <v>2190030</v>
          </cell>
          <cell r="B901" t="str">
            <v>Comprehensive Income - FAS106 Pretax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</row>
        <row r="902">
          <cell r="A902" t="str">
            <v>2190031</v>
          </cell>
          <cell r="B902" t="str">
            <v>Comprehensive Income - FAS106 Taxes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3">
          <cell r="A903" t="str">
            <v>2190040</v>
          </cell>
          <cell r="B903" t="str">
            <v>Comprehensive Income - Cash Flow Hedges Pretax</v>
          </cell>
          <cell r="C903">
            <v>-1711363.48</v>
          </cell>
          <cell r="D903">
            <v>-1703194.45</v>
          </cell>
          <cell r="E903">
            <v>-1695025.42</v>
          </cell>
          <cell r="F903">
            <v>-1686856.39</v>
          </cell>
          <cell r="G903">
            <v>-1678687.36</v>
          </cell>
          <cell r="H903">
            <v>-1670518.33</v>
          </cell>
          <cell r="I903">
            <v>-1662349.3</v>
          </cell>
          <cell r="J903">
            <v>-1654180.27</v>
          </cell>
          <cell r="K903">
            <v>-1646011.24</v>
          </cell>
          <cell r="L903">
            <v>-1637842.21</v>
          </cell>
          <cell r="M903">
            <v>-1629673.18</v>
          </cell>
          <cell r="N903">
            <v>-1621504.15</v>
          </cell>
          <cell r="O903">
            <v>-19997205.779999997</v>
          </cell>
        </row>
        <row r="904">
          <cell r="A904" t="str">
            <v>2190041</v>
          </cell>
          <cell r="B904" t="str">
            <v>Comprehensive Income - Cash Flow Hedges Taxes</v>
          </cell>
          <cell r="C904">
            <v>856517.97000009997</v>
          </cell>
          <cell r="D904">
            <v>854447.54000010004</v>
          </cell>
          <cell r="E904">
            <v>852377.10000009998</v>
          </cell>
          <cell r="F904">
            <v>850306.65000010002</v>
          </cell>
          <cell r="G904">
            <v>848236.22000009997</v>
          </cell>
          <cell r="H904">
            <v>846165.77000010002</v>
          </cell>
          <cell r="I904">
            <v>844095.34000009997</v>
          </cell>
          <cell r="J904">
            <v>842024.90000010002</v>
          </cell>
          <cell r="K904">
            <v>839954.45000009995</v>
          </cell>
          <cell r="L904">
            <v>837884.01000020001</v>
          </cell>
          <cell r="M904">
            <v>835813.58000019996</v>
          </cell>
          <cell r="N904">
            <v>833743.13000020001</v>
          </cell>
          <cell r="O904">
            <v>10141566.6600015</v>
          </cell>
        </row>
        <row r="905">
          <cell r="A905" t="str">
            <v>2190050</v>
          </cell>
          <cell r="B905" t="str">
            <v>Comprehensive Income - Restoration Ben Plan Pretax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</row>
        <row r="906">
          <cell r="A906" t="str">
            <v>2190051</v>
          </cell>
          <cell r="B906" t="str">
            <v>Comprehensive Income - Restoration Ben Plan Taxes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</row>
        <row r="907">
          <cell r="A907" t="str">
            <v>2190740</v>
          </cell>
          <cell r="B907" t="str">
            <v>OCI - Cash Flow Hedges Intercompany Pretax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</row>
        <row r="908">
          <cell r="A908" t="str">
            <v>2190741</v>
          </cell>
          <cell r="B908" t="str">
            <v>OCI - Cash Flow Hedges Intercompany Taxes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</row>
        <row r="909">
          <cell r="A909" t="str">
            <v>2210100</v>
          </cell>
          <cell r="B909" t="str">
            <v>Bonds - Recourse - Current</v>
          </cell>
          <cell r="C909">
            <v>231730320</v>
          </cell>
          <cell r="D909">
            <v>231730320</v>
          </cell>
          <cell r="E909">
            <v>231730320</v>
          </cell>
          <cell r="F909">
            <v>231730320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225000000</v>
          </cell>
          <cell r="L909">
            <v>225000000</v>
          </cell>
          <cell r="M909">
            <v>225000000</v>
          </cell>
          <cell r="N909">
            <v>225000000</v>
          </cell>
          <cell r="O909">
            <v>1826921280</v>
          </cell>
        </row>
        <row r="910">
          <cell r="A910" t="str">
            <v>2210150</v>
          </cell>
          <cell r="B910" t="str">
            <v>Bonds - Non-Recourse - Current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</row>
        <row r="911">
          <cell r="A911" t="str">
            <v>2210200</v>
          </cell>
          <cell r="B911" t="str">
            <v>Bonds - Recourse - Non-Current</v>
          </cell>
          <cell r="C911">
            <v>2335000000</v>
          </cell>
          <cell r="D911">
            <v>2885000000</v>
          </cell>
          <cell r="E911">
            <v>2885000000</v>
          </cell>
          <cell r="F911">
            <v>2885000000</v>
          </cell>
          <cell r="G911">
            <v>2885000000</v>
          </cell>
          <cell r="H911">
            <v>2885000000</v>
          </cell>
          <cell r="I911">
            <v>2885000000</v>
          </cell>
          <cell r="J911">
            <v>2885000000</v>
          </cell>
          <cell r="K911">
            <v>2660000000</v>
          </cell>
          <cell r="L911">
            <v>2660000000</v>
          </cell>
          <cell r="M911">
            <v>2910000000</v>
          </cell>
          <cell r="N911">
            <v>2910000000</v>
          </cell>
          <cell r="O911">
            <v>33670000000</v>
          </cell>
        </row>
        <row r="912">
          <cell r="A912" t="str">
            <v>2210250</v>
          </cell>
          <cell r="B912" t="str">
            <v>Bonds - Non-Recourse - Non-Current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</row>
        <row r="913">
          <cell r="A913" t="str">
            <v>2230730</v>
          </cell>
          <cell r="B913" t="str">
            <v>Advance Payable Intercompany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</row>
        <row r="914">
          <cell r="A914" t="str">
            <v>2230731</v>
          </cell>
          <cell r="B914" t="str">
            <v>Inactive Account   Do not use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</row>
        <row r="915">
          <cell r="A915" t="str">
            <v>2230732</v>
          </cell>
          <cell r="B915" t="str">
            <v>Advance Payable-Intercompany FASB52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</row>
        <row r="916">
          <cell r="A916" t="str">
            <v>2240100</v>
          </cell>
          <cell r="B916" t="str">
            <v>Other Long?Term Debt ? Recourse ? Current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</row>
        <row r="917">
          <cell r="A917" t="str">
            <v>2240150</v>
          </cell>
          <cell r="B917" t="str">
            <v>Other Long?Term Debt ? Non Recourse ? Current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</row>
        <row r="918">
          <cell r="A918" t="str">
            <v>2240200</v>
          </cell>
          <cell r="B918" t="str">
            <v>Other Long?Term Debt ? Recourse ? Non?Current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</row>
        <row r="919">
          <cell r="A919" t="str">
            <v>2240250</v>
          </cell>
          <cell r="B919" t="str">
            <v>Other Long?Term Debt ? Non Recourse ? Non?Current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</row>
        <row r="920">
          <cell r="A920" t="str">
            <v>2250200</v>
          </cell>
          <cell r="B920" t="str">
            <v>Unamortized Premium Long-term Debt - Recourse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</row>
        <row r="921">
          <cell r="A921" t="str">
            <v>2250250</v>
          </cell>
          <cell r="B921" t="str">
            <v>Unamortized Premium Long-term Debt - Non-Recourse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2">
          <cell r="A922" t="str">
            <v>2260200</v>
          </cell>
          <cell r="B922" t="str">
            <v>Unamortized Discount Long-term Debt - Recourse</v>
          </cell>
          <cell r="C922">
            <v>-8619048.7400000002</v>
          </cell>
          <cell r="D922">
            <v>-8587740.3599999994</v>
          </cell>
          <cell r="E922">
            <v>-8556431.9800000004</v>
          </cell>
          <cell r="F922">
            <v>-8525123.5999999996</v>
          </cell>
          <cell r="G922">
            <v>-8493815.2200000007</v>
          </cell>
          <cell r="H922">
            <v>-8462506.8399999999</v>
          </cell>
          <cell r="I922">
            <v>-8431198.4600000009</v>
          </cell>
          <cell r="J922">
            <v>-8399890.0800000001</v>
          </cell>
          <cell r="K922">
            <v>-8368581.7000000002</v>
          </cell>
          <cell r="L922">
            <v>-8337273.3200000003</v>
          </cell>
          <cell r="M922">
            <v>-8305964.9400000004</v>
          </cell>
          <cell r="N922">
            <v>-8274656.5599999996</v>
          </cell>
          <cell r="O922">
            <v>-101362231.80000001</v>
          </cell>
        </row>
        <row r="923">
          <cell r="A923" t="str">
            <v>2260250</v>
          </cell>
          <cell r="B923" t="str">
            <v>Unamortized Discount Long-term Debt - Non-Recourse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4">
          <cell r="A924" t="str">
            <v>2270200</v>
          </cell>
          <cell r="B924" t="str">
            <v>Long Term Lease Liability - Operating Lease</v>
          </cell>
          <cell r="C924">
            <v>25096234.449999999</v>
          </cell>
          <cell r="D924">
            <v>24955958.219999999</v>
          </cell>
          <cell r="E924">
            <v>24815238.370000001</v>
          </cell>
          <cell r="F924">
            <v>24672098.629999999</v>
          </cell>
          <cell r="G924">
            <v>24528505.129999999</v>
          </cell>
          <cell r="H924">
            <v>24384456.420000002</v>
          </cell>
          <cell r="I924">
            <v>24239117.640000001</v>
          </cell>
          <cell r="J924">
            <v>24093317.66</v>
          </cell>
          <cell r="K924">
            <v>23947055.039999999</v>
          </cell>
          <cell r="L924">
            <v>23800328.289999999</v>
          </cell>
          <cell r="M924">
            <v>23653135.949999999</v>
          </cell>
          <cell r="N924">
            <v>23505476.539999999</v>
          </cell>
          <cell r="O924">
            <v>291690922.33999997</v>
          </cell>
        </row>
        <row r="925">
          <cell r="A925" t="str">
            <v>2281000</v>
          </cell>
          <cell r="B925" t="str">
            <v>Accumulated Provision for Property Insurance</v>
          </cell>
          <cell r="C925">
            <v>48175744.740000002</v>
          </cell>
          <cell r="D925">
            <v>48175744.740000002</v>
          </cell>
          <cell r="E925">
            <v>47475744.740000002</v>
          </cell>
          <cell r="F925">
            <v>47475744.740000002</v>
          </cell>
          <cell r="G925">
            <v>47475744.740000002</v>
          </cell>
          <cell r="H925">
            <v>47475744.740000002</v>
          </cell>
          <cell r="I925">
            <v>47475744.740000002</v>
          </cell>
          <cell r="J925">
            <v>47475744.740000002</v>
          </cell>
          <cell r="K925">
            <v>47475744.740000002</v>
          </cell>
          <cell r="L925">
            <v>47475744.740000002</v>
          </cell>
          <cell r="M925">
            <v>47475744.740000002</v>
          </cell>
          <cell r="N925">
            <v>47475744.740000002</v>
          </cell>
          <cell r="O925">
            <v>571108936.88</v>
          </cell>
        </row>
        <row r="926">
          <cell r="A926" t="str">
            <v>2281080</v>
          </cell>
          <cell r="B926" t="str">
            <v>Accum Provision Prop Ins-Storm Reserv-Transmission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7">
          <cell r="A927" t="str">
            <v>2281081</v>
          </cell>
          <cell r="B927" t="str">
            <v>Accum Provision Prop Ins-Storm Reserv-Distribution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</row>
        <row r="928">
          <cell r="A928" t="str">
            <v>2281100</v>
          </cell>
          <cell r="B928" t="str">
            <v>Accum Provision for Property Insurance-Debit-Curr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</row>
        <row r="929">
          <cell r="A929" t="str">
            <v>2282001</v>
          </cell>
          <cell r="B929" t="str">
            <v>I&amp;D General Liability Reserve - Current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</row>
        <row r="930">
          <cell r="A930" t="str">
            <v>2282002</v>
          </cell>
          <cell r="B930" t="str">
            <v>I&amp;D Workers Compensation Reserve - Current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</row>
        <row r="931">
          <cell r="A931" t="str">
            <v>2282010</v>
          </cell>
          <cell r="B931" t="str">
            <v>I&amp;D General Liability Reserve</v>
          </cell>
          <cell r="C931">
            <v>7571168.5</v>
          </cell>
          <cell r="D931">
            <v>7510081</v>
          </cell>
          <cell r="E931">
            <v>7448993.5</v>
          </cell>
          <cell r="F931">
            <v>7387906</v>
          </cell>
          <cell r="G931">
            <v>7326818.5</v>
          </cell>
          <cell r="H931">
            <v>7265731</v>
          </cell>
          <cell r="I931">
            <v>7204643.5</v>
          </cell>
          <cell r="J931">
            <v>7143556</v>
          </cell>
          <cell r="K931">
            <v>7082468.5</v>
          </cell>
          <cell r="L931">
            <v>7021381</v>
          </cell>
          <cell r="M931">
            <v>6960293.5</v>
          </cell>
          <cell r="N931">
            <v>6899206</v>
          </cell>
          <cell r="O931">
            <v>86822247</v>
          </cell>
        </row>
        <row r="932">
          <cell r="A932" t="str">
            <v>2282020</v>
          </cell>
          <cell r="B932" t="str">
            <v>I&amp;D Workers Compensation Reserve</v>
          </cell>
          <cell r="C932">
            <v>2655449.3333333</v>
          </cell>
          <cell r="D932">
            <v>2705117.6666667</v>
          </cell>
          <cell r="E932">
            <v>2754786</v>
          </cell>
          <cell r="F932">
            <v>2804454.3333333</v>
          </cell>
          <cell r="G932">
            <v>2854122.6666667</v>
          </cell>
          <cell r="H932">
            <v>2903791</v>
          </cell>
          <cell r="I932">
            <v>2953459.3333333</v>
          </cell>
          <cell r="J932">
            <v>3003127.6666667</v>
          </cell>
          <cell r="K932">
            <v>3052796</v>
          </cell>
          <cell r="L932">
            <v>3102464.3333333</v>
          </cell>
          <cell r="M932">
            <v>3152132.6666667</v>
          </cell>
          <cell r="N932">
            <v>3201801</v>
          </cell>
          <cell r="O932">
            <v>35143502</v>
          </cell>
        </row>
        <row r="933">
          <cell r="A933" t="str">
            <v>2282030</v>
          </cell>
          <cell r="B933" t="str">
            <v>I&amp;D Reserve - Workers Compensation Payroll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</row>
        <row r="934">
          <cell r="A934" t="str">
            <v>2282040</v>
          </cell>
          <cell r="B934" t="str">
            <v>I&amp;D Longshore Reserve</v>
          </cell>
          <cell r="C934">
            <v>90411.25</v>
          </cell>
          <cell r="D934">
            <v>90276.5</v>
          </cell>
          <cell r="E934">
            <v>90141.75</v>
          </cell>
          <cell r="F934">
            <v>90007</v>
          </cell>
          <cell r="G934">
            <v>89872.25</v>
          </cell>
          <cell r="H934">
            <v>89737.5</v>
          </cell>
          <cell r="I934">
            <v>89602.75</v>
          </cell>
          <cell r="J934">
            <v>89468</v>
          </cell>
          <cell r="K934">
            <v>89333.25</v>
          </cell>
          <cell r="L934">
            <v>89198.5</v>
          </cell>
          <cell r="M934">
            <v>89063.75</v>
          </cell>
          <cell r="N934">
            <v>88929</v>
          </cell>
          <cell r="O934">
            <v>1076041.5</v>
          </cell>
        </row>
        <row r="935">
          <cell r="A935" t="str">
            <v>2282110</v>
          </cell>
          <cell r="B935" t="str">
            <v>I&amp;D Gen Liab Expected Recoveries - Current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</row>
        <row r="936">
          <cell r="A936" t="str">
            <v>2282120</v>
          </cell>
          <cell r="B936" t="str">
            <v>I&amp;D Wrk Comp Expected Recoveries - Current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A937" t="str">
            <v>2282210</v>
          </cell>
          <cell r="B937" t="str">
            <v>I&amp;D Gen Liab Expected Recoveries - Non-Current</v>
          </cell>
          <cell r="C937">
            <v>1040045</v>
          </cell>
          <cell r="D937">
            <v>1040045</v>
          </cell>
          <cell r="E937">
            <v>1040045</v>
          </cell>
          <cell r="F937">
            <v>1040045</v>
          </cell>
          <cell r="G937">
            <v>1040045</v>
          </cell>
          <cell r="H937">
            <v>1040045</v>
          </cell>
          <cell r="I937">
            <v>1040045</v>
          </cell>
          <cell r="J937">
            <v>1040045</v>
          </cell>
          <cell r="K937">
            <v>1040045</v>
          </cell>
          <cell r="L937">
            <v>1040045</v>
          </cell>
          <cell r="M937">
            <v>1040045</v>
          </cell>
          <cell r="N937">
            <v>1040045</v>
          </cell>
          <cell r="O937">
            <v>12480540</v>
          </cell>
        </row>
        <row r="938">
          <cell r="A938" t="str">
            <v>2282220</v>
          </cell>
          <cell r="B938" t="str">
            <v>I&amp;D Wrk Comp Expected Recoveries - Non-Current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A939" t="str">
            <v>2283200</v>
          </cell>
          <cell r="B939" t="str">
            <v>Pension Liability - Non-Current</v>
          </cell>
          <cell r="C939">
            <v>-188065050</v>
          </cell>
          <cell r="D939">
            <v>-188065050</v>
          </cell>
          <cell r="E939">
            <v>-188065050</v>
          </cell>
          <cell r="F939">
            <v>-188065050</v>
          </cell>
          <cell r="G939">
            <v>-188065050</v>
          </cell>
          <cell r="H939">
            <v>-188065050</v>
          </cell>
          <cell r="I939">
            <v>-188065050</v>
          </cell>
          <cell r="J939">
            <v>-188065050</v>
          </cell>
          <cell r="K939">
            <v>-188065050</v>
          </cell>
          <cell r="L939">
            <v>-188065050</v>
          </cell>
          <cell r="M939">
            <v>-188065050</v>
          </cell>
          <cell r="N939">
            <v>-188065050</v>
          </cell>
          <cell r="O939">
            <v>-2256780600</v>
          </cell>
        </row>
        <row r="940">
          <cell r="A940" t="str">
            <v>2283201</v>
          </cell>
          <cell r="B940" t="str">
            <v>Pension Liability FAS158 - Non-Current</v>
          </cell>
          <cell r="C940">
            <v>190067564</v>
          </cell>
          <cell r="D940">
            <v>190067564</v>
          </cell>
          <cell r="E940">
            <v>190067564</v>
          </cell>
          <cell r="F940">
            <v>190067564</v>
          </cell>
          <cell r="G940">
            <v>190067564</v>
          </cell>
          <cell r="H940">
            <v>190067564</v>
          </cell>
          <cell r="I940">
            <v>190067564</v>
          </cell>
          <cell r="J940">
            <v>190067564</v>
          </cell>
          <cell r="K940">
            <v>190067564</v>
          </cell>
          <cell r="L940">
            <v>190067564</v>
          </cell>
          <cell r="M940">
            <v>190067564</v>
          </cell>
          <cell r="N940">
            <v>190067564</v>
          </cell>
          <cell r="O940">
            <v>2280810768</v>
          </cell>
        </row>
        <row r="941">
          <cell r="A941" t="str">
            <v>2283210</v>
          </cell>
          <cell r="B941" t="str">
            <v>SERP Liability - Non-Current</v>
          </cell>
          <cell r="C941">
            <v>4373564.9800000004</v>
          </cell>
          <cell r="D941">
            <v>4373564.9800000004</v>
          </cell>
          <cell r="E941">
            <v>4373564.9800000004</v>
          </cell>
          <cell r="F941">
            <v>4373564.9800000004</v>
          </cell>
          <cell r="G941">
            <v>4373564.9800000004</v>
          </cell>
          <cell r="H941">
            <v>4373564.9800000004</v>
          </cell>
          <cell r="I941">
            <v>4373564.9800000004</v>
          </cell>
          <cell r="J941">
            <v>4373564.9800000004</v>
          </cell>
          <cell r="K941">
            <v>4373564.9800000004</v>
          </cell>
          <cell r="L941">
            <v>4373564.9800000004</v>
          </cell>
          <cell r="M941">
            <v>4373564.9800000004</v>
          </cell>
          <cell r="N941">
            <v>4373564.9800000004</v>
          </cell>
          <cell r="O941">
            <v>52482779.76000002</v>
          </cell>
        </row>
        <row r="942">
          <cell r="A942" t="str">
            <v>2283211</v>
          </cell>
          <cell r="B942" t="str">
            <v>SERP Liability FAS158 - Non-Current</v>
          </cell>
          <cell r="C942">
            <v>2278843</v>
          </cell>
          <cell r="D942">
            <v>2278843</v>
          </cell>
          <cell r="E942">
            <v>2278843</v>
          </cell>
          <cell r="F942">
            <v>2278843</v>
          </cell>
          <cell r="G942">
            <v>2278843</v>
          </cell>
          <cell r="H942">
            <v>2278843</v>
          </cell>
          <cell r="I942">
            <v>2278843</v>
          </cell>
          <cell r="J942">
            <v>2278843</v>
          </cell>
          <cell r="K942">
            <v>2278843</v>
          </cell>
          <cell r="L942">
            <v>2278843</v>
          </cell>
          <cell r="M942">
            <v>2278843</v>
          </cell>
          <cell r="N942">
            <v>2278843</v>
          </cell>
          <cell r="O942">
            <v>27346116</v>
          </cell>
        </row>
        <row r="943">
          <cell r="A943" t="str">
            <v>2283220</v>
          </cell>
          <cell r="B943" t="str">
            <v>Restoration Benefit Plan Liability - Non-Current</v>
          </cell>
          <cell r="C943">
            <v>125128.65</v>
          </cell>
          <cell r="D943">
            <v>125128.65</v>
          </cell>
          <cell r="E943">
            <v>125128.65</v>
          </cell>
          <cell r="F943">
            <v>125128.65</v>
          </cell>
          <cell r="G943">
            <v>125128.65</v>
          </cell>
          <cell r="H943">
            <v>125128.65</v>
          </cell>
          <cell r="I943">
            <v>125128.65</v>
          </cell>
          <cell r="J943">
            <v>125128.65</v>
          </cell>
          <cell r="K943">
            <v>125128.65</v>
          </cell>
          <cell r="L943">
            <v>125128.65</v>
          </cell>
          <cell r="M943">
            <v>125128.65</v>
          </cell>
          <cell r="N943">
            <v>125128.65</v>
          </cell>
          <cell r="O943">
            <v>1501543.7999999998</v>
          </cell>
        </row>
        <row r="944">
          <cell r="A944" t="str">
            <v>2283221</v>
          </cell>
          <cell r="B944" t="str">
            <v>Restoration Benefit Plan Liab FAS158 - Non-Current</v>
          </cell>
          <cell r="C944">
            <v>1661487.5</v>
          </cell>
          <cell r="D944">
            <v>1661487.5</v>
          </cell>
          <cell r="E944">
            <v>1661487.5</v>
          </cell>
          <cell r="F944">
            <v>1661487.5</v>
          </cell>
          <cell r="G944">
            <v>1661487.5</v>
          </cell>
          <cell r="H944">
            <v>1661487.5</v>
          </cell>
          <cell r="I944">
            <v>1661487.5</v>
          </cell>
          <cell r="J944">
            <v>1661487.5</v>
          </cell>
          <cell r="K944">
            <v>1661487.5</v>
          </cell>
          <cell r="L944">
            <v>1661487.5</v>
          </cell>
          <cell r="M944">
            <v>1661487.5</v>
          </cell>
          <cell r="N944">
            <v>1661487.5</v>
          </cell>
          <cell r="O944">
            <v>19937850</v>
          </cell>
        </row>
        <row r="945">
          <cell r="A945" t="str">
            <v>2283230</v>
          </cell>
          <cell r="B945" t="str">
            <v>FAS106 Liability-Active - Non-Current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A946" t="str">
            <v>2283231</v>
          </cell>
          <cell r="B946" t="str">
            <v>FAS106 Liability FAS158 - Non-Current</v>
          </cell>
          <cell r="C946">
            <v>69810526</v>
          </cell>
          <cell r="D946">
            <v>69810526</v>
          </cell>
          <cell r="E946">
            <v>69810526</v>
          </cell>
          <cell r="F946">
            <v>69810526</v>
          </cell>
          <cell r="G946">
            <v>69810526</v>
          </cell>
          <cell r="H946">
            <v>69810526</v>
          </cell>
          <cell r="I946">
            <v>69810526</v>
          </cell>
          <cell r="J946">
            <v>69810526</v>
          </cell>
          <cell r="K946">
            <v>69810526</v>
          </cell>
          <cell r="L946">
            <v>69810526</v>
          </cell>
          <cell r="M946">
            <v>69810526</v>
          </cell>
          <cell r="N946">
            <v>69810526</v>
          </cell>
          <cell r="O946">
            <v>837726312</v>
          </cell>
        </row>
        <row r="947">
          <cell r="A947" t="str">
            <v>2283232</v>
          </cell>
          <cell r="B947" t="str">
            <v>FAS106 Liability-Retired - Non-Current</v>
          </cell>
          <cell r="C947">
            <v>93998756.439999998</v>
          </cell>
          <cell r="D947">
            <v>93998756.439999998</v>
          </cell>
          <cell r="E947">
            <v>93998756.439999998</v>
          </cell>
          <cell r="F947">
            <v>93998756.439999998</v>
          </cell>
          <cell r="G947">
            <v>93998756.439999998</v>
          </cell>
          <cell r="H947">
            <v>93998756.439999998</v>
          </cell>
          <cell r="I947">
            <v>93998756.439999998</v>
          </cell>
          <cell r="J947">
            <v>93998756.439999998</v>
          </cell>
          <cell r="K947">
            <v>93998756.439999998</v>
          </cell>
          <cell r="L947">
            <v>93998756.439999998</v>
          </cell>
          <cell r="M947">
            <v>93998756.439999998</v>
          </cell>
          <cell r="N947">
            <v>93998756.439999998</v>
          </cell>
          <cell r="O947">
            <v>1127985077.2800002</v>
          </cell>
        </row>
        <row r="948">
          <cell r="A948" t="str">
            <v>2283233</v>
          </cell>
          <cell r="B948" t="str">
            <v>FAS106 Asset - Non-Current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A949" t="str">
            <v>2283240</v>
          </cell>
          <cell r="B949" t="str">
            <v>FAS112 Liab for Long-term Disability - Non-Current</v>
          </cell>
          <cell r="C949">
            <v>14323571</v>
          </cell>
          <cell r="D949">
            <v>14323571</v>
          </cell>
          <cell r="E949">
            <v>14323571</v>
          </cell>
          <cell r="F949">
            <v>14323571</v>
          </cell>
          <cell r="G949">
            <v>14323571</v>
          </cell>
          <cell r="H949">
            <v>14323571</v>
          </cell>
          <cell r="I949">
            <v>14323571</v>
          </cell>
          <cell r="J949">
            <v>14323571</v>
          </cell>
          <cell r="K949">
            <v>14323571</v>
          </cell>
          <cell r="L949">
            <v>14323571</v>
          </cell>
          <cell r="M949">
            <v>14323571</v>
          </cell>
          <cell r="N949">
            <v>14323571</v>
          </cell>
          <cell r="O949">
            <v>171882852</v>
          </cell>
        </row>
        <row r="950">
          <cell r="A950" t="str">
            <v>2284000</v>
          </cell>
          <cell r="B950" t="str">
            <v>Accumulated Miscellaneous Operating Provisions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</row>
        <row r="951">
          <cell r="A951" t="str">
            <v>2284010</v>
          </cell>
          <cell r="B951" t="str">
            <v>Accum Misc Provision - D&amp;O Litigation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</row>
        <row r="952">
          <cell r="A952" t="str">
            <v>2284020</v>
          </cell>
          <cell r="B952" t="str">
            <v>Accum Misc Provision - Other Litigation Reserve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</row>
        <row r="953">
          <cell r="A953" t="str">
            <v>2284030</v>
          </cell>
          <cell r="B953" t="str">
            <v>Accum Misc Provision - Contractor Damage Reserve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</row>
        <row r="954">
          <cell r="A954" t="str">
            <v>2284290</v>
          </cell>
          <cell r="B954" t="str">
            <v>Accum Misc Provision-Assets Held for Sale - Noncurrent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A955" t="str">
            <v>2290000</v>
          </cell>
          <cell r="B955" t="str">
            <v>Accumulated Provision for Rate Refunds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</row>
        <row r="956">
          <cell r="A956" t="str">
            <v>2300100</v>
          </cell>
          <cell r="B956" t="str">
            <v>Asset Retirement Obligations - Short-term</v>
          </cell>
          <cell r="C956">
            <v>11855298.84</v>
          </cell>
          <cell r="D956">
            <v>11855298.84</v>
          </cell>
          <cell r="E956">
            <v>11855298.84</v>
          </cell>
          <cell r="F956">
            <v>11855298.84</v>
          </cell>
          <cell r="G956">
            <v>11855298.84</v>
          </cell>
          <cell r="H956">
            <v>11855298.84</v>
          </cell>
          <cell r="I956">
            <v>11855298.84</v>
          </cell>
          <cell r="J956">
            <v>11855298.84</v>
          </cell>
          <cell r="K956">
            <v>11855298.84</v>
          </cell>
          <cell r="L956">
            <v>11855298.84</v>
          </cell>
          <cell r="M956">
            <v>11855298.84</v>
          </cell>
          <cell r="N956">
            <v>11855298.84</v>
          </cell>
          <cell r="O956">
            <v>142263586.08000001</v>
          </cell>
        </row>
        <row r="957">
          <cell r="A957" t="str">
            <v>2300200</v>
          </cell>
          <cell r="B957" t="str">
            <v>Asset Retirement Obligations - Long-term</v>
          </cell>
          <cell r="C957">
            <v>26780564.06715</v>
          </cell>
          <cell r="D957">
            <v>26914466.887485702</v>
          </cell>
          <cell r="E957">
            <v>27049039.221923199</v>
          </cell>
          <cell r="F957">
            <v>27184284.418032799</v>
          </cell>
          <cell r="G957">
            <v>27320205.840122901</v>
          </cell>
          <cell r="H957">
            <v>27456806.8693236</v>
          </cell>
          <cell r="I957">
            <v>27594090.903670199</v>
          </cell>
          <cell r="J957">
            <v>27732061.358188499</v>
          </cell>
          <cell r="K957">
            <v>27870721.664979499</v>
          </cell>
          <cell r="L957">
            <v>28010075.273304399</v>
          </cell>
          <cell r="M957">
            <v>28150125.649670899</v>
          </cell>
          <cell r="N957">
            <v>28290876.277919199</v>
          </cell>
          <cell r="O957">
            <v>330353318.43177086</v>
          </cell>
        </row>
        <row r="958">
          <cell r="A958" t="str">
            <v>2310000</v>
          </cell>
          <cell r="B958" t="str">
            <v>Notes Payable (Borrowings &lt; 1 Year Duration)</v>
          </cell>
          <cell r="C958">
            <v>620260253.73697495</v>
          </cell>
          <cell r="D958">
            <v>79698092.197209299</v>
          </cell>
          <cell r="E958">
            <v>123031251.22827201</v>
          </cell>
          <cell r="F958">
            <v>175510591.40548301</v>
          </cell>
          <cell r="G958">
            <v>397454762.92321098</v>
          </cell>
          <cell r="H958">
            <v>502149669.21205401</v>
          </cell>
          <cell r="I958">
            <v>504471023.82714701</v>
          </cell>
          <cell r="J958">
            <v>452169230.44700199</v>
          </cell>
          <cell r="K958">
            <v>462770968.43752098</v>
          </cell>
          <cell r="L958">
            <v>427442208.75751603</v>
          </cell>
          <cell r="M958">
            <v>286167827.26230299</v>
          </cell>
          <cell r="N958">
            <v>320084152.06935799</v>
          </cell>
          <cell r="O958">
            <v>4351210031.5040512</v>
          </cell>
        </row>
        <row r="959">
          <cell r="A959" t="str">
            <v>2310200</v>
          </cell>
          <cell r="B959" t="str">
            <v>Notes Payable Non-current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A960" t="str">
            <v>2320000</v>
          </cell>
          <cell r="B960" t="str">
            <v>AP Vouchers (Do not Post)</v>
          </cell>
          <cell r="C960">
            <v>15000000</v>
          </cell>
          <cell r="D960">
            <v>15000000</v>
          </cell>
          <cell r="E960">
            <v>15000000</v>
          </cell>
          <cell r="F960">
            <v>15000000</v>
          </cell>
          <cell r="G960">
            <v>15000000</v>
          </cell>
          <cell r="H960">
            <v>15000000</v>
          </cell>
          <cell r="I960">
            <v>15000000</v>
          </cell>
          <cell r="J960">
            <v>15000000</v>
          </cell>
          <cell r="K960">
            <v>15000000</v>
          </cell>
          <cell r="L960">
            <v>15000000</v>
          </cell>
          <cell r="M960">
            <v>15000000</v>
          </cell>
          <cell r="N960">
            <v>15000000</v>
          </cell>
          <cell r="O960">
            <v>180000000</v>
          </cell>
        </row>
        <row r="961">
          <cell r="A961" t="str">
            <v>2320001</v>
          </cell>
          <cell r="B961" t="str">
            <v>AP Manual Accruals</v>
          </cell>
          <cell r="C961">
            <v>57224854.112115197</v>
          </cell>
          <cell r="D961">
            <v>57613229.6471074</v>
          </cell>
          <cell r="E961">
            <v>58933621.322397597</v>
          </cell>
          <cell r="F961">
            <v>59174431.343942396</v>
          </cell>
          <cell r="G961">
            <v>65287240.721825399</v>
          </cell>
          <cell r="H961">
            <v>67392651.541777506</v>
          </cell>
          <cell r="I961">
            <v>62082140.980296902</v>
          </cell>
          <cell r="J961">
            <v>62068553.216381498</v>
          </cell>
          <cell r="K961">
            <v>64048564.399032898</v>
          </cell>
          <cell r="L961">
            <v>61970275.318796903</v>
          </cell>
          <cell r="M961">
            <v>60380731.264527097</v>
          </cell>
          <cell r="N961">
            <v>63456570.307824902</v>
          </cell>
          <cell r="O961">
            <v>739632864.17602563</v>
          </cell>
        </row>
        <row r="962">
          <cell r="A962" t="str">
            <v>2320002</v>
          </cell>
          <cell r="B962" t="str">
            <v>AP GR/IR Clearing</v>
          </cell>
          <cell r="C962">
            <v>25000000</v>
          </cell>
          <cell r="D962">
            <v>25000000</v>
          </cell>
          <cell r="E962">
            <v>25000000</v>
          </cell>
          <cell r="F962">
            <v>25000000</v>
          </cell>
          <cell r="G962">
            <v>25000000</v>
          </cell>
          <cell r="H962">
            <v>25000000</v>
          </cell>
          <cell r="I962">
            <v>25000000</v>
          </cell>
          <cell r="J962">
            <v>25000000</v>
          </cell>
          <cell r="K962">
            <v>25000000</v>
          </cell>
          <cell r="L962">
            <v>25000000</v>
          </cell>
          <cell r="M962">
            <v>25000000</v>
          </cell>
          <cell r="N962">
            <v>25000000</v>
          </cell>
          <cell r="O962">
            <v>300000000</v>
          </cell>
        </row>
        <row r="963">
          <cell r="A963" t="str">
            <v>2320003</v>
          </cell>
          <cell r="B963" t="str">
            <v>AP P-Card Clearing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A964" t="str">
            <v>2320004</v>
          </cell>
          <cell r="B964" t="str">
            <v>AP GR/IR Clearing - Translation Gain/Loss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A965" t="str">
            <v>2320005</v>
          </cell>
          <cell r="B965" t="str">
            <v>AP Employee Expenses (RECON)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A966" t="str">
            <v>2320006</v>
          </cell>
          <cell r="B966" t="str">
            <v>AP Energy Conservation Allowances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</row>
        <row r="967">
          <cell r="A967" t="str">
            <v>2320007</v>
          </cell>
          <cell r="B967" t="str">
            <v>AP Payroll</v>
          </cell>
          <cell r="C967">
            <v>5142319.3250000002</v>
          </cell>
          <cell r="D967">
            <v>5254393.9249999998</v>
          </cell>
          <cell r="E967">
            <v>8458837.9399999995</v>
          </cell>
          <cell r="F967">
            <v>9778862.2628571</v>
          </cell>
          <cell r="G967">
            <v>8680374.5999999996</v>
          </cell>
          <cell r="H967">
            <v>12829946.4</v>
          </cell>
          <cell r="I967">
            <v>1602061.6615385001</v>
          </cell>
          <cell r="J967">
            <v>4998432.3839999996</v>
          </cell>
          <cell r="K967">
            <v>5553813.7599999998</v>
          </cell>
          <cell r="L967">
            <v>4628178.1333333002</v>
          </cell>
          <cell r="M967">
            <v>4581896.352</v>
          </cell>
          <cell r="N967">
            <v>3124020.24</v>
          </cell>
          <cell r="O967">
            <v>74633136.983728886</v>
          </cell>
        </row>
        <row r="968">
          <cell r="A968" t="str">
            <v>2320008</v>
          </cell>
          <cell r="B968" t="str">
            <v>AP 401K Fixed Match</v>
          </cell>
          <cell r="C968">
            <v>602000</v>
          </cell>
          <cell r="D968">
            <v>55000</v>
          </cell>
          <cell r="E968">
            <v>108000</v>
          </cell>
          <cell r="F968">
            <v>161000</v>
          </cell>
          <cell r="G968">
            <v>214000</v>
          </cell>
          <cell r="H968">
            <v>267000</v>
          </cell>
          <cell r="I968">
            <v>320000</v>
          </cell>
          <cell r="J968">
            <v>373000</v>
          </cell>
          <cell r="K968">
            <v>426000</v>
          </cell>
          <cell r="L968">
            <v>479000</v>
          </cell>
          <cell r="M968">
            <v>532000</v>
          </cell>
          <cell r="N968">
            <v>585000</v>
          </cell>
          <cell r="O968">
            <v>4122000</v>
          </cell>
        </row>
        <row r="969">
          <cell r="A969" t="str">
            <v>2320009</v>
          </cell>
          <cell r="B969" t="str">
            <v>AP 401K Performance Match</v>
          </cell>
          <cell r="C969">
            <v>750000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750000</v>
          </cell>
          <cell r="N969">
            <v>750000</v>
          </cell>
          <cell r="O969">
            <v>2250000</v>
          </cell>
        </row>
        <row r="970">
          <cell r="A970" t="str">
            <v>2320010</v>
          </cell>
          <cell r="B970" t="str">
            <v>AP 401K Employee Contributions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A971" t="str">
            <v>2320011</v>
          </cell>
          <cell r="B971" t="str">
            <v>AP Stock Purchase Employee Contributions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A972" t="str">
            <v>2320012</v>
          </cell>
          <cell r="B972" t="str">
            <v>AP PSP / Incentive</v>
          </cell>
          <cell r="C972">
            <v>21797000</v>
          </cell>
          <cell r="D972">
            <v>3565000</v>
          </cell>
          <cell r="E972">
            <v>5333000</v>
          </cell>
          <cell r="F972">
            <v>7101000</v>
          </cell>
          <cell r="G972">
            <v>8869000</v>
          </cell>
          <cell r="H972">
            <v>10637000</v>
          </cell>
          <cell r="I972">
            <v>12405000</v>
          </cell>
          <cell r="J972">
            <v>14173000</v>
          </cell>
          <cell r="K972">
            <v>15941000</v>
          </cell>
          <cell r="L972">
            <v>17709000</v>
          </cell>
          <cell r="M972">
            <v>19477000</v>
          </cell>
          <cell r="N972">
            <v>21245000</v>
          </cell>
          <cell r="O972">
            <v>158252000</v>
          </cell>
        </row>
        <row r="973">
          <cell r="A973" t="str">
            <v>2320013</v>
          </cell>
          <cell r="B973" t="str">
            <v>AP Garnishments (Child Support. Levy. etc.)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</row>
        <row r="974">
          <cell r="A974" t="str">
            <v>2320014</v>
          </cell>
          <cell r="B974" t="str">
            <v>AP TECO Benefit Association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A975" t="str">
            <v>2320015</v>
          </cell>
          <cell r="B975" t="str">
            <v>AP Group Life Insurance</v>
          </cell>
          <cell r="C975">
            <v>81000</v>
          </cell>
          <cell r="D975">
            <v>81000</v>
          </cell>
          <cell r="E975">
            <v>81000</v>
          </cell>
          <cell r="F975">
            <v>81000</v>
          </cell>
          <cell r="G975">
            <v>81000</v>
          </cell>
          <cell r="H975">
            <v>81000</v>
          </cell>
          <cell r="I975">
            <v>81000</v>
          </cell>
          <cell r="J975">
            <v>81000</v>
          </cell>
          <cell r="K975">
            <v>81000</v>
          </cell>
          <cell r="L975">
            <v>81000</v>
          </cell>
          <cell r="M975">
            <v>81000</v>
          </cell>
          <cell r="N975">
            <v>81000</v>
          </cell>
          <cell r="O975">
            <v>972000</v>
          </cell>
        </row>
        <row r="976">
          <cell r="A976" t="str">
            <v>2320016</v>
          </cell>
          <cell r="B976" t="str">
            <v>AP Long-term Care Insurance</v>
          </cell>
          <cell r="C976">
            <v>-5000</v>
          </cell>
          <cell r="D976">
            <v>-5000</v>
          </cell>
          <cell r="E976">
            <v>-5000</v>
          </cell>
          <cell r="F976">
            <v>-5000</v>
          </cell>
          <cell r="G976">
            <v>-5000</v>
          </cell>
          <cell r="H976">
            <v>-5000</v>
          </cell>
          <cell r="I976">
            <v>-5000</v>
          </cell>
          <cell r="J976">
            <v>-5000</v>
          </cell>
          <cell r="K976">
            <v>-5000</v>
          </cell>
          <cell r="L976">
            <v>-5000</v>
          </cell>
          <cell r="M976">
            <v>-5000</v>
          </cell>
          <cell r="N976">
            <v>-5000</v>
          </cell>
          <cell r="O976">
            <v>-60000</v>
          </cell>
        </row>
        <row r="977">
          <cell r="A977" t="str">
            <v>2320017</v>
          </cell>
          <cell r="B977" t="str">
            <v>AP United Fund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</row>
        <row r="978">
          <cell r="A978" t="str">
            <v>2320018</v>
          </cell>
          <cell r="B978" t="str">
            <v>AP TEPAC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</row>
        <row r="979">
          <cell r="A979" t="str">
            <v>2320019</v>
          </cell>
          <cell r="B979" t="str">
            <v>AP Fitness Center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80">
          <cell r="A980" t="str">
            <v>2320020</v>
          </cell>
          <cell r="B980" t="str">
            <v>AP HSA Employee Contribution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</row>
        <row r="981">
          <cell r="A981" t="str">
            <v>2320021</v>
          </cell>
          <cell r="B981" t="str">
            <v>AP HSA Employer Contribution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</row>
        <row r="982">
          <cell r="A982" t="str">
            <v>2320022</v>
          </cell>
          <cell r="B982" t="str">
            <v>AP Medical Insurance Reserve - Active Employees</v>
          </cell>
          <cell r="C982">
            <v>4089824.2333332999</v>
          </cell>
          <cell r="D982">
            <v>4469163.5733332997</v>
          </cell>
          <cell r="E982">
            <v>5167443.4333333001</v>
          </cell>
          <cell r="F982">
            <v>5542936.1633332996</v>
          </cell>
          <cell r="G982">
            <v>5915089.0733332997</v>
          </cell>
          <cell r="H982">
            <v>6408429.2533333004</v>
          </cell>
          <cell r="I982">
            <v>6644093.7733332999</v>
          </cell>
          <cell r="J982">
            <v>6915709.1900000004</v>
          </cell>
          <cell r="K982">
            <v>7187324.6066667</v>
          </cell>
          <cell r="L982">
            <v>7458940.0233332999</v>
          </cell>
          <cell r="M982">
            <v>7730555.4400000004</v>
          </cell>
          <cell r="N982">
            <v>8002170.8566667</v>
          </cell>
          <cell r="O982">
            <v>75531679.619999796</v>
          </cell>
        </row>
        <row r="983">
          <cell r="A983" t="str">
            <v>2320023</v>
          </cell>
          <cell r="B983" t="str">
            <v>AP IBEW Union Dues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</row>
        <row r="984">
          <cell r="A984" t="str">
            <v>2320024</v>
          </cell>
          <cell r="B984" t="str">
            <v>AP OPEIU Union Dues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</row>
        <row r="985">
          <cell r="A985" t="str">
            <v>2320025</v>
          </cell>
          <cell r="B985" t="str">
            <v>AP IAM/AU Union Dues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</row>
        <row r="986">
          <cell r="A986" t="str">
            <v>2320026</v>
          </cell>
          <cell r="B986" t="str">
            <v>AP UFCW Union Dues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</row>
        <row r="987">
          <cell r="A987" t="str">
            <v>2320027</v>
          </cell>
          <cell r="B987" t="str">
            <v>AP FSA - Medical</v>
          </cell>
          <cell r="C987">
            <v>117000</v>
          </cell>
          <cell r="D987">
            <v>117000</v>
          </cell>
          <cell r="E987">
            <v>117000</v>
          </cell>
          <cell r="F987">
            <v>117000</v>
          </cell>
          <cell r="G987">
            <v>117000</v>
          </cell>
          <cell r="H987">
            <v>117000</v>
          </cell>
          <cell r="I987">
            <v>137000</v>
          </cell>
          <cell r="J987">
            <v>137000</v>
          </cell>
          <cell r="K987">
            <v>137000</v>
          </cell>
          <cell r="L987">
            <v>157000</v>
          </cell>
          <cell r="M987">
            <v>157000</v>
          </cell>
          <cell r="N987">
            <v>157000</v>
          </cell>
          <cell r="O987">
            <v>1584000</v>
          </cell>
        </row>
        <row r="988">
          <cell r="A988" t="str">
            <v>2320028</v>
          </cell>
          <cell r="B988" t="str">
            <v>AP FSA - Dependent Care</v>
          </cell>
          <cell r="C988">
            <v>40000</v>
          </cell>
          <cell r="D988">
            <v>45000</v>
          </cell>
          <cell r="E988">
            <v>45000</v>
          </cell>
          <cell r="F988">
            <v>50000</v>
          </cell>
          <cell r="G988">
            <v>50000</v>
          </cell>
          <cell r="H988">
            <v>55000</v>
          </cell>
          <cell r="I988">
            <v>55000</v>
          </cell>
          <cell r="J988">
            <v>60000</v>
          </cell>
          <cell r="K988">
            <v>60000</v>
          </cell>
          <cell r="L988">
            <v>60000</v>
          </cell>
          <cell r="M988">
            <v>60000</v>
          </cell>
          <cell r="N988">
            <v>60000</v>
          </cell>
          <cell r="O988">
            <v>640000</v>
          </cell>
        </row>
        <row r="989">
          <cell r="A989" t="str">
            <v>2320029</v>
          </cell>
          <cell r="B989" t="str">
            <v>AP FSA - Parking/Transit</v>
          </cell>
          <cell r="C989">
            <v>52000</v>
          </cell>
          <cell r="D989">
            <v>57000</v>
          </cell>
          <cell r="E989">
            <v>57000</v>
          </cell>
          <cell r="F989">
            <v>57000</v>
          </cell>
          <cell r="G989">
            <v>59000</v>
          </cell>
          <cell r="H989">
            <v>64000</v>
          </cell>
          <cell r="I989">
            <v>61000</v>
          </cell>
          <cell r="J989">
            <v>61000</v>
          </cell>
          <cell r="K989">
            <v>61000</v>
          </cell>
          <cell r="L989">
            <v>61000</v>
          </cell>
          <cell r="M989">
            <v>61000</v>
          </cell>
          <cell r="N989">
            <v>61000</v>
          </cell>
          <cell r="O989">
            <v>712000</v>
          </cell>
        </row>
        <row r="990">
          <cell r="A990" t="str">
            <v>2320030</v>
          </cell>
          <cell r="B990" t="str">
            <v>AP American Gas Index Fund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1">
          <cell r="A991" t="str">
            <v>2320031</v>
          </cell>
          <cell r="B991" t="str">
            <v>AP Fuel Accrual</v>
          </cell>
          <cell r="C991">
            <v>29407000</v>
          </cell>
          <cell r="D991">
            <v>24866000</v>
          </cell>
          <cell r="E991">
            <v>31977000</v>
          </cell>
          <cell r="F991">
            <v>27435000</v>
          </cell>
          <cell r="G991">
            <v>35139000</v>
          </cell>
          <cell r="H991">
            <v>38280000</v>
          </cell>
          <cell r="I991">
            <v>45213000</v>
          </cell>
          <cell r="J991">
            <v>43313000</v>
          </cell>
          <cell r="K991">
            <v>40042000</v>
          </cell>
          <cell r="L991">
            <v>37793000</v>
          </cell>
          <cell r="M991">
            <v>29648000</v>
          </cell>
          <cell r="N991">
            <v>33533000</v>
          </cell>
          <cell r="O991">
            <v>416646000</v>
          </cell>
        </row>
        <row r="992">
          <cell r="A992" t="str">
            <v>2320032</v>
          </cell>
          <cell r="B992" t="str">
            <v>AP Bonus 14 (Guatemala)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3">
          <cell r="A993" t="str">
            <v>2320033</v>
          </cell>
          <cell r="B993" t="str">
            <v>AP Christmas Bonus (Guatemala)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</row>
        <row r="994">
          <cell r="A994" t="str">
            <v>2320034</v>
          </cell>
          <cell r="B994" t="str">
            <v>AP Inside Line Protection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</row>
        <row r="995">
          <cell r="A995" t="str">
            <v>2320035</v>
          </cell>
          <cell r="B995" t="str">
            <v>AP Interchange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A996" t="str">
            <v>2320036</v>
          </cell>
          <cell r="B996" t="str">
            <v>AP Customer Assistance Program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7">
          <cell r="A997" t="str">
            <v>2320037</v>
          </cell>
          <cell r="B997" t="str">
            <v>AP Vision Benefit Plan</v>
          </cell>
          <cell r="C997">
            <v>-4000</v>
          </cell>
          <cell r="D997">
            <v>-4000</v>
          </cell>
          <cell r="E997">
            <v>-4000</v>
          </cell>
          <cell r="F997">
            <v>-4000</v>
          </cell>
          <cell r="G997">
            <v>-4000</v>
          </cell>
          <cell r="H997">
            <v>-2000</v>
          </cell>
          <cell r="I997">
            <v>-2000</v>
          </cell>
          <cell r="J997">
            <v>-2000</v>
          </cell>
          <cell r="K997">
            <v>-2000</v>
          </cell>
          <cell r="L997">
            <v>-2000</v>
          </cell>
          <cell r="M997">
            <v>-2000</v>
          </cell>
          <cell r="N997">
            <v>-2000</v>
          </cell>
          <cell r="O997">
            <v>-34000</v>
          </cell>
        </row>
        <row r="998">
          <cell r="A998" t="str">
            <v>2320038</v>
          </cell>
          <cell r="B998" t="str">
            <v>AP Plumbing Protect Program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A999" t="str">
            <v>2320039</v>
          </cell>
          <cell r="B999" t="str">
            <v>AP Consignment Liability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0">
          <cell r="A1000" t="str">
            <v>2320040</v>
          </cell>
          <cell r="B1000" t="str">
            <v>AP Misc. Donations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</row>
        <row r="1001">
          <cell r="A1001" t="str">
            <v>2320042</v>
          </cell>
          <cell r="B1001" t="str">
            <v>AP GR/IR Fuel Clearing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</row>
        <row r="1002">
          <cell r="A1002" t="str">
            <v>2320047</v>
          </cell>
          <cell r="B1002" t="str">
            <v>AP Payroll - Dividend Clearing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</row>
        <row r="1003">
          <cell r="A1003" t="str">
            <v>2320050</v>
          </cell>
          <cell r="B1003" t="str">
            <v>AP Manual Accruals FASB52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</row>
        <row r="1004">
          <cell r="A1004" t="str">
            <v>2320105</v>
          </cell>
          <cell r="B1004" t="str">
            <v>AP Employee Expenses - Translation Gain/Loss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</row>
        <row r="1005">
          <cell r="A1005" t="str">
            <v>2320401</v>
          </cell>
          <cell r="B1005" t="str">
            <v>AP LTSA - Polk Unit #1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</row>
        <row r="1006">
          <cell r="A1006" t="str">
            <v>2320402</v>
          </cell>
          <cell r="B1006" t="str">
            <v>AP CSA - Polk Unit #2</v>
          </cell>
          <cell r="C1006">
            <v>0</v>
          </cell>
          <cell r="D1006">
            <v>0</v>
          </cell>
          <cell r="E1006">
            <v>885853</v>
          </cell>
          <cell r="F1006">
            <v>0</v>
          </cell>
          <cell r="G1006">
            <v>0</v>
          </cell>
          <cell r="H1006">
            <v>885853</v>
          </cell>
          <cell r="I1006">
            <v>0</v>
          </cell>
          <cell r="J1006">
            <v>0</v>
          </cell>
          <cell r="K1006">
            <v>885853</v>
          </cell>
          <cell r="L1006">
            <v>0</v>
          </cell>
          <cell r="M1006">
            <v>0</v>
          </cell>
          <cell r="N1006">
            <v>885853</v>
          </cell>
          <cell r="O1006">
            <v>3543412</v>
          </cell>
        </row>
        <row r="1007">
          <cell r="A1007" t="str">
            <v>2320403</v>
          </cell>
          <cell r="B1007" t="str">
            <v>AP CSA - Polk Unit #3</v>
          </cell>
          <cell r="C1007">
            <v>0</v>
          </cell>
          <cell r="D1007">
            <v>0</v>
          </cell>
          <cell r="E1007">
            <v>800694</v>
          </cell>
          <cell r="F1007">
            <v>0</v>
          </cell>
          <cell r="G1007">
            <v>0</v>
          </cell>
          <cell r="H1007">
            <v>800694</v>
          </cell>
          <cell r="I1007">
            <v>0</v>
          </cell>
          <cell r="J1007">
            <v>0</v>
          </cell>
          <cell r="K1007">
            <v>800694</v>
          </cell>
          <cell r="L1007">
            <v>0</v>
          </cell>
          <cell r="M1007">
            <v>0</v>
          </cell>
          <cell r="N1007">
            <v>800694</v>
          </cell>
          <cell r="O1007">
            <v>3202776</v>
          </cell>
        </row>
        <row r="1008">
          <cell r="A1008" t="str">
            <v>2320404</v>
          </cell>
          <cell r="B1008" t="str">
            <v>AP CSA - Polk Unit #4</v>
          </cell>
          <cell r="C1008">
            <v>0</v>
          </cell>
          <cell r="D1008">
            <v>0</v>
          </cell>
          <cell r="E1008">
            <v>72376</v>
          </cell>
          <cell r="F1008">
            <v>0</v>
          </cell>
          <cell r="G1008">
            <v>0</v>
          </cell>
          <cell r="H1008">
            <v>72376</v>
          </cell>
          <cell r="I1008">
            <v>0</v>
          </cell>
          <cell r="J1008">
            <v>0</v>
          </cell>
          <cell r="K1008">
            <v>72376</v>
          </cell>
          <cell r="L1008">
            <v>0</v>
          </cell>
          <cell r="M1008">
            <v>0</v>
          </cell>
          <cell r="N1008">
            <v>72376</v>
          </cell>
          <cell r="O1008">
            <v>289504</v>
          </cell>
        </row>
        <row r="1009">
          <cell r="A1009" t="str">
            <v>2320405</v>
          </cell>
          <cell r="B1009" t="str">
            <v>AP CSA - Polk Unit #5</v>
          </cell>
          <cell r="C1009">
            <v>0</v>
          </cell>
          <cell r="D1009">
            <v>0</v>
          </cell>
          <cell r="E1009">
            <v>154533</v>
          </cell>
          <cell r="F1009">
            <v>0</v>
          </cell>
          <cell r="G1009">
            <v>0</v>
          </cell>
          <cell r="H1009">
            <v>154533</v>
          </cell>
          <cell r="I1009">
            <v>0</v>
          </cell>
          <cell r="J1009">
            <v>0</v>
          </cell>
          <cell r="K1009">
            <v>154533</v>
          </cell>
          <cell r="L1009">
            <v>0</v>
          </cell>
          <cell r="M1009">
            <v>0</v>
          </cell>
          <cell r="N1009">
            <v>154533</v>
          </cell>
          <cell r="O1009">
            <v>618132</v>
          </cell>
        </row>
        <row r="1010">
          <cell r="A1010" t="str">
            <v>2320411</v>
          </cell>
          <cell r="B1010" t="str">
            <v>AP CSA - Bayside #1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</row>
        <row r="1011">
          <cell r="A1011" t="str">
            <v>2320412</v>
          </cell>
          <cell r="B1011" t="str">
            <v>AP CSA - Bayside #2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</row>
        <row r="1012">
          <cell r="A1012" t="str">
            <v>2320999</v>
          </cell>
          <cell r="B1012" t="str">
            <v>AP Legacy Materials &amp; Supplies RNB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</row>
        <row r="1013">
          <cell r="A1013" t="str">
            <v>2330710</v>
          </cell>
          <cell r="B1013" t="str">
            <v>Notes Payable-Intercompany - Current (RECON)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</row>
        <row r="1014">
          <cell r="A1014" t="str">
            <v>2330711</v>
          </cell>
          <cell r="B1014" t="str">
            <v>Notes Payable-Intercompany-Current (Posting)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</row>
        <row r="1015">
          <cell r="A1015" t="str">
            <v>2330712</v>
          </cell>
          <cell r="B1015" t="str">
            <v>Notes Payable-EUSHI Interco-Current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</row>
        <row r="1016">
          <cell r="A1016" t="str">
            <v>2330720</v>
          </cell>
          <cell r="B1016" t="str">
            <v>Notes Payable-Intercompany - NonCurrent (RECON)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</row>
        <row r="1017">
          <cell r="A1017" t="str">
            <v>2330721</v>
          </cell>
          <cell r="B1017" t="str">
            <v>Notes Payable-Intercompany-NonCurrent (Posting)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</row>
        <row r="1018">
          <cell r="A1018" t="str">
            <v>2340700</v>
          </cell>
          <cell r="B1018" t="str">
            <v>Trade Payable-Intercompany (RECON)</v>
          </cell>
          <cell r="C1018">
            <v>4560954.63</v>
          </cell>
          <cell r="D1018">
            <v>4560954.63</v>
          </cell>
          <cell r="E1018">
            <v>4560954.63</v>
          </cell>
          <cell r="F1018">
            <v>4560954.63</v>
          </cell>
          <cell r="G1018">
            <v>4560954.63</v>
          </cell>
          <cell r="H1018">
            <v>4560954.63</v>
          </cell>
          <cell r="I1018">
            <v>4560954.63</v>
          </cell>
          <cell r="J1018">
            <v>4560954.63</v>
          </cell>
          <cell r="K1018">
            <v>4560954.63</v>
          </cell>
          <cell r="L1018">
            <v>4560954.63</v>
          </cell>
          <cell r="M1018">
            <v>4560954.63</v>
          </cell>
          <cell r="N1018">
            <v>4560954.63</v>
          </cell>
          <cell r="O1018">
            <v>54731455.56000001</v>
          </cell>
        </row>
        <row r="1019">
          <cell r="A1019" t="str">
            <v>2340701</v>
          </cell>
          <cell r="B1019" t="str">
            <v>Trade Payable-Intercompany (Posting)</v>
          </cell>
          <cell r="C1019">
            <v>152454.57999999999</v>
          </cell>
          <cell r="D1019">
            <v>152454.57999999999</v>
          </cell>
          <cell r="E1019">
            <v>152454.57999999999</v>
          </cell>
          <cell r="F1019">
            <v>152454.57999999999</v>
          </cell>
          <cell r="G1019">
            <v>152454.57999999999</v>
          </cell>
          <cell r="H1019">
            <v>152454.57999999999</v>
          </cell>
          <cell r="I1019">
            <v>152454.57999999999</v>
          </cell>
          <cell r="J1019">
            <v>152454.57999999999</v>
          </cell>
          <cell r="K1019">
            <v>152454.57999999999</v>
          </cell>
          <cell r="L1019">
            <v>152454.57999999999</v>
          </cell>
          <cell r="M1019">
            <v>152454.57999999999</v>
          </cell>
          <cell r="N1019">
            <v>152454.57999999999</v>
          </cell>
          <cell r="O1019">
            <v>1829454.9600000002</v>
          </cell>
        </row>
        <row r="1020">
          <cell r="A1020" t="str">
            <v>2340703</v>
          </cell>
          <cell r="B1020" t="str">
            <v>Trade Payable-Intercompany FASB52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</row>
        <row r="1021">
          <cell r="A1021" t="str">
            <v>2340710</v>
          </cell>
          <cell r="B1021" t="str">
            <v>Trade Payable-Emera Intercompany (RECON)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</row>
        <row r="1022">
          <cell r="A1022" t="str">
            <v>2340711</v>
          </cell>
          <cell r="B1022" t="str">
            <v>Trade Payable-Emera Intercompany (Posting)</v>
          </cell>
          <cell r="C1022">
            <v>17924176.18</v>
          </cell>
          <cell r="D1022">
            <v>17924176.18</v>
          </cell>
          <cell r="E1022">
            <v>17924176.18</v>
          </cell>
          <cell r="F1022">
            <v>17924176.18</v>
          </cell>
          <cell r="G1022">
            <v>17924176.18</v>
          </cell>
          <cell r="H1022">
            <v>17924176.18</v>
          </cell>
          <cell r="I1022">
            <v>17924176.18</v>
          </cell>
          <cell r="J1022">
            <v>17924176.18</v>
          </cell>
          <cell r="K1022">
            <v>17924176.18</v>
          </cell>
          <cell r="L1022">
            <v>17924176.18</v>
          </cell>
          <cell r="M1022">
            <v>17924176.18</v>
          </cell>
          <cell r="N1022">
            <v>17924176.18</v>
          </cell>
          <cell r="O1022">
            <v>215090114.16000006</v>
          </cell>
        </row>
        <row r="1023">
          <cell r="A1023" t="str">
            <v>2340720</v>
          </cell>
          <cell r="B1023" t="str">
            <v>Trade Payable-Emera Interco on SAP E410 (RECON)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</row>
        <row r="1024">
          <cell r="A1024" t="str">
            <v>2340721</v>
          </cell>
          <cell r="B1024" t="str">
            <v>Trade Payable-Emera Interco on SAP E410 (Posting)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</row>
        <row r="1025">
          <cell r="A1025" t="str">
            <v>2340740</v>
          </cell>
          <cell r="B1025" t="str">
            <v>Interco Payable - CRM - TECO OneBill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</row>
        <row r="1026">
          <cell r="A1026" t="str">
            <v>2340741</v>
          </cell>
          <cell r="B1026" t="str">
            <v>Interco Payable - CRM - TEC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</row>
        <row r="1027">
          <cell r="A1027" t="str">
            <v>2340742</v>
          </cell>
          <cell r="B1027" t="str">
            <v>Interco Payable - CRM - PGS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A1028" t="str">
            <v>2340743</v>
          </cell>
          <cell r="B1028" t="str">
            <v>Interco Payable - CRM - TPI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</row>
        <row r="1029">
          <cell r="A1029" t="str">
            <v>2340799</v>
          </cell>
          <cell r="B1029" t="str">
            <v>Trade Payable-Emera Interco Accruals/Reversals</v>
          </cell>
          <cell r="C1029">
            <v>373546.26</v>
          </cell>
          <cell r="D1029">
            <v>373546.26</v>
          </cell>
          <cell r="E1029">
            <v>373546.26</v>
          </cell>
          <cell r="F1029">
            <v>373546.26</v>
          </cell>
          <cell r="G1029">
            <v>373546.26</v>
          </cell>
          <cell r="H1029">
            <v>373546.26</v>
          </cell>
          <cell r="I1029">
            <v>373546.26</v>
          </cell>
          <cell r="J1029">
            <v>373546.26</v>
          </cell>
          <cell r="K1029">
            <v>373546.26</v>
          </cell>
          <cell r="L1029">
            <v>373546.26</v>
          </cell>
          <cell r="M1029">
            <v>373546.26</v>
          </cell>
          <cell r="N1029">
            <v>373546.26</v>
          </cell>
          <cell r="O1029">
            <v>4482555.1199999992</v>
          </cell>
        </row>
        <row r="1030">
          <cell r="A1030" t="str">
            <v>2350100</v>
          </cell>
          <cell r="B1030" t="str">
            <v>CIS Customer Deposits Short-term</v>
          </cell>
          <cell r="C1030">
            <v>103754116.006304</v>
          </cell>
          <cell r="D1030">
            <v>103797346.887973</v>
          </cell>
          <cell r="E1030">
            <v>103840595.78251</v>
          </cell>
          <cell r="F1030">
            <v>103883862.69742</v>
          </cell>
          <cell r="G1030">
            <v>103927147.64021</v>
          </cell>
          <cell r="H1030">
            <v>103970450.618394</v>
          </cell>
          <cell r="I1030">
            <v>104013771.639485</v>
          </cell>
          <cell r="J1030">
            <v>104057110.71100099</v>
          </cell>
          <cell r="K1030">
            <v>104100467.840464</v>
          </cell>
          <cell r="L1030">
            <v>104143843.03539699</v>
          </cell>
          <cell r="M1030">
            <v>104187236.30332901</v>
          </cell>
          <cell r="N1030">
            <v>104230647.65178899</v>
          </cell>
          <cell r="O1030">
            <v>1247906596.814276</v>
          </cell>
        </row>
        <row r="1031">
          <cell r="A1031" t="str">
            <v>2350110</v>
          </cell>
          <cell r="B1031" t="str">
            <v>Non-CIS Customer Deposits Short-term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</row>
        <row r="1032">
          <cell r="A1032" t="str">
            <v>2350200</v>
          </cell>
          <cell r="B1032" t="str">
            <v>CIS Customer Deposits Long- term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</row>
        <row r="1033">
          <cell r="A1033" t="str">
            <v>2350210</v>
          </cell>
          <cell r="B1033" t="str">
            <v>Non-CIS Customer Deposits Long-term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</row>
        <row r="1034">
          <cell r="A1034" t="str">
            <v>2360310</v>
          </cell>
          <cell r="B1034" t="str">
            <v>Income Tax Pay - Federal Current Year</v>
          </cell>
          <cell r="C1034">
            <v>9881979.0202270001</v>
          </cell>
          <cell r="D1034">
            <v>2152635.6019660002</v>
          </cell>
          <cell r="E1034">
            <v>309707.53670499998</v>
          </cell>
          <cell r="F1034">
            <v>-17317012.790237602</v>
          </cell>
          <cell r="G1034">
            <v>-14012823.8623922</v>
          </cell>
          <cell r="H1034">
            <v>-13143933.7638468</v>
          </cell>
          <cell r="I1034">
            <v>-6131918.7216077996</v>
          </cell>
          <cell r="J1034">
            <v>939661.20563760004</v>
          </cell>
          <cell r="K1034">
            <v>2574263.9139701999</v>
          </cell>
          <cell r="L1034">
            <v>6303076.3127702</v>
          </cell>
          <cell r="M1034">
            <v>6272706.3523701997</v>
          </cell>
          <cell r="N1034">
            <v>-0.9896298</v>
          </cell>
          <cell r="O1034">
            <v>-22171660.184068006</v>
          </cell>
        </row>
        <row r="1035">
          <cell r="A1035" t="str">
            <v>2360311</v>
          </cell>
          <cell r="B1035" t="str">
            <v>Income Tax Pay - Federal Current Year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</row>
        <row r="1036">
          <cell r="A1036" t="str">
            <v>2360320</v>
          </cell>
          <cell r="B1036" t="str">
            <v>Income Tax Pay - Federal Prior Year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</row>
        <row r="1037">
          <cell r="A1037" t="str">
            <v>2360321</v>
          </cell>
          <cell r="B1037" t="str">
            <v>Income Tax Pay - Federal FIN48 - Non-Current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</row>
        <row r="1038">
          <cell r="A1038" t="str">
            <v>2360410</v>
          </cell>
          <cell r="B1038" t="str">
            <v>Income Tax Pay - State Current Year</v>
          </cell>
          <cell r="C1038">
            <v>1338946.3927287001</v>
          </cell>
          <cell r="D1038">
            <v>1338946.3925429001</v>
          </cell>
          <cell r="E1038">
            <v>1338946.3923571999</v>
          </cell>
          <cell r="F1038">
            <v>0.9997028</v>
          </cell>
          <cell r="G1038">
            <v>0.99996289999999999</v>
          </cell>
          <cell r="H1038">
            <v>2.229E-4</v>
          </cell>
          <cell r="I1038">
            <v>3.7200000000000003E-5</v>
          </cell>
          <cell r="J1038">
            <v>2.9720000000000001E-4</v>
          </cell>
          <cell r="K1038">
            <v>-3.3429999999999999E-4</v>
          </cell>
          <cell r="L1038">
            <v>-3.3429999999999999E-4</v>
          </cell>
          <cell r="M1038">
            <v>-3.3429999999999999E-4</v>
          </cell>
          <cell r="N1038">
            <v>-3.3429999999999999E-4</v>
          </cell>
          <cell r="O1038">
            <v>4016841.176514599</v>
          </cell>
        </row>
        <row r="1039">
          <cell r="A1039" t="str">
            <v>2360411</v>
          </cell>
          <cell r="B1039" t="str">
            <v>Income Tax Pay - State FIN48 - Current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</row>
        <row r="1040">
          <cell r="A1040" t="str">
            <v>2360420</v>
          </cell>
          <cell r="B1040" t="str">
            <v>Income Tax Pay - State Prior Year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</row>
        <row r="1041">
          <cell r="A1041" t="str">
            <v>2360421</v>
          </cell>
          <cell r="B1041" t="str">
            <v>Income Tax Pay - State FIN48 - Non-Current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</row>
        <row r="1042">
          <cell r="A1042" t="str">
            <v>2360500</v>
          </cell>
          <cell r="B1042" t="str">
            <v>Income Tax Pay - Foreign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</row>
        <row r="1043">
          <cell r="A1043" t="str">
            <v>2360511</v>
          </cell>
          <cell r="B1043" t="str">
            <v>Income Tax Pay - Foreign FIN48 - Current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</row>
        <row r="1044">
          <cell r="A1044" t="str">
            <v>2360521</v>
          </cell>
          <cell r="B1044" t="str">
            <v>Income Tax Pay - Foreign FIN48 - Non-Current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</row>
        <row r="1045">
          <cell r="A1045" t="str">
            <v>2360600</v>
          </cell>
          <cell r="B1045" t="str">
            <v>Taxes Payable - Unemployment - Federal</v>
          </cell>
          <cell r="C1045">
            <v>95000</v>
          </cell>
          <cell r="D1045">
            <v>5000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100000</v>
          </cell>
        </row>
        <row r="1046">
          <cell r="A1046" t="str">
            <v>2360601</v>
          </cell>
          <cell r="B1046" t="str">
            <v>Taxes Payable - Unemployment - State</v>
          </cell>
          <cell r="C1046">
            <v>12000</v>
          </cell>
          <cell r="D1046">
            <v>4000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16000</v>
          </cell>
        </row>
        <row r="1047">
          <cell r="A1047" t="str">
            <v>2360602</v>
          </cell>
          <cell r="B1047" t="str">
            <v>Taxes Payable - Regulatory Assessment Fee</v>
          </cell>
          <cell r="C1047">
            <v>107000</v>
          </cell>
          <cell r="D1047">
            <v>207000</v>
          </cell>
          <cell r="E1047">
            <v>305000</v>
          </cell>
          <cell r="F1047">
            <v>408000</v>
          </cell>
          <cell r="G1047">
            <v>522000</v>
          </cell>
          <cell r="H1047">
            <v>654000</v>
          </cell>
          <cell r="I1047">
            <v>138000</v>
          </cell>
          <cell r="J1047">
            <v>275000</v>
          </cell>
          <cell r="K1047">
            <v>418000</v>
          </cell>
          <cell r="L1047">
            <v>548000</v>
          </cell>
          <cell r="M1047">
            <v>658000</v>
          </cell>
          <cell r="N1047">
            <v>762000</v>
          </cell>
          <cell r="O1047">
            <v>5002000</v>
          </cell>
        </row>
        <row r="1048">
          <cell r="A1048" t="str">
            <v>2360603</v>
          </cell>
          <cell r="B1048" t="str">
            <v>Taxes Payable - Gross Receipts Tax</v>
          </cell>
          <cell r="C1048">
            <v>3614000</v>
          </cell>
          <cell r="D1048">
            <v>3354000</v>
          </cell>
          <cell r="E1048">
            <v>3292000</v>
          </cell>
          <cell r="F1048">
            <v>3468000</v>
          </cell>
          <cell r="G1048">
            <v>3853000</v>
          </cell>
          <cell r="H1048">
            <v>4484000</v>
          </cell>
          <cell r="I1048">
            <v>4682000</v>
          </cell>
          <cell r="J1048">
            <v>4650000</v>
          </cell>
          <cell r="K1048">
            <v>4856000</v>
          </cell>
          <cell r="L1048">
            <v>4397000</v>
          </cell>
          <cell r="M1048">
            <v>3689000</v>
          </cell>
          <cell r="N1048">
            <v>3503000</v>
          </cell>
          <cell r="O1048">
            <v>47842000</v>
          </cell>
        </row>
        <row r="1049">
          <cell r="A1049" t="str">
            <v>2360604</v>
          </cell>
          <cell r="B1049" t="str">
            <v>Taxes Payable - Property Tax</v>
          </cell>
          <cell r="C1049">
            <v>5799000</v>
          </cell>
          <cell r="D1049">
            <v>11598000</v>
          </cell>
          <cell r="E1049">
            <v>17397000</v>
          </cell>
          <cell r="F1049">
            <v>23196000</v>
          </cell>
          <cell r="G1049">
            <v>28995000</v>
          </cell>
          <cell r="H1049">
            <v>34794000</v>
          </cell>
          <cell r="I1049">
            <v>40593000</v>
          </cell>
          <cell r="J1049">
            <v>46392000</v>
          </cell>
          <cell r="K1049">
            <v>52191000</v>
          </cell>
          <cell r="L1049">
            <v>57990000</v>
          </cell>
          <cell r="M1049">
            <v>-5799000</v>
          </cell>
          <cell r="N1049">
            <v>0</v>
          </cell>
          <cell r="O1049">
            <v>313146000</v>
          </cell>
        </row>
        <row r="1050">
          <cell r="A1050" t="str">
            <v>2360605</v>
          </cell>
          <cell r="B1050" t="str">
            <v>Taxes Payable - Franchise Fees</v>
          </cell>
          <cell r="C1050">
            <v>3665000</v>
          </cell>
          <cell r="D1050">
            <v>3412000</v>
          </cell>
          <cell r="E1050">
            <v>3353000</v>
          </cell>
          <cell r="F1050">
            <v>3525000</v>
          </cell>
          <cell r="G1050">
            <v>3899000</v>
          </cell>
          <cell r="H1050">
            <v>4514000</v>
          </cell>
          <cell r="I1050">
            <v>4707000</v>
          </cell>
          <cell r="J1050">
            <v>4676000</v>
          </cell>
          <cell r="K1050">
            <v>4877000</v>
          </cell>
          <cell r="L1050">
            <v>4430000</v>
          </cell>
          <cell r="M1050">
            <v>3742000</v>
          </cell>
          <cell r="N1050">
            <v>3561000</v>
          </cell>
          <cell r="O1050">
            <v>48361000</v>
          </cell>
        </row>
        <row r="1051">
          <cell r="A1051" t="str">
            <v>2360606</v>
          </cell>
          <cell r="B1051" t="str">
            <v>Taxes Payable - Federal Excise Tax</v>
          </cell>
          <cell r="C1051">
            <v>0</v>
          </cell>
          <cell r="D1051">
            <v>2000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8000</v>
          </cell>
          <cell r="K1051">
            <v>0</v>
          </cell>
          <cell r="L1051">
            <v>0</v>
          </cell>
          <cell r="M1051">
            <v>1000</v>
          </cell>
          <cell r="N1051">
            <v>0</v>
          </cell>
          <cell r="O1051">
            <v>11000</v>
          </cell>
        </row>
        <row r="1052">
          <cell r="A1052" t="str">
            <v>2360620</v>
          </cell>
          <cell r="B1052" t="str">
            <v>Taxes Payable - FICA Employr</v>
          </cell>
          <cell r="C1052">
            <v>598865.86859289999</v>
          </cell>
          <cell r="D1052">
            <v>371863.71960399998</v>
          </cell>
          <cell r="E1052">
            <v>424757.48161870003</v>
          </cell>
          <cell r="F1052">
            <v>421869.19998470001</v>
          </cell>
          <cell r="G1052">
            <v>408221.11683349998</v>
          </cell>
          <cell r="H1052">
            <v>430065.98121469998</v>
          </cell>
          <cell r="I1052">
            <v>441832.76518689998</v>
          </cell>
          <cell r="J1052">
            <v>426102.67491310003</v>
          </cell>
          <cell r="K1052">
            <v>439578.046294</v>
          </cell>
          <cell r="L1052">
            <v>428189.21091620001</v>
          </cell>
          <cell r="M1052">
            <v>425256.5076134</v>
          </cell>
          <cell r="N1052">
            <v>675305.20574110001</v>
          </cell>
          <cell r="O1052">
            <v>5491907.7785131996</v>
          </cell>
        </row>
        <row r="1053">
          <cell r="A1053" t="str">
            <v>2360621</v>
          </cell>
          <cell r="B1053" t="str">
            <v>Taxes Payable - State Workers Comp Employer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</row>
        <row r="1054">
          <cell r="A1054" t="str">
            <v>2360690</v>
          </cell>
          <cell r="B1054" t="str">
            <v>Taxes Payable - Stamp Tax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</row>
        <row r="1055">
          <cell r="A1055" t="str">
            <v>2360800</v>
          </cell>
          <cell r="B1055" t="str">
            <v>Taxes Payable - Other</v>
          </cell>
          <cell r="C1055">
            <v>15000</v>
          </cell>
          <cell r="D1055">
            <v>23000</v>
          </cell>
          <cell r="E1055">
            <v>15000</v>
          </cell>
          <cell r="F1055">
            <v>15000</v>
          </cell>
          <cell r="G1055">
            <v>15000</v>
          </cell>
          <cell r="H1055">
            <v>15000</v>
          </cell>
          <cell r="I1055">
            <v>15000</v>
          </cell>
          <cell r="J1055">
            <v>23000</v>
          </cell>
          <cell r="K1055">
            <v>33000</v>
          </cell>
          <cell r="L1055">
            <v>15000</v>
          </cell>
          <cell r="M1055">
            <v>16000</v>
          </cell>
          <cell r="N1055">
            <v>15000</v>
          </cell>
          <cell r="O1055">
            <v>215000</v>
          </cell>
        </row>
        <row r="1056">
          <cell r="A1056" t="str">
            <v>2370110</v>
          </cell>
          <cell r="B1056" t="str">
            <v>Interest Payable - FIN48 - Current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</row>
        <row r="1057">
          <cell r="A1057" t="str">
            <v>2370210</v>
          </cell>
          <cell r="B1057" t="str">
            <v>Interest Payable - FIN48 - Non-Current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</row>
        <row r="1058">
          <cell r="A1058" t="str">
            <v>2370300</v>
          </cell>
          <cell r="B1058" t="str">
            <v>Interest Accrued on Customer Deposits</v>
          </cell>
          <cell r="C1058">
            <v>280975.13828999997</v>
          </cell>
          <cell r="D1058">
            <v>476613.50242700003</v>
          </cell>
          <cell r="E1058">
            <v>672339.94349910005</v>
          </cell>
          <cell r="F1058">
            <v>868154.49820489995</v>
          </cell>
          <cell r="G1058">
            <v>1064057.2032584001</v>
          </cell>
          <cell r="H1058">
            <v>1260048.0953889999</v>
          </cell>
          <cell r="I1058">
            <v>1456127.2113413</v>
          </cell>
          <cell r="J1058">
            <v>1652294.5878752</v>
          </cell>
          <cell r="K1058">
            <v>1848550.261766</v>
          </cell>
          <cell r="L1058">
            <v>2044894.2698041999</v>
          </cell>
          <cell r="M1058">
            <v>2241326.6487956</v>
          </cell>
          <cell r="N1058">
            <v>85852.918663300006</v>
          </cell>
          <cell r="O1058">
            <v>13951234.279314</v>
          </cell>
        </row>
        <row r="1059">
          <cell r="A1059" t="str">
            <v>2370350</v>
          </cell>
          <cell r="B1059" t="str">
            <v>Interest Accrued on Credit Facility</v>
          </cell>
          <cell r="C1059">
            <v>651492.9</v>
          </cell>
          <cell r="D1059">
            <v>410820.4</v>
          </cell>
          <cell r="E1059">
            <v>169706.7</v>
          </cell>
          <cell r="F1059">
            <v>194711.45</v>
          </cell>
          <cell r="G1059">
            <v>263764.95</v>
          </cell>
          <cell r="H1059">
            <v>345806.7</v>
          </cell>
          <cell r="I1059">
            <v>372324.95</v>
          </cell>
          <cell r="J1059">
            <v>358313.2</v>
          </cell>
          <cell r="K1059">
            <v>346221.2</v>
          </cell>
          <cell r="L1059">
            <v>338325.2</v>
          </cell>
          <cell r="M1059">
            <v>294117.95</v>
          </cell>
          <cell r="N1059">
            <v>267729.45</v>
          </cell>
          <cell r="O1059">
            <v>4013335.0500000007</v>
          </cell>
        </row>
        <row r="1060">
          <cell r="A1060" t="str">
            <v>2370400</v>
          </cell>
          <cell r="B1060" t="str">
            <v>Interest Accrued Long Term Debt</v>
          </cell>
          <cell r="C1060">
            <v>21239518.52</v>
          </cell>
          <cell r="D1060">
            <v>31574284.135000002</v>
          </cell>
          <cell r="E1060">
            <v>39625716.414999999</v>
          </cell>
          <cell r="F1060">
            <v>50602148.695</v>
          </cell>
          <cell r="G1060">
            <v>29632969.114999998</v>
          </cell>
          <cell r="H1060">
            <v>10623906.635</v>
          </cell>
          <cell r="I1060">
            <v>20557552.475000001</v>
          </cell>
          <cell r="J1060">
            <v>30491198.315000001</v>
          </cell>
          <cell r="K1060">
            <v>37499844.155000001</v>
          </cell>
          <cell r="L1060">
            <v>47433489.994999997</v>
          </cell>
          <cell r="M1060">
            <v>32532969.170000002</v>
          </cell>
          <cell r="N1060">
            <v>10957240.01</v>
          </cell>
          <cell r="O1060">
            <v>362770837.63499999</v>
          </cell>
        </row>
        <row r="1061">
          <cell r="A1061" t="str">
            <v>2370710</v>
          </cell>
          <cell r="B1061" t="str">
            <v>Interest Payable-Intercompany (RECON)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</row>
        <row r="1062">
          <cell r="A1062" t="str">
            <v>2370711</v>
          </cell>
          <cell r="B1062" t="str">
            <v>Interest Payable-Intercompany (Posting)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</row>
        <row r="1063">
          <cell r="A1063" t="str">
            <v>2370800</v>
          </cell>
          <cell r="B1063" t="str">
            <v>Interest Accrued Miscellaneous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</row>
        <row r="1064">
          <cell r="A1064" t="str">
            <v>2380000</v>
          </cell>
          <cell r="B1064" t="str">
            <v>Dividends Declared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</row>
        <row r="1065">
          <cell r="A1065" t="str">
            <v>2380720</v>
          </cell>
          <cell r="B1065" t="str">
            <v>Dividend Payable-Intercompany (RECON)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</row>
        <row r="1066">
          <cell r="A1066" t="str">
            <v>2380721</v>
          </cell>
          <cell r="B1066" t="str">
            <v>Dividend Payable-Intercompany (Posting)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A1067" t="str">
            <v>2410000</v>
          </cell>
          <cell r="B1067" t="str">
            <v>Taxes Payable - Sales Use Tax (CIS)</v>
          </cell>
          <cell r="C1067">
            <v>230000</v>
          </cell>
          <cell r="D1067">
            <v>216000</v>
          </cell>
          <cell r="E1067">
            <v>220000</v>
          </cell>
          <cell r="F1067">
            <v>220000</v>
          </cell>
          <cell r="G1067">
            <v>245000</v>
          </cell>
          <cell r="H1067">
            <v>276000</v>
          </cell>
          <cell r="I1067">
            <v>289000</v>
          </cell>
          <cell r="J1067">
            <v>295000</v>
          </cell>
          <cell r="K1067">
            <v>308000</v>
          </cell>
          <cell r="L1067">
            <v>277000</v>
          </cell>
          <cell r="M1067">
            <v>246000</v>
          </cell>
          <cell r="N1067">
            <v>239000</v>
          </cell>
          <cell r="O1067">
            <v>3061000</v>
          </cell>
        </row>
        <row r="1068">
          <cell r="A1068" t="str">
            <v>2410005</v>
          </cell>
          <cell r="B1068" t="str">
            <v>Taxes Payable - Sales Surtax (CIS)</v>
          </cell>
          <cell r="C1068">
            <v>598000</v>
          </cell>
          <cell r="D1068">
            <v>562000</v>
          </cell>
          <cell r="E1068">
            <v>571000</v>
          </cell>
          <cell r="F1068">
            <v>572000</v>
          </cell>
          <cell r="G1068">
            <v>637000</v>
          </cell>
          <cell r="H1068">
            <v>718000</v>
          </cell>
          <cell r="I1068">
            <v>750000</v>
          </cell>
          <cell r="J1068">
            <v>766000</v>
          </cell>
          <cell r="K1068">
            <v>800000</v>
          </cell>
          <cell r="L1068">
            <v>719000</v>
          </cell>
          <cell r="M1068">
            <v>640000</v>
          </cell>
          <cell r="N1068">
            <v>621000</v>
          </cell>
          <cell r="O1068">
            <v>7954000</v>
          </cell>
        </row>
        <row r="1069">
          <cell r="A1069" t="str">
            <v>2410019</v>
          </cell>
          <cell r="B1069" t="str">
            <v>AP - VAT Liability - Translation Gain/Loss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</row>
        <row r="1070">
          <cell r="A1070" t="str">
            <v>2410020</v>
          </cell>
          <cell r="B1070" t="str">
            <v>Taxes Payable - VAT Liability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</row>
        <row r="1071">
          <cell r="A1071" t="str">
            <v>2410021</v>
          </cell>
          <cell r="B1071" t="str">
            <v>Taxes Payable - VAT Special Invoices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</row>
        <row r="1072">
          <cell r="A1072" t="str">
            <v>2410022</v>
          </cell>
          <cell r="B1072" t="str">
            <v>AP - VAT Special Invoices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</row>
        <row r="1073">
          <cell r="A1073" t="str">
            <v>2410023</v>
          </cell>
          <cell r="B1073" t="str">
            <v>AP - VAT Special Invoices - Translation Gain/Loss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</row>
        <row r="1074">
          <cell r="A1074" t="str">
            <v>2410030</v>
          </cell>
          <cell r="B1074" t="str">
            <v>AP - Withholding Taxes Local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</row>
        <row r="1075">
          <cell r="A1075" t="str">
            <v>2410040</v>
          </cell>
          <cell r="B1075" t="str">
            <v>AP - Withholding Taxes Foreign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</row>
        <row r="1076">
          <cell r="A1076" t="str">
            <v>2410300</v>
          </cell>
          <cell r="B1076" t="str">
            <v>Taxes Payable - Sales and Use Tax (AP)</v>
          </cell>
          <cell r="C1076">
            <v>904000</v>
          </cell>
          <cell r="D1076">
            <v>849000</v>
          </cell>
          <cell r="E1076">
            <v>863000</v>
          </cell>
          <cell r="F1076">
            <v>865000</v>
          </cell>
          <cell r="G1076">
            <v>963000</v>
          </cell>
          <cell r="H1076">
            <v>1086000</v>
          </cell>
          <cell r="I1076">
            <v>1134000</v>
          </cell>
          <cell r="J1076">
            <v>1158000</v>
          </cell>
          <cell r="K1076">
            <v>1210000</v>
          </cell>
          <cell r="L1076">
            <v>1087000</v>
          </cell>
          <cell r="M1076">
            <v>968000</v>
          </cell>
          <cell r="N1076">
            <v>939000</v>
          </cell>
          <cell r="O1076">
            <v>12026000</v>
          </cell>
        </row>
        <row r="1077">
          <cell r="A1077" t="str">
            <v>2410305</v>
          </cell>
          <cell r="B1077" t="str">
            <v>Taxes Payable - Sales Surtax (AP)</v>
          </cell>
          <cell r="C1077">
            <v>283000</v>
          </cell>
          <cell r="D1077">
            <v>266000</v>
          </cell>
          <cell r="E1077">
            <v>270000</v>
          </cell>
          <cell r="F1077">
            <v>271000</v>
          </cell>
          <cell r="G1077">
            <v>301000</v>
          </cell>
          <cell r="H1077">
            <v>340000</v>
          </cell>
          <cell r="I1077">
            <v>355000</v>
          </cell>
          <cell r="J1077">
            <v>362000</v>
          </cell>
          <cell r="K1077">
            <v>379000</v>
          </cell>
          <cell r="L1077">
            <v>340000</v>
          </cell>
          <cell r="M1077">
            <v>303000</v>
          </cell>
          <cell r="N1077">
            <v>294000</v>
          </cell>
          <cell r="O1077">
            <v>3764000</v>
          </cell>
        </row>
        <row r="1078">
          <cell r="A1078" t="str">
            <v>2410310</v>
          </cell>
          <cell r="B1078" t="str">
            <v>Taxes Payable - Utility Tax</v>
          </cell>
          <cell r="C1078">
            <v>4179000</v>
          </cell>
          <cell r="D1078">
            <v>3924000</v>
          </cell>
          <cell r="E1078">
            <v>3987000</v>
          </cell>
          <cell r="F1078">
            <v>3995000</v>
          </cell>
          <cell r="G1078">
            <v>4449000</v>
          </cell>
          <cell r="H1078">
            <v>5016000</v>
          </cell>
          <cell r="I1078">
            <v>5240000</v>
          </cell>
          <cell r="J1078">
            <v>5350000</v>
          </cell>
          <cell r="K1078">
            <v>5592000</v>
          </cell>
          <cell r="L1078">
            <v>5020000</v>
          </cell>
          <cell r="M1078">
            <v>4472000</v>
          </cell>
          <cell r="N1078">
            <v>4337000</v>
          </cell>
          <cell r="O1078">
            <v>55561000</v>
          </cell>
        </row>
        <row r="1079">
          <cell r="A1079" t="str">
            <v>2410320</v>
          </cell>
          <cell r="B1079" t="str">
            <v>Taxes Payable - FICA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</row>
        <row r="1080">
          <cell r="A1080" t="str">
            <v>2410321</v>
          </cell>
          <cell r="B1080" t="str">
            <v>Taxes Payable - State Workers Comp Employee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</row>
        <row r="1081">
          <cell r="A1081" t="str">
            <v>2410330</v>
          </cell>
          <cell r="B1081" t="str">
            <v>Taxes Payable - FIT Withholding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</row>
        <row r="1082">
          <cell r="A1082" t="str">
            <v>2410430</v>
          </cell>
          <cell r="B1082" t="str">
            <v>Taxes Payable - SIT Withholding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</row>
        <row r="1083">
          <cell r="A1083" t="str">
            <v>2410603</v>
          </cell>
          <cell r="B1083" t="str">
            <v>Taxes Payable  Gross Receipts (AP)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</row>
        <row r="1084">
          <cell r="A1084" t="str">
            <v>2410605</v>
          </cell>
          <cell r="B1084" t="str">
            <v>Taxes Payable  Franchise Fees (AP)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</row>
        <row r="1085">
          <cell r="A1085" t="str">
            <v>2420100</v>
          </cell>
          <cell r="B1085" t="str">
            <v>Pension Liability - Current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</row>
        <row r="1086">
          <cell r="A1086" t="str">
            <v>2420101</v>
          </cell>
          <cell r="B1086" t="str">
            <v>Pension Liability FAS158 - Current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</row>
        <row r="1087">
          <cell r="A1087" t="str">
            <v>2420110</v>
          </cell>
          <cell r="B1087" t="str">
            <v>SERP Liability - Current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</row>
        <row r="1088">
          <cell r="A1088" t="str">
            <v>2420111</v>
          </cell>
          <cell r="B1088" t="str">
            <v>SERP Liability FAS158 - Current</v>
          </cell>
          <cell r="C1088">
            <v>303627</v>
          </cell>
          <cell r="D1088">
            <v>303627</v>
          </cell>
          <cell r="E1088">
            <v>303627</v>
          </cell>
          <cell r="F1088">
            <v>303627</v>
          </cell>
          <cell r="G1088">
            <v>303627</v>
          </cell>
          <cell r="H1088">
            <v>303627</v>
          </cell>
          <cell r="I1088">
            <v>303627</v>
          </cell>
          <cell r="J1088">
            <v>303627</v>
          </cell>
          <cell r="K1088">
            <v>303627</v>
          </cell>
          <cell r="L1088">
            <v>303627</v>
          </cell>
          <cell r="M1088">
            <v>303627</v>
          </cell>
          <cell r="N1088">
            <v>303627</v>
          </cell>
          <cell r="O1088">
            <v>3643524</v>
          </cell>
        </row>
        <row r="1089">
          <cell r="A1089" t="str">
            <v>2420121</v>
          </cell>
          <cell r="B1089" t="str">
            <v>Resotration Benefit Plan Liability FAS158 - Current</v>
          </cell>
          <cell r="C1089">
            <v>10805.5</v>
          </cell>
          <cell r="D1089">
            <v>10805.5</v>
          </cell>
          <cell r="E1089">
            <v>10805.5</v>
          </cell>
          <cell r="F1089">
            <v>10805.5</v>
          </cell>
          <cell r="G1089">
            <v>10805.5</v>
          </cell>
          <cell r="H1089">
            <v>10805.5</v>
          </cell>
          <cell r="I1089">
            <v>10805.5</v>
          </cell>
          <cell r="J1089">
            <v>10805.5</v>
          </cell>
          <cell r="K1089">
            <v>10805.5</v>
          </cell>
          <cell r="L1089">
            <v>10805.5</v>
          </cell>
          <cell r="M1089">
            <v>10805.5</v>
          </cell>
          <cell r="N1089">
            <v>10805.5</v>
          </cell>
          <cell r="O1089">
            <v>129666</v>
          </cell>
        </row>
        <row r="1090">
          <cell r="A1090" t="str">
            <v>2420131</v>
          </cell>
          <cell r="B1090" t="str">
            <v>FAS106 Liability FAS158 - Current</v>
          </cell>
          <cell r="C1090">
            <v>10635921</v>
          </cell>
          <cell r="D1090">
            <v>10635921</v>
          </cell>
          <cell r="E1090">
            <v>10635921</v>
          </cell>
          <cell r="F1090">
            <v>10635921</v>
          </cell>
          <cell r="G1090">
            <v>10635921</v>
          </cell>
          <cell r="H1090">
            <v>10635921</v>
          </cell>
          <cell r="I1090">
            <v>10635921</v>
          </cell>
          <cell r="J1090">
            <v>10635921</v>
          </cell>
          <cell r="K1090">
            <v>10635921</v>
          </cell>
          <cell r="L1090">
            <v>10635921</v>
          </cell>
          <cell r="M1090">
            <v>10635921</v>
          </cell>
          <cell r="N1090">
            <v>10635921</v>
          </cell>
          <cell r="O1090">
            <v>127631052</v>
          </cell>
        </row>
        <row r="1091">
          <cell r="A1091" t="str">
            <v>2420140</v>
          </cell>
          <cell r="B1091" t="str">
            <v>Misc Accru Liab-System Balancing Account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</row>
        <row r="1092">
          <cell r="A1092" t="str">
            <v>2420150</v>
          </cell>
          <cell r="B1092" t="str">
            <v>Accrued ROW Amortization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</row>
        <row r="1093">
          <cell r="A1093" t="str">
            <v>2420170</v>
          </cell>
          <cell r="B1093" t="str">
            <v>Misc Accrued Liab - Regulatory Related Current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</row>
        <row r="1094">
          <cell r="A1094" t="str">
            <v>2420190</v>
          </cell>
          <cell r="B1094" t="str">
            <v>Misc Accru Liab-Assets Held for Sale - Current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</row>
        <row r="1095">
          <cell r="A1095" t="str">
            <v>2420191</v>
          </cell>
          <cell r="B1095" t="str">
            <v>LT Incentive - Current</v>
          </cell>
          <cell r="C1095">
            <v>8109232.6299999999</v>
          </cell>
          <cell r="D1095">
            <v>0</v>
          </cell>
          <cell r="E1095">
            <v>5017221.3500205996</v>
          </cell>
          <cell r="F1095">
            <v>5017221.3500205996</v>
          </cell>
          <cell r="G1095">
            <v>5017221.3500205996</v>
          </cell>
          <cell r="H1095">
            <v>5559974.0604943996</v>
          </cell>
          <cell r="I1095">
            <v>5559974.0604943996</v>
          </cell>
          <cell r="J1095">
            <v>5559974.0604943996</v>
          </cell>
          <cell r="K1095">
            <v>6102726.7709681001</v>
          </cell>
          <cell r="L1095">
            <v>6102726.7709681001</v>
          </cell>
          <cell r="M1095">
            <v>6102726.7709681001</v>
          </cell>
          <cell r="N1095">
            <v>6645479.4814419001</v>
          </cell>
          <cell r="O1095">
            <v>64794478.655891202</v>
          </cell>
        </row>
        <row r="1096">
          <cell r="A1096" t="str">
            <v>2420192</v>
          </cell>
          <cell r="B1096" t="str">
            <v>Deferred Compensation - Current</v>
          </cell>
          <cell r="C1096">
            <v>3087861.3410681002</v>
          </cell>
          <cell r="D1096">
            <v>3087861.3410681002</v>
          </cell>
          <cell r="E1096">
            <v>3242121.0361760999</v>
          </cell>
          <cell r="F1096">
            <v>3242121.0361760999</v>
          </cell>
          <cell r="G1096">
            <v>3242121.0361760999</v>
          </cell>
          <cell r="H1096">
            <v>3396380.7312841001</v>
          </cell>
          <cell r="I1096">
            <v>3396380.7312841001</v>
          </cell>
          <cell r="J1096">
            <v>3396380.7312841001</v>
          </cell>
          <cell r="K1096">
            <v>3550640.4263920998</v>
          </cell>
          <cell r="L1096">
            <v>3550640.4263920998</v>
          </cell>
          <cell r="M1096">
            <v>3550640.4263920998</v>
          </cell>
          <cell r="N1096">
            <v>3704900.1215001</v>
          </cell>
          <cell r="O1096">
            <v>40448049.385193199</v>
          </cell>
        </row>
        <row r="1097">
          <cell r="A1097" t="str">
            <v>2420199</v>
          </cell>
          <cell r="B1097" t="str">
            <v>Current Miscellaneous Liabilities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A1098" t="str">
            <v>2420290</v>
          </cell>
          <cell r="B1098" t="str">
            <v>Misc Accru Liab - Assets Held for Sale - Non-Current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</row>
        <row r="1099">
          <cell r="A1099" t="str">
            <v>2420300</v>
          </cell>
          <cell r="B1099" t="str">
            <v>Misc Accru Liab-Vacation Liability</v>
          </cell>
          <cell r="C1099">
            <v>24972766.666666701</v>
          </cell>
          <cell r="D1099">
            <v>25013933.333333299</v>
          </cell>
          <cell r="E1099">
            <v>25055100</v>
          </cell>
          <cell r="F1099">
            <v>25096266.666666701</v>
          </cell>
          <cell r="G1099">
            <v>25137433.333333299</v>
          </cell>
          <cell r="H1099">
            <v>25178600</v>
          </cell>
          <cell r="I1099">
            <v>25219766.666666701</v>
          </cell>
          <cell r="J1099">
            <v>25260933.333333299</v>
          </cell>
          <cell r="K1099">
            <v>25302100</v>
          </cell>
          <cell r="L1099">
            <v>25343266.666666701</v>
          </cell>
          <cell r="M1099">
            <v>25384433.333333299</v>
          </cell>
          <cell r="N1099">
            <v>25295600</v>
          </cell>
          <cell r="O1099">
            <v>302260200</v>
          </cell>
        </row>
        <row r="1100">
          <cell r="A1100" t="str">
            <v>2420310</v>
          </cell>
          <cell r="B1100" t="str">
            <v>Misc Accru Liab-Cashier Over/Short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</row>
        <row r="1101">
          <cell r="A1101" t="str">
            <v>2420320</v>
          </cell>
          <cell r="B1101" t="str">
            <v>Misc Accru Liab-Unclaimed Funds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</row>
        <row r="1102">
          <cell r="A1102" t="str">
            <v>2420321</v>
          </cell>
          <cell r="B1102" t="str">
            <v>Misc Accru Liab-PGS MGP Environmental Liability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</row>
        <row r="1103">
          <cell r="A1103" t="str">
            <v>2420340</v>
          </cell>
          <cell r="B1103" t="str">
            <v>Misc Accru Liab-Provision for Revenue Stipulation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A1104" t="str">
            <v>2420800</v>
          </cell>
          <cell r="B1104" t="str">
            <v>Misc Accru Liab-Miscellaneous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A1105" t="str">
            <v>2430100</v>
          </cell>
          <cell r="B1105" t="str">
            <v>Short Term Lease Liability -Operating Lease</v>
          </cell>
          <cell r="C1105">
            <v>1758963.92</v>
          </cell>
          <cell r="D1105">
            <v>1752455.31</v>
          </cell>
          <cell r="E1105">
            <v>1745930.86</v>
          </cell>
          <cell r="F1105">
            <v>1741365.4</v>
          </cell>
          <cell r="G1105">
            <v>1736791.36</v>
          </cell>
          <cell r="H1105">
            <v>1732208.73</v>
          </cell>
          <cell r="I1105">
            <v>1727632.25</v>
          </cell>
          <cell r="J1105">
            <v>1723047.23</v>
          </cell>
          <cell r="K1105">
            <v>1718453.64</v>
          </cell>
          <cell r="L1105">
            <v>1713851.49</v>
          </cell>
          <cell r="M1105">
            <v>1722207.68</v>
          </cell>
          <cell r="N1105">
            <v>1730591.91</v>
          </cell>
          <cell r="O1105">
            <v>20803499.780000001</v>
          </cell>
        </row>
        <row r="1106">
          <cell r="A1106" t="str">
            <v>2450100</v>
          </cell>
          <cell r="B1106" t="str">
            <v>Current Derivative Liability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</row>
        <row r="1107">
          <cell r="A1107" t="str">
            <v>2450120</v>
          </cell>
          <cell r="B1107" t="str">
            <v>Current Derivative Liability - Collateral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</row>
        <row r="1108">
          <cell r="A1108" t="str">
            <v>2450200</v>
          </cell>
          <cell r="B1108" t="str">
            <v>Long-Term Derivative Liability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</row>
        <row r="1109">
          <cell r="A1109" t="str">
            <v>2450700</v>
          </cell>
          <cell r="B1109" t="str">
            <v>Current Derivative Liab-Intercompany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A1110" t="str">
            <v>2450720</v>
          </cell>
          <cell r="B1110" t="str">
            <v>Non-Current Derivative Liab-Intercompany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</row>
        <row r="1111">
          <cell r="A1111" t="str">
            <v>2520000</v>
          </cell>
          <cell r="B1111" t="str">
            <v>Customer Advances for Construction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</row>
        <row r="1112">
          <cell r="A1112" t="str">
            <v>2530110</v>
          </cell>
          <cell r="B1112" t="str">
            <v>Oth Defd CR-Penalty Liability-FIN 48 - Current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</row>
        <row r="1113">
          <cell r="A1113" t="str">
            <v>2530120</v>
          </cell>
          <cell r="B1113" t="str">
            <v>Deferred Revenue -Contract Liability - Current</v>
          </cell>
          <cell r="C1113">
            <v>1751439.5033332999</v>
          </cell>
          <cell r="D1113">
            <v>1603131.1366667</v>
          </cell>
          <cell r="E1113">
            <v>1454822.77</v>
          </cell>
          <cell r="F1113">
            <v>1306514.4033333</v>
          </cell>
          <cell r="G1113">
            <v>1158206.0366666999</v>
          </cell>
          <cell r="H1113">
            <v>1009897.67</v>
          </cell>
          <cell r="I1113">
            <v>861589.30333330005</v>
          </cell>
          <cell r="J1113">
            <v>713280.93666670006</v>
          </cell>
          <cell r="K1113">
            <v>564972.56999999995</v>
          </cell>
          <cell r="L1113">
            <v>416664.20333330001</v>
          </cell>
          <cell r="M1113">
            <v>268355.83666670002</v>
          </cell>
          <cell r="N1113">
            <v>120047.47</v>
          </cell>
          <cell r="O1113">
            <v>11228921.839999998</v>
          </cell>
        </row>
        <row r="1114">
          <cell r="A1114" t="str">
            <v>2530130</v>
          </cell>
          <cell r="B1114" t="str">
            <v>Contract Retentions - Current (Posting)</v>
          </cell>
          <cell r="C1114">
            <v>15000000</v>
          </cell>
          <cell r="D1114">
            <v>15000000</v>
          </cell>
          <cell r="E1114">
            <v>15000000</v>
          </cell>
          <cell r="F1114">
            <v>15000000</v>
          </cell>
          <cell r="G1114">
            <v>15000000</v>
          </cell>
          <cell r="H1114">
            <v>15000000</v>
          </cell>
          <cell r="I1114">
            <v>15000000</v>
          </cell>
          <cell r="J1114">
            <v>15000000</v>
          </cell>
          <cell r="K1114">
            <v>15000000</v>
          </cell>
          <cell r="L1114">
            <v>15000000</v>
          </cell>
          <cell r="M1114">
            <v>15000000</v>
          </cell>
          <cell r="N1114">
            <v>15000000</v>
          </cell>
          <cell r="O1114">
            <v>180000000</v>
          </cell>
        </row>
        <row r="1115">
          <cell r="A1115" t="str">
            <v>2530210</v>
          </cell>
          <cell r="B1115" t="str">
            <v>Oth Defd CR-Penalty Liability-FIN 48 - Non-Current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</row>
        <row r="1116">
          <cell r="A1116" t="str">
            <v>2530299</v>
          </cell>
          <cell r="B1116" t="str">
            <v>Oth Defd CR-Contract Retentions (RECON)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</row>
        <row r="1117">
          <cell r="A1117" t="str">
            <v>2530300</v>
          </cell>
          <cell r="B1117" t="str">
            <v>Oth Defd CR-Contract Retentions (Posting)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</row>
        <row r="1118">
          <cell r="A1118" t="str">
            <v>2530301</v>
          </cell>
          <cell r="B1118" t="str">
            <v>Oth Defd CR-Calpine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</row>
        <row r="1119">
          <cell r="A1119" t="str">
            <v>2530302</v>
          </cell>
          <cell r="B1119" t="str">
            <v>Oth Defd CR-Renewable</v>
          </cell>
          <cell r="C1119">
            <v>513675.35644</v>
          </cell>
          <cell r="D1119">
            <v>521199.45643999998</v>
          </cell>
          <cell r="E1119">
            <v>528682.20643999998</v>
          </cell>
          <cell r="F1119">
            <v>536563.05643999996</v>
          </cell>
          <cell r="G1119">
            <v>544352.55643999996</v>
          </cell>
          <cell r="H1119">
            <v>377167.05644000001</v>
          </cell>
          <cell r="I1119">
            <v>385047.90643999999</v>
          </cell>
          <cell r="J1119">
            <v>392903.75644000003</v>
          </cell>
          <cell r="K1119">
            <v>400784.60644</v>
          </cell>
          <cell r="L1119">
            <v>408731.80644000001</v>
          </cell>
          <cell r="M1119">
            <v>416654.00644000003</v>
          </cell>
          <cell r="N1119">
            <v>424601.20643999998</v>
          </cell>
          <cell r="O1119">
            <v>5450362.9772800002</v>
          </cell>
        </row>
        <row r="1120">
          <cell r="A1120" t="str">
            <v>2530310</v>
          </cell>
          <cell r="B1120" t="str">
            <v>Oth Defd CR-Unclaimed Items</v>
          </cell>
          <cell r="C1120">
            <v>42779.82</v>
          </cell>
          <cell r="D1120">
            <v>42779.82</v>
          </cell>
          <cell r="E1120">
            <v>42779.82</v>
          </cell>
          <cell r="F1120">
            <v>42779.82</v>
          </cell>
          <cell r="G1120">
            <v>42779.82</v>
          </cell>
          <cell r="H1120">
            <v>42779.82</v>
          </cell>
          <cell r="I1120">
            <v>42779.82</v>
          </cell>
          <cell r="J1120">
            <v>42779.82</v>
          </cell>
          <cell r="K1120">
            <v>42779.82</v>
          </cell>
          <cell r="L1120">
            <v>42779.82</v>
          </cell>
          <cell r="M1120">
            <v>42779.82</v>
          </cell>
          <cell r="N1120">
            <v>42779.82</v>
          </cell>
          <cell r="O1120">
            <v>513357.84</v>
          </cell>
        </row>
        <row r="1121">
          <cell r="A1121" t="str">
            <v>2530320</v>
          </cell>
          <cell r="B1121" t="str">
            <v>Oth Defd CR-TE Production Deductions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</row>
        <row r="1122">
          <cell r="A1122" t="str">
            <v>2530325</v>
          </cell>
          <cell r="B1122" t="str">
            <v>Oth Defd CR-Major Maintenance Accrual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</row>
        <row r="1123">
          <cell r="A1123" t="str">
            <v>2530330</v>
          </cell>
          <cell r="B1123" t="str">
            <v>Oth Defd CR-SERP Trust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</row>
        <row r="1124">
          <cell r="A1124" t="str">
            <v>2530340</v>
          </cell>
          <cell r="B1124" t="str">
            <v>Oth Defd CR Long-term incentive</v>
          </cell>
          <cell r="C1124">
            <v>6779497.9387074001</v>
          </cell>
          <cell r="D1124">
            <v>6779497.9387074001</v>
          </cell>
          <cell r="E1124">
            <v>3390534.7201080001</v>
          </cell>
          <cell r="F1124">
            <v>3390534.7201080001</v>
          </cell>
          <cell r="G1124">
            <v>3390534.7201080001</v>
          </cell>
          <cell r="H1124">
            <v>4476040.1410555001</v>
          </cell>
          <cell r="I1124">
            <v>4476040.1410555001</v>
          </cell>
          <cell r="J1124">
            <v>4476040.1410555001</v>
          </cell>
          <cell r="K1124">
            <v>5561545.5620029997</v>
          </cell>
          <cell r="L1124">
            <v>5561545.5620029997</v>
          </cell>
          <cell r="M1124">
            <v>5561545.5620029997</v>
          </cell>
          <cell r="N1124">
            <v>6647050.9829503996</v>
          </cell>
          <cell r="O1124">
            <v>60490408.1298647</v>
          </cell>
        </row>
        <row r="1125">
          <cell r="A1125" t="str">
            <v>2530350</v>
          </cell>
          <cell r="B1125" t="str">
            <v>Oth Defd CR Deferred Compensation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</row>
        <row r="1126">
          <cell r="A1126" t="str">
            <v>2530360</v>
          </cell>
          <cell r="B1126" t="str">
            <v>Oth Defd CR-Deferred Interest Revenue - GAAP adj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</row>
        <row r="1127">
          <cell r="A1127" t="str">
            <v>2530370</v>
          </cell>
          <cell r="B1127" t="str">
            <v>Oth Defd CR-Regulatory Related NonCurrent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</row>
        <row r="1128">
          <cell r="A1128" t="str">
            <v>2530800</v>
          </cell>
          <cell r="B1128" t="str">
            <v>Oth Defd CR-Miscellaneous</v>
          </cell>
          <cell r="C1128">
            <v>-1307537.28</v>
          </cell>
          <cell r="D1128">
            <v>-1307537.28</v>
          </cell>
          <cell r="E1128">
            <v>-1307537.28</v>
          </cell>
          <cell r="F1128">
            <v>-1307537.28</v>
          </cell>
          <cell r="G1128">
            <v>-1307537.28</v>
          </cell>
          <cell r="H1128">
            <v>-1307537.28</v>
          </cell>
          <cell r="I1128">
            <v>-1307537.28</v>
          </cell>
          <cell r="J1128">
            <v>-1307537.28</v>
          </cell>
          <cell r="K1128">
            <v>-1307537.28</v>
          </cell>
          <cell r="L1128">
            <v>-1307537.28</v>
          </cell>
          <cell r="M1128">
            <v>-1307537.28</v>
          </cell>
          <cell r="N1128">
            <v>-1307537.28</v>
          </cell>
          <cell r="O1128">
            <v>-15690447.359999998</v>
          </cell>
        </row>
        <row r="1129">
          <cell r="A1129" t="str">
            <v>2540020</v>
          </cell>
          <cell r="B1129" t="str">
            <v>Oth Reg Liab-Fuel and Purchased Power Clause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5254618.164531</v>
          </cell>
          <cell r="N1129">
            <v>3922046.4559753998</v>
          </cell>
          <cell r="O1129">
            <v>9176664.6205064002</v>
          </cell>
        </row>
        <row r="1130">
          <cell r="A1130" t="str">
            <v>2540030</v>
          </cell>
          <cell r="B1130" t="str">
            <v>Oth Reg Liab-Capacity Clause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</row>
        <row r="1131">
          <cell r="A1131" t="str">
            <v>2540040</v>
          </cell>
          <cell r="B1131" t="str">
            <v>Oth Reg Liab-Conservation Clause</v>
          </cell>
          <cell r="C1131">
            <v>19440626</v>
          </cell>
          <cell r="D1131">
            <v>17905500</v>
          </cell>
          <cell r="E1131">
            <v>16333293</v>
          </cell>
          <cell r="F1131">
            <v>14717824</v>
          </cell>
          <cell r="G1131">
            <v>13470386</v>
          </cell>
          <cell r="H1131">
            <v>12569188</v>
          </cell>
          <cell r="I1131">
            <v>11349925</v>
          </cell>
          <cell r="J1131">
            <v>10520673</v>
          </cell>
          <cell r="K1131">
            <v>9646388</v>
          </cell>
          <cell r="L1131">
            <v>8632863</v>
          </cell>
          <cell r="M1131">
            <v>7218042</v>
          </cell>
          <cell r="N1131">
            <v>5637865</v>
          </cell>
          <cell r="O1131">
            <v>147442573</v>
          </cell>
        </row>
        <row r="1132">
          <cell r="A1132" t="str">
            <v>2540050</v>
          </cell>
          <cell r="B1132" t="str">
            <v>Oth Reg Liab-Environmental Clause</v>
          </cell>
          <cell r="C1132">
            <v>338985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470453</v>
          </cell>
          <cell r="I1132">
            <v>1607797</v>
          </cell>
          <cell r="J1132">
            <v>2707047</v>
          </cell>
          <cell r="K1132">
            <v>4033111</v>
          </cell>
          <cell r="L1132">
            <v>4842929</v>
          </cell>
          <cell r="M1132">
            <v>4870230</v>
          </cell>
          <cell r="N1132">
            <v>4703093</v>
          </cell>
          <cell r="O1132">
            <v>23573645</v>
          </cell>
        </row>
        <row r="1133">
          <cell r="A1133" t="str">
            <v>2540060</v>
          </cell>
          <cell r="B1133" t="str">
            <v>Oth Reg Liab-Purchased Gas Adjustment Clause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</row>
        <row r="1134">
          <cell r="A1134" t="str">
            <v>2540071</v>
          </cell>
          <cell r="B1134" t="str">
            <v>Oth Reg Liab-Cast Iron Bare Steel Replacem Rider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</row>
        <row r="1135">
          <cell r="A1135" t="str">
            <v>2540080</v>
          </cell>
          <cell r="B1135" t="str">
            <v>Oth Reg Liab-Surcharge Rider (RR14)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</row>
        <row r="1136">
          <cell r="A1136" t="str">
            <v>2540082</v>
          </cell>
          <cell r="B1136" t="str">
            <v>Oth Reg Liab-Weather Norm OverRcv Resid-Cur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</row>
        <row r="1137">
          <cell r="A1137" t="str">
            <v>2540083</v>
          </cell>
          <cell r="B1137" t="str">
            <v>Oth Reg Liab-Weather Norm OverRcv Comm-Cur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</row>
        <row r="1138">
          <cell r="A1138" t="str">
            <v>2540090</v>
          </cell>
          <cell r="B1138" t="str">
            <v>Oth Reg Liability-Storm Protection Clause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605251</v>
          </cell>
          <cell r="L1138">
            <v>1215900</v>
          </cell>
          <cell r="M1138">
            <v>1193606</v>
          </cell>
          <cell r="N1138">
            <v>946018</v>
          </cell>
          <cell r="O1138">
            <v>3960775</v>
          </cell>
        </row>
        <row r="1139">
          <cell r="A1139" t="str">
            <v>2540105</v>
          </cell>
          <cell r="B1139" t="str">
            <v>Current Derivative Liability - Regulatory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</row>
        <row r="1140">
          <cell r="A1140" t="str">
            <v>2540110</v>
          </cell>
          <cell r="B1140" t="str">
            <v>Oth Reg Liab-FERC Wholesale (AFUDC)-Current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</row>
        <row r="1141">
          <cell r="A1141" t="str">
            <v>2540180</v>
          </cell>
          <cell r="B1141" t="str">
            <v>Oth Reg Liab-Defd Gain Prop Sales-Current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</row>
        <row r="1142">
          <cell r="A1142" t="str">
            <v>2540181</v>
          </cell>
          <cell r="B1142" t="str">
            <v>Inactive Account   Do not use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</row>
        <row r="1143">
          <cell r="A1143" t="str">
            <v>2540182</v>
          </cell>
          <cell r="B1143" t="str">
            <v>Inactive Account   Do not use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</row>
        <row r="1144">
          <cell r="A1144" t="str">
            <v>2540205</v>
          </cell>
          <cell r="B1144" t="str">
            <v>Long-Term Derivative Liability - Regulatory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</row>
        <row r="1145">
          <cell r="A1145" t="str">
            <v>2540210</v>
          </cell>
          <cell r="B1145" t="str">
            <v>Oth Reg Liab-FERC Wholesale (AFUDC)-Non-Current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</row>
        <row r="1146">
          <cell r="A1146" t="str">
            <v>2540280</v>
          </cell>
          <cell r="B1146" t="str">
            <v>Oth Reg Liab-Defd Gain Prop Sales-NonCurrent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</row>
        <row r="1147">
          <cell r="A1147" t="str">
            <v>2540281</v>
          </cell>
          <cell r="B1147" t="str">
            <v>Inactive Account   Do not use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</row>
        <row r="1148">
          <cell r="A1148" t="str">
            <v>2540282</v>
          </cell>
          <cell r="B1148" t="str">
            <v>Inactive Account   Do not use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</row>
        <row r="1149">
          <cell r="A1149" t="str">
            <v>2540310</v>
          </cell>
          <cell r="B1149" t="str">
            <v>Oth Reg Liab-Deferred Aerial Survey Adjustments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</row>
        <row r="1150">
          <cell r="A1150" t="str">
            <v>2540320</v>
          </cell>
          <cell r="B1150" t="str">
            <v>Oth Reg Liab-Deferred Allowance Auction Credits</v>
          </cell>
          <cell r="C1150">
            <v>34241</v>
          </cell>
          <cell r="D1150">
            <v>34241</v>
          </cell>
          <cell r="E1150">
            <v>34241</v>
          </cell>
          <cell r="F1150">
            <v>34233</v>
          </cell>
          <cell r="G1150">
            <v>34233</v>
          </cell>
          <cell r="H1150">
            <v>34233</v>
          </cell>
          <cell r="I1150">
            <v>34224</v>
          </cell>
          <cell r="J1150">
            <v>34224</v>
          </cell>
          <cell r="K1150">
            <v>34224</v>
          </cell>
          <cell r="L1150">
            <v>34216</v>
          </cell>
          <cell r="M1150">
            <v>34216</v>
          </cell>
          <cell r="N1150">
            <v>34216</v>
          </cell>
          <cell r="O1150">
            <v>410742</v>
          </cell>
        </row>
        <row r="1151">
          <cell r="A1151" t="str">
            <v>2540330</v>
          </cell>
          <cell r="B1151" t="str">
            <v>Oth Reg Liab-Gas Research Regulatory Liability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</row>
        <row r="1152">
          <cell r="A1152" t="str">
            <v>2540331</v>
          </cell>
          <cell r="B1152"/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</row>
        <row r="1153">
          <cell r="A1153" t="str">
            <v>2540340</v>
          </cell>
          <cell r="B1153" t="str">
            <v>Oth Reg Liab-MGP Environmental Remediation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</row>
        <row r="1154">
          <cell r="A1154" t="str">
            <v>2540350</v>
          </cell>
          <cell r="B1154" t="str">
            <v>Oth Reg Liab-Acquistion Liability Current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</row>
        <row r="1155">
          <cell r="A1155" t="str">
            <v>2540351</v>
          </cell>
          <cell r="B1155" t="str">
            <v>Oth Reg Liab-Acquistion Liability - NonCurrent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</row>
        <row r="1156">
          <cell r="A1156" t="str">
            <v>2540360</v>
          </cell>
          <cell r="B1156" t="str">
            <v>Oth Reg Liab-Gas Off-System Sales Margin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</row>
        <row r="1157">
          <cell r="A1157" t="str">
            <v>2540370</v>
          </cell>
          <cell r="B1157" t="str">
            <v>Oth Reg Liab-El Paso Natural Gas Refund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</row>
        <row r="1158">
          <cell r="A1158" t="str">
            <v>2540371</v>
          </cell>
          <cell r="B1158" t="str">
            <v>Oth Reg Liab-Storage / Transp Optimization - Current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</row>
        <row r="1159">
          <cell r="A1159" t="str">
            <v>2540372</v>
          </cell>
          <cell r="B1159"/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</row>
        <row r="1160">
          <cell r="A1160" t="str">
            <v>2540610</v>
          </cell>
          <cell r="B1160" t="str">
            <v>Oth Reg Liab-FAS 109 Income Tax</v>
          </cell>
          <cell r="C1160">
            <v>601874613.60000002</v>
          </cell>
          <cell r="D1160">
            <v>598694455.61000001</v>
          </cell>
          <cell r="E1160">
            <v>601475403.69000006</v>
          </cell>
          <cell r="F1160">
            <v>598295245.80999994</v>
          </cell>
          <cell r="G1160">
            <v>595360110.54999995</v>
          </cell>
          <cell r="H1160">
            <v>590557691.03999996</v>
          </cell>
          <cell r="I1160">
            <v>587600560.94000006</v>
          </cell>
          <cell r="J1160">
            <v>584420402.90999997</v>
          </cell>
          <cell r="K1160">
            <v>574377945.26999998</v>
          </cell>
          <cell r="L1160">
            <v>571197787.37</v>
          </cell>
          <cell r="M1160">
            <v>586696075.63</v>
          </cell>
          <cell r="N1160">
            <v>586380163.30999994</v>
          </cell>
          <cell r="O1160">
            <v>7076930455.7299995</v>
          </cell>
        </row>
        <row r="1161">
          <cell r="A1161" t="str">
            <v>2540612</v>
          </cell>
          <cell r="B1161" t="str">
            <v>Oth Reg Liab-Deferred Tax Reform Impact Current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</row>
        <row r="1162">
          <cell r="A1162">
            <v>2540613</v>
          </cell>
          <cell r="B1162" t="str">
            <v>Oth Reg Liab FAS 109 Income Tax Current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</row>
        <row r="1163">
          <cell r="A1163" t="str">
            <v>2540800</v>
          </cell>
          <cell r="B1163" t="str">
            <v>Oth Reg Liab-Miscellaneous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</row>
        <row r="1164">
          <cell r="A1164" t="str">
            <v>2550000</v>
          </cell>
          <cell r="B1164" t="str">
            <v>Accumulated Deferred Investment Tax Credits</v>
          </cell>
          <cell r="C1164">
            <v>240605120.88</v>
          </cell>
          <cell r="D1164">
            <v>239860936.69</v>
          </cell>
          <cell r="E1164">
            <v>239376752.53999999</v>
          </cell>
          <cell r="F1164">
            <v>238632568.40000001</v>
          </cell>
          <cell r="G1164">
            <v>238759440.62</v>
          </cell>
          <cell r="H1164">
            <v>238446767.09999999</v>
          </cell>
          <cell r="I1164">
            <v>238495447.44</v>
          </cell>
          <cell r="J1164">
            <v>237751263.24000001</v>
          </cell>
          <cell r="K1164">
            <v>237527079.06</v>
          </cell>
          <cell r="L1164">
            <v>236782894.94999999</v>
          </cell>
          <cell r="M1164">
            <v>302440587.19</v>
          </cell>
          <cell r="N1164">
            <v>301696403.02999997</v>
          </cell>
          <cell r="O1164">
            <v>2990375261.1400003</v>
          </cell>
        </row>
        <row r="1165">
          <cell r="A1165" t="str">
            <v>2550005</v>
          </cell>
          <cell r="B1165" t="str">
            <v>Accumulated Defd Investment Tax Credit Non Utility</v>
          </cell>
          <cell r="C1165">
            <v>916.94</v>
          </cell>
          <cell r="D1165">
            <v>915.5</v>
          </cell>
          <cell r="E1165">
            <v>914.05</v>
          </cell>
          <cell r="F1165">
            <v>912.61</v>
          </cell>
          <cell r="G1165">
            <v>911.17</v>
          </cell>
          <cell r="H1165">
            <v>909.73</v>
          </cell>
          <cell r="I1165">
            <v>908.29</v>
          </cell>
          <cell r="J1165">
            <v>906.85</v>
          </cell>
          <cell r="K1165">
            <v>905.4</v>
          </cell>
          <cell r="L1165">
            <v>903.96</v>
          </cell>
          <cell r="M1165">
            <v>902.52</v>
          </cell>
          <cell r="N1165">
            <v>901.08</v>
          </cell>
          <cell r="O1165">
            <v>10908.1</v>
          </cell>
        </row>
        <row r="1166">
          <cell r="A1166" t="str">
            <v>2560000</v>
          </cell>
          <cell r="B1166" t="str">
            <v>Deferred Gains From Disposition of Utility Plant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</row>
        <row r="1167">
          <cell r="A1167" t="str">
            <v>2560080</v>
          </cell>
          <cell r="B1167" t="str">
            <v>Inactive Account   Do not use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</row>
        <row r="1168">
          <cell r="A1168" t="str">
            <v>2560081</v>
          </cell>
          <cell r="B1168" t="str">
            <v>Inactive Account   Do not use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</row>
        <row r="1169">
          <cell r="A1169" t="str">
            <v>2560082</v>
          </cell>
          <cell r="B1169" t="str">
            <v>Inactive Account   Do not use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</row>
        <row r="1170">
          <cell r="A1170" t="str">
            <v>2570000</v>
          </cell>
          <cell r="B1170" t="str">
            <v>Unamortized Gain on Reacquired Debt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</row>
        <row r="1171">
          <cell r="A1171" t="str">
            <v>2810300</v>
          </cell>
          <cell r="B1171" t="str">
            <v>DIT Federal Accelerated Amortization Property</v>
          </cell>
          <cell r="C1171">
            <v>44904224.450000003</v>
          </cell>
          <cell r="D1171">
            <v>44886596.719999999</v>
          </cell>
          <cell r="E1171">
            <v>44868969</v>
          </cell>
          <cell r="F1171">
            <v>44851341.280000001</v>
          </cell>
          <cell r="G1171">
            <v>44833713.560000002</v>
          </cell>
          <cell r="H1171">
            <v>44816085.829999998</v>
          </cell>
          <cell r="I1171">
            <v>44798458.109999999</v>
          </cell>
          <cell r="J1171">
            <v>44780830.390000001</v>
          </cell>
          <cell r="K1171">
            <v>44763202.659999996</v>
          </cell>
          <cell r="L1171">
            <v>44745574.939999998</v>
          </cell>
          <cell r="M1171">
            <v>44727947.229999997</v>
          </cell>
          <cell r="N1171">
            <v>44710319.5</v>
          </cell>
          <cell r="O1171">
            <v>537687263.67000008</v>
          </cell>
        </row>
        <row r="1172">
          <cell r="A1172" t="str">
            <v>2810400</v>
          </cell>
          <cell r="B1172" t="str">
            <v>DIT State Accelerated Amortization Property</v>
          </cell>
          <cell r="C1172">
            <v>7244652.4000000004</v>
          </cell>
          <cell r="D1172">
            <v>7243775.5899999999</v>
          </cell>
          <cell r="E1172">
            <v>7242898.7800000003</v>
          </cell>
          <cell r="F1172">
            <v>7242021.9699999997</v>
          </cell>
          <cell r="G1172">
            <v>7241145.1500000004</v>
          </cell>
          <cell r="H1172">
            <v>7240268.3399999999</v>
          </cell>
          <cell r="I1172">
            <v>7239391.5300000003</v>
          </cell>
          <cell r="J1172">
            <v>7238514.7199999997</v>
          </cell>
          <cell r="K1172">
            <v>7237637.9100000001</v>
          </cell>
          <cell r="L1172">
            <v>7236761.0999999996</v>
          </cell>
          <cell r="M1172">
            <v>7235884.29</v>
          </cell>
          <cell r="N1172">
            <v>7235007.4800000004</v>
          </cell>
          <cell r="O1172">
            <v>86877959.260000005</v>
          </cell>
        </row>
        <row r="1173">
          <cell r="A1173" t="str">
            <v>2820300</v>
          </cell>
          <cell r="B1173" t="str">
            <v>Defd Inc Tax Other Property - Federal</v>
          </cell>
          <cell r="C1173">
            <v>1362097333.8099999</v>
          </cell>
          <cell r="D1173">
            <v>1363453408.3099999</v>
          </cell>
          <cell r="E1173">
            <v>1364932439.1199999</v>
          </cell>
          <cell r="F1173">
            <v>1366329709.1700001</v>
          </cell>
          <cell r="G1173">
            <v>1367696300.79</v>
          </cell>
          <cell r="H1173">
            <v>1368978654.8099999</v>
          </cell>
          <cell r="I1173">
            <v>1370201265.45</v>
          </cell>
          <cell r="J1173">
            <v>1371397782.54</v>
          </cell>
          <cell r="K1173">
            <v>1372564381.6900001</v>
          </cell>
          <cell r="L1173">
            <v>1373724164.27</v>
          </cell>
          <cell r="M1173">
            <v>1374868765.27</v>
          </cell>
          <cell r="N1173">
            <v>1376070042.0799999</v>
          </cell>
          <cell r="O1173">
            <v>16432314247.310001</v>
          </cell>
        </row>
        <row r="1174">
          <cell r="A1174" t="str">
            <v>2820305</v>
          </cell>
          <cell r="B1174" t="str">
            <v>Defd Inc Tax Other Property - Federal Non Utility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</row>
        <row r="1175">
          <cell r="A1175" t="str">
            <v>2820400</v>
          </cell>
          <cell r="B1175" t="str">
            <v>Defd Inc Tax Other Property - State</v>
          </cell>
          <cell r="C1175">
            <v>219587102.68000001</v>
          </cell>
          <cell r="D1175">
            <v>220789037.33000001</v>
          </cell>
          <cell r="E1175">
            <v>221997791.65000001</v>
          </cell>
          <cell r="F1175">
            <v>223189254.00999999</v>
          </cell>
          <cell r="G1175">
            <v>224373899.68000001</v>
          </cell>
          <cell r="H1175">
            <v>225539666.74000001</v>
          </cell>
          <cell r="I1175">
            <v>226689638.81999999</v>
          </cell>
          <cell r="J1175">
            <v>227837400.34</v>
          </cell>
          <cell r="K1175">
            <v>228974913.58000001</v>
          </cell>
          <cell r="L1175">
            <v>230114042.78999999</v>
          </cell>
          <cell r="M1175">
            <v>231249764.84</v>
          </cell>
          <cell r="N1175">
            <v>232396851.47</v>
          </cell>
          <cell r="O1175">
            <v>2712739363.9299998</v>
          </cell>
        </row>
        <row r="1176">
          <cell r="A1176" t="str">
            <v>2820405</v>
          </cell>
          <cell r="B1176" t="str">
            <v>Defd Inc Tax Other Property - State Non Utility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</row>
        <row r="1177">
          <cell r="A1177" t="str">
            <v>2820610</v>
          </cell>
          <cell r="B1177" t="str">
            <v>Defd Inc Tax Other Property - FAS109</v>
          </cell>
          <cell r="C1177">
            <v>-330493245.94</v>
          </cell>
          <cell r="D1177">
            <v>-327829132.25</v>
          </cell>
          <cell r="E1177">
            <v>-329492515.61000001</v>
          </cell>
          <cell r="F1177">
            <v>-326759151.88999999</v>
          </cell>
          <cell r="G1177">
            <v>-323875428.74000001</v>
          </cell>
          <cell r="H1177">
            <v>-319688983.79000002</v>
          </cell>
          <cell r="I1177">
            <v>-316709680.13</v>
          </cell>
          <cell r="J1177">
            <v>-313793197.02999997</v>
          </cell>
          <cell r="K1177">
            <v>-305546429.82999998</v>
          </cell>
          <cell r="L1177">
            <v>-302569574.30000001</v>
          </cell>
          <cell r="M1177">
            <v>-291390912.94999999</v>
          </cell>
          <cell r="N1177">
            <v>-291070540.45999998</v>
          </cell>
          <cell r="O1177">
            <v>-3779218792.9200001</v>
          </cell>
        </row>
        <row r="1178">
          <cell r="A1178" t="str">
            <v>2830100</v>
          </cell>
          <cell r="B1178" t="str">
            <v>DIT Liab-Current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</row>
        <row r="1179">
          <cell r="A1179" t="str">
            <v>2830300</v>
          </cell>
          <cell r="B1179" t="str">
            <v>DIT Liab-Federal</v>
          </cell>
          <cell r="C1179">
            <v>10096620.859999999</v>
          </cell>
          <cell r="D1179">
            <v>15543508.08</v>
          </cell>
          <cell r="E1179">
            <v>19444731.809999999</v>
          </cell>
          <cell r="F1179">
            <v>18714302.850000001</v>
          </cell>
          <cell r="G1179">
            <v>18229173.789999999</v>
          </cell>
          <cell r="H1179">
            <v>15072532.16</v>
          </cell>
          <cell r="I1179">
            <v>13371584.220000001</v>
          </cell>
          <cell r="J1179">
            <v>12226205.359999999</v>
          </cell>
          <cell r="K1179">
            <v>4201682.5999999996</v>
          </cell>
          <cell r="L1179">
            <v>3195703.77</v>
          </cell>
          <cell r="M1179">
            <v>2292755.7799999998</v>
          </cell>
          <cell r="N1179">
            <v>4426910.0999999996</v>
          </cell>
          <cell r="O1179">
            <v>136815711.38</v>
          </cell>
        </row>
        <row r="1180">
          <cell r="A1180" t="str">
            <v>2830305</v>
          </cell>
          <cell r="B1180" t="str">
            <v>DIT Liab-Federal Non Utility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</row>
        <row r="1181">
          <cell r="A1181" t="str">
            <v>2830310</v>
          </cell>
          <cell r="B1181" t="str">
            <v>DIT Liab - Estimated NOL - Federal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</row>
        <row r="1182">
          <cell r="A1182" t="str">
            <v>2830320</v>
          </cell>
          <cell r="B1182" t="str">
            <v>DIT Liab -Tax Allocation - Federal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</row>
        <row r="1183">
          <cell r="A1183" t="str">
            <v>2830330</v>
          </cell>
          <cell r="B1183" t="str">
            <v>DIT Liab-FAS 158 - Federal</v>
          </cell>
          <cell r="C1183">
            <v>86769019.810000002</v>
          </cell>
          <cell r="D1183">
            <v>86769019.810000002</v>
          </cell>
          <cell r="E1183">
            <v>86769019.810000002</v>
          </cell>
          <cell r="F1183">
            <v>86769019.810000002</v>
          </cell>
          <cell r="G1183">
            <v>86769019.810000002</v>
          </cell>
          <cell r="H1183">
            <v>86769019.810000002</v>
          </cell>
          <cell r="I1183">
            <v>86769019.810000002</v>
          </cell>
          <cell r="J1183">
            <v>86769019.810000002</v>
          </cell>
          <cell r="K1183">
            <v>86769019.810000002</v>
          </cell>
          <cell r="L1183">
            <v>86769019.810000002</v>
          </cell>
          <cell r="M1183">
            <v>86769019.810000002</v>
          </cell>
          <cell r="N1183">
            <v>86769019.810000002</v>
          </cell>
          <cell r="O1183">
            <v>1041228237.7199998</v>
          </cell>
        </row>
        <row r="1184">
          <cell r="A1184" t="str">
            <v>2830331</v>
          </cell>
          <cell r="B1184" t="str">
            <v>DIT Liab-FAS 158 - Medicare Part D - Federal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</row>
        <row r="1185">
          <cell r="A1185" t="str">
            <v>2830340</v>
          </cell>
          <cell r="B1185" t="str">
            <v>DIT Liab-FAS 133 - Federal</v>
          </cell>
          <cell r="C1185">
            <v>1926508.04</v>
          </cell>
          <cell r="D1185">
            <v>1926508.04</v>
          </cell>
          <cell r="E1185">
            <v>1926508.04</v>
          </cell>
          <cell r="F1185">
            <v>1926508.04</v>
          </cell>
          <cell r="G1185">
            <v>1926508.04</v>
          </cell>
          <cell r="H1185">
            <v>1926508.04</v>
          </cell>
          <cell r="I1185">
            <v>1926508.04</v>
          </cell>
          <cell r="J1185">
            <v>1926508.04</v>
          </cell>
          <cell r="K1185">
            <v>1926508.04</v>
          </cell>
          <cell r="L1185">
            <v>1926508.04</v>
          </cell>
          <cell r="M1185">
            <v>1926508.04</v>
          </cell>
          <cell r="N1185">
            <v>1926508.04</v>
          </cell>
          <cell r="O1185">
            <v>23118096.479999993</v>
          </cell>
        </row>
        <row r="1186">
          <cell r="A1186" t="str">
            <v>2830400</v>
          </cell>
          <cell r="B1186" t="str">
            <v>DIT Liab-State</v>
          </cell>
          <cell r="C1186">
            <v>2193800.0699999998</v>
          </cell>
          <cell r="D1186">
            <v>3377862.42</v>
          </cell>
          <cell r="E1186">
            <v>3262315.54</v>
          </cell>
          <cell r="F1186">
            <v>3093459.45</v>
          </cell>
          <cell r="G1186">
            <v>2979107.04</v>
          </cell>
          <cell r="H1186">
            <v>2560560.0499999998</v>
          </cell>
          <cell r="I1186">
            <v>2178745.9300000002</v>
          </cell>
          <cell r="J1186">
            <v>1916786.73</v>
          </cell>
          <cell r="K1186">
            <v>1292503.6299999999</v>
          </cell>
          <cell r="L1186">
            <v>1061988.33</v>
          </cell>
          <cell r="M1186">
            <v>854399.54</v>
          </cell>
          <cell r="N1186">
            <v>847749.53</v>
          </cell>
          <cell r="O1186">
            <v>25619278.259999998</v>
          </cell>
        </row>
        <row r="1187">
          <cell r="A1187" t="str">
            <v>2830405</v>
          </cell>
          <cell r="B1187" t="str">
            <v>DIT Liab-State Non Utility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</row>
        <row r="1188">
          <cell r="A1188" t="str">
            <v>2830410</v>
          </cell>
          <cell r="B1188" t="str">
            <v>DIT Liab-Estimated NOL - State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</row>
        <row r="1189">
          <cell r="A1189" t="str">
            <v>2830420</v>
          </cell>
          <cell r="B1189" t="str">
            <v>DIT Liab-Tax Allocation - State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</row>
        <row r="1190">
          <cell r="A1190" t="str">
            <v>2830430</v>
          </cell>
          <cell r="B1190" t="str">
            <v>DIT Liab-FAS 158 - State</v>
          </cell>
          <cell r="C1190">
            <v>15112282.810000001</v>
          </cell>
          <cell r="D1190">
            <v>15112282.810000001</v>
          </cell>
          <cell r="E1190">
            <v>15112282.810000001</v>
          </cell>
          <cell r="F1190">
            <v>15112282.810000001</v>
          </cell>
          <cell r="G1190">
            <v>15112282.810000001</v>
          </cell>
          <cell r="H1190">
            <v>15112282.810000001</v>
          </cell>
          <cell r="I1190">
            <v>15112282.810000001</v>
          </cell>
          <cell r="J1190">
            <v>15112282.810000001</v>
          </cell>
          <cell r="K1190">
            <v>15112282.810000001</v>
          </cell>
          <cell r="L1190">
            <v>15112282.810000001</v>
          </cell>
          <cell r="M1190">
            <v>15112282.810000001</v>
          </cell>
          <cell r="N1190">
            <v>15112282.810000001</v>
          </cell>
          <cell r="O1190">
            <v>181347393.72</v>
          </cell>
        </row>
        <row r="1191">
          <cell r="A1191" t="str">
            <v>2830431</v>
          </cell>
          <cell r="B1191" t="str">
            <v>DIT Liab-FAS 158 - Medicare Part D - State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</row>
        <row r="1192">
          <cell r="A1192" t="str">
            <v>2830440</v>
          </cell>
          <cell r="B1192" t="str">
            <v>DIT Liab-FAS 133 - State</v>
          </cell>
          <cell r="C1192">
            <v>0.2</v>
          </cell>
          <cell r="D1192">
            <v>0.2</v>
          </cell>
          <cell r="E1192">
            <v>0.2</v>
          </cell>
          <cell r="F1192">
            <v>0.2</v>
          </cell>
          <cell r="G1192">
            <v>0.2</v>
          </cell>
          <cell r="H1192">
            <v>0.2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0.2</v>
          </cell>
          <cell r="N1192">
            <v>0.2</v>
          </cell>
          <cell r="O1192">
            <v>2.4</v>
          </cell>
        </row>
        <row r="1193">
          <cell r="A1193" t="str">
            <v>2830500</v>
          </cell>
          <cell r="B1193" t="str">
            <v>DIT Liab-Foreign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</row>
        <row r="1194">
          <cell r="A1194" t="str">
            <v>2830600</v>
          </cell>
          <cell r="B1194" t="str">
            <v>DIT Liab-Federal - State NOL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</row>
        <row r="1195">
          <cell r="A1195" t="str">
            <v>2830610</v>
          </cell>
          <cell r="B1195" t="str">
            <v>DIT Liab-FAS109 - Other</v>
          </cell>
          <cell r="C1195">
            <v>-112182613.04000001</v>
          </cell>
          <cell r="D1195">
            <v>-111279198.28</v>
          </cell>
          <cell r="E1195">
            <v>-111844947.06999999</v>
          </cell>
          <cell r="F1195">
            <v>-110918022.27</v>
          </cell>
          <cell r="G1195">
            <v>-109940051.19</v>
          </cell>
          <cell r="H1195">
            <v>-108519812.56</v>
          </cell>
          <cell r="I1195">
            <v>-107509392.31</v>
          </cell>
          <cell r="J1195">
            <v>-106520299.39</v>
          </cell>
          <cell r="K1195">
            <v>-103721601.59999999</v>
          </cell>
          <cell r="L1195">
            <v>-102712012.51000001</v>
          </cell>
          <cell r="M1195">
            <v>-98917951.239999995</v>
          </cell>
          <cell r="N1195">
            <v>-98810224.900000006</v>
          </cell>
          <cell r="O1195">
            <v>-1282876126.3599999</v>
          </cell>
        </row>
        <row r="1196">
          <cell r="A1196" t="str">
            <v>2830611</v>
          </cell>
          <cell r="B1196" t="str">
            <v>DIT Liab-Other Gross Up Medicare Part D</v>
          </cell>
          <cell r="C1196">
            <v>497143.77</v>
          </cell>
          <cell r="D1196">
            <v>491506.82</v>
          </cell>
          <cell r="E1196">
            <v>485869.89</v>
          </cell>
          <cell r="F1196">
            <v>480232.94</v>
          </cell>
          <cell r="G1196">
            <v>474595.98</v>
          </cell>
          <cell r="H1196">
            <v>468959.04</v>
          </cell>
          <cell r="I1196">
            <v>463322.08</v>
          </cell>
          <cell r="J1196">
            <v>457685.14</v>
          </cell>
          <cell r="K1196">
            <v>452048.19</v>
          </cell>
          <cell r="L1196">
            <v>446411.25</v>
          </cell>
          <cell r="M1196">
            <v>440774.3</v>
          </cell>
          <cell r="N1196">
            <v>435137.36</v>
          </cell>
          <cell r="O1196">
            <v>5593686.7600000007</v>
          </cell>
        </row>
        <row r="1197">
          <cell r="A1197" t="str">
            <v>4073020</v>
          </cell>
          <cell r="B1197" t="str">
            <v>REG DR Defd Fuel and Purchased Power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-1081971.6980377</v>
          </cell>
          <cell r="I1197">
            <v>-1995808.9657966001</v>
          </cell>
          <cell r="J1197">
            <v>-666895.20350069995</v>
          </cell>
          <cell r="K1197">
            <v>-6560675.2937449999</v>
          </cell>
          <cell r="L1197">
            <v>-175781.76944420001</v>
          </cell>
          <cell r="M1197">
            <v>-4421463.4602640001</v>
          </cell>
          <cell r="N1197">
            <v>0</v>
          </cell>
          <cell r="O1197">
            <v>-14902596.390788198</v>
          </cell>
        </row>
        <row r="1198">
          <cell r="A1198" t="str">
            <v>4073021</v>
          </cell>
          <cell r="B1198" t="str">
            <v>REG DR Defd Fuel and Purchased Power - Amortiz</v>
          </cell>
          <cell r="C1198">
            <v>2123255</v>
          </cell>
          <cell r="D1198">
            <v>2123255</v>
          </cell>
          <cell r="E1198">
            <v>2123255</v>
          </cell>
          <cell r="F1198">
            <v>2123255</v>
          </cell>
          <cell r="G1198">
            <v>2123255</v>
          </cell>
          <cell r="H1198">
            <v>2123255</v>
          </cell>
          <cell r="I1198">
            <v>2123255</v>
          </cell>
          <cell r="J1198">
            <v>2123255</v>
          </cell>
          <cell r="K1198">
            <v>2123255</v>
          </cell>
          <cell r="L1198">
            <v>2123255</v>
          </cell>
          <cell r="M1198">
            <v>2123255</v>
          </cell>
          <cell r="N1198">
            <v>2123250</v>
          </cell>
          <cell r="O1198">
            <v>25479055</v>
          </cell>
        </row>
        <row r="1199">
          <cell r="A1199" t="str">
            <v>4073022</v>
          </cell>
          <cell r="B1199" t="str">
            <v>Deferred Clause Recovery Revenue</v>
          </cell>
          <cell r="C1199">
            <v>-98402</v>
          </cell>
          <cell r="D1199">
            <v>-98402</v>
          </cell>
          <cell r="E1199">
            <v>-98402</v>
          </cell>
          <cell r="F1199">
            <v>-98402</v>
          </cell>
          <cell r="G1199">
            <v>-98402</v>
          </cell>
          <cell r="H1199">
            <v>-98402</v>
          </cell>
          <cell r="I1199">
            <v>-98402</v>
          </cell>
          <cell r="J1199">
            <v>-98402</v>
          </cell>
          <cell r="K1199">
            <v>-98402</v>
          </cell>
          <cell r="L1199">
            <v>-98402</v>
          </cell>
          <cell r="M1199">
            <v>-98402</v>
          </cell>
          <cell r="N1199">
            <v>-98398</v>
          </cell>
          <cell r="O1199">
            <v>-1180820</v>
          </cell>
        </row>
        <row r="1200">
          <cell r="A1200" t="str">
            <v>4073030</v>
          </cell>
          <cell r="B1200" t="str">
            <v>REG DR Defd Capacity</v>
          </cell>
          <cell r="C1200">
            <v>0</v>
          </cell>
          <cell r="D1200">
            <v>0</v>
          </cell>
          <cell r="E1200">
            <v>-243948.15093130001</v>
          </cell>
          <cell r="F1200">
            <v>-245053.8248461</v>
          </cell>
          <cell r="G1200">
            <v>-247997.36549679999</v>
          </cell>
          <cell r="H1200">
            <v>-252749.84371250001</v>
          </cell>
          <cell r="I1200">
            <v>-254114.00151890001</v>
          </cell>
          <cell r="J1200">
            <v>-253949.40003200001</v>
          </cell>
          <cell r="K1200">
            <v>-255434.0310976</v>
          </cell>
          <cell r="L1200">
            <v>-252260.7558558</v>
          </cell>
          <cell r="M1200">
            <v>-246910.2582141</v>
          </cell>
          <cell r="N1200">
            <v>-245478.79220319999</v>
          </cell>
          <cell r="O1200">
            <v>-2497896.4239082998</v>
          </cell>
        </row>
        <row r="1201">
          <cell r="A1201" t="str">
            <v>4073031</v>
          </cell>
          <cell r="B1201" t="str">
            <v>REG DR Defd Capacity - Amortization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</row>
        <row r="1202">
          <cell r="A1202" t="str">
            <v>4073040</v>
          </cell>
          <cell r="B1202" t="str">
            <v>REG DR Defd Conservation Electric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-189061</v>
          </cell>
          <cell r="H1202">
            <v>-535644</v>
          </cell>
          <cell r="I1202">
            <v>-217919</v>
          </cell>
          <cell r="J1202">
            <v>-608257</v>
          </cell>
          <cell r="K1202">
            <v>-563497</v>
          </cell>
          <cell r="L1202">
            <v>-424559</v>
          </cell>
          <cell r="M1202">
            <v>-23651</v>
          </cell>
          <cell r="N1202">
            <v>0</v>
          </cell>
          <cell r="O1202">
            <v>-2562588</v>
          </cell>
        </row>
        <row r="1203">
          <cell r="A1203" t="str">
            <v>4073041</v>
          </cell>
          <cell r="B1203" t="str">
            <v>REG DR Defd Conservation  Elec - Amortization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</row>
        <row r="1204">
          <cell r="A1204" t="str">
            <v>4073050</v>
          </cell>
          <cell r="B1204" t="str">
            <v>REG DR Defd Environmental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-599696</v>
          </cell>
          <cell r="I1204">
            <v>-815907</v>
          </cell>
          <cell r="J1204">
            <v>-777455</v>
          </cell>
          <cell r="K1204">
            <v>-1003881</v>
          </cell>
          <cell r="L1204">
            <v>-487293</v>
          </cell>
          <cell r="M1204">
            <v>0</v>
          </cell>
          <cell r="N1204">
            <v>0</v>
          </cell>
          <cell r="O1204">
            <v>-3684232</v>
          </cell>
        </row>
        <row r="1205">
          <cell r="A1205" t="str">
            <v>4073051</v>
          </cell>
          <cell r="B1205" t="str">
            <v>REG DR Defd Environmental  - Amortization</v>
          </cell>
          <cell r="C1205">
            <v>321105</v>
          </cell>
          <cell r="D1205">
            <v>321105</v>
          </cell>
          <cell r="E1205">
            <v>321105</v>
          </cell>
          <cell r="F1205">
            <v>321105</v>
          </cell>
          <cell r="G1205">
            <v>321105</v>
          </cell>
          <cell r="H1205">
            <v>321105</v>
          </cell>
          <cell r="I1205">
            <v>321105</v>
          </cell>
          <cell r="J1205">
            <v>321105</v>
          </cell>
          <cell r="K1205">
            <v>321105</v>
          </cell>
          <cell r="L1205">
            <v>321105</v>
          </cell>
          <cell r="M1205">
            <v>321105</v>
          </cell>
          <cell r="N1205">
            <v>321106</v>
          </cell>
          <cell r="O1205">
            <v>3853261</v>
          </cell>
        </row>
        <row r="1206">
          <cell r="A1206" t="str">
            <v>4073052</v>
          </cell>
          <cell r="B1206" t="str">
            <v>REG DR Defd Environmental Tax Credit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</row>
        <row r="1207">
          <cell r="A1207" t="str">
            <v>4073060</v>
          </cell>
          <cell r="B1207" t="str">
            <v>REG DR Defd Purchased Gas Adjustment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</row>
        <row r="1208">
          <cell r="A1208" t="str">
            <v>4073061</v>
          </cell>
          <cell r="B1208" t="str">
            <v>REG DR Defd PGA - Amortization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</row>
        <row r="1209">
          <cell r="A1209" t="str">
            <v>4073071</v>
          </cell>
          <cell r="B1209" t="str">
            <v>REG DR CI/BS Rider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</row>
        <row r="1210">
          <cell r="A1210" t="str">
            <v>4073072</v>
          </cell>
          <cell r="B1210" t="str">
            <v>REG DR Defd CIBSR - Amortization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</row>
        <row r="1211">
          <cell r="A1211" t="str">
            <v>4073090</v>
          </cell>
          <cell r="B1211" t="str">
            <v>REG DR Defd SPPCRC</v>
          </cell>
          <cell r="C1211">
            <v>-231009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-398747</v>
          </cell>
          <cell r="I1211">
            <v>-506078</v>
          </cell>
          <cell r="J1211">
            <v>-497090</v>
          </cell>
          <cell r="K1211">
            <v>-505179</v>
          </cell>
          <cell r="L1211">
            <v>-111467</v>
          </cell>
          <cell r="M1211">
            <v>0</v>
          </cell>
          <cell r="N1211">
            <v>0</v>
          </cell>
          <cell r="O1211">
            <v>-2249570</v>
          </cell>
        </row>
        <row r="1212">
          <cell r="A1212" t="str">
            <v>4073091</v>
          </cell>
          <cell r="B1212" t="str">
            <v>REG DR Defd SPPCRC – Amortization</v>
          </cell>
          <cell r="C1212">
            <v>498891</v>
          </cell>
          <cell r="D1212">
            <v>498891</v>
          </cell>
          <cell r="E1212">
            <v>498891</v>
          </cell>
          <cell r="F1212">
            <v>498891</v>
          </cell>
          <cell r="G1212">
            <v>498891</v>
          </cell>
          <cell r="H1212">
            <v>498891</v>
          </cell>
          <cell r="I1212">
            <v>498891</v>
          </cell>
          <cell r="J1212">
            <v>498891</v>
          </cell>
          <cell r="K1212">
            <v>498891</v>
          </cell>
          <cell r="L1212">
            <v>498891</v>
          </cell>
          <cell r="M1212">
            <v>498891</v>
          </cell>
          <cell r="N1212">
            <v>498895</v>
          </cell>
          <cell r="O1212">
            <v>5986696</v>
          </cell>
        </row>
        <row r="1213">
          <cell r="A1213" t="str">
            <v>4073140</v>
          </cell>
          <cell r="B1213" t="str">
            <v>REG DR Defd Conservation - Gas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</row>
        <row r="1214">
          <cell r="A1214" t="str">
            <v>4073141</v>
          </cell>
          <cell r="B1214" t="str">
            <v>REG DR Defd Conservation - Gas - Amortization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</row>
        <row r="1215">
          <cell r="A1215" t="str">
            <v>4073200</v>
          </cell>
          <cell r="B1215" t="str">
            <v>REG DR Deferred PBOP FAS106</v>
          </cell>
          <cell r="C1215">
            <v>2350.6</v>
          </cell>
          <cell r="D1215">
            <v>2350.6</v>
          </cell>
          <cell r="E1215">
            <v>2350.6</v>
          </cell>
          <cell r="F1215">
            <v>2350.6</v>
          </cell>
          <cell r="G1215">
            <v>2350.6</v>
          </cell>
          <cell r="H1215">
            <v>2350.6</v>
          </cell>
          <cell r="I1215">
            <v>2350.6</v>
          </cell>
          <cell r="J1215">
            <v>2350.6</v>
          </cell>
          <cell r="K1215">
            <v>2350.6</v>
          </cell>
          <cell r="L1215">
            <v>2350.6</v>
          </cell>
          <cell r="M1215">
            <v>2350.6</v>
          </cell>
          <cell r="N1215">
            <v>2350.6</v>
          </cell>
          <cell r="O1215">
            <v>28207.199999999993</v>
          </cell>
        </row>
        <row r="1216">
          <cell r="A1216" t="str">
            <v>4073210</v>
          </cell>
          <cell r="B1216" t="str">
            <v>REG DR FERC Wholesale (AFUDC)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</row>
        <row r="1217">
          <cell r="A1217" t="str">
            <v>4073212</v>
          </cell>
          <cell r="B1217" t="str">
            <v>REG DR Tax Reform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</row>
        <row r="1218">
          <cell r="A1218" t="str">
            <v>4074020</v>
          </cell>
          <cell r="B1218" t="str">
            <v>REG CR Defd Fuel and Purchased Power</v>
          </cell>
          <cell r="C1218">
            <v>-1771147.4240832001</v>
          </cell>
          <cell r="D1218">
            <v>-1758805.8372865</v>
          </cell>
          <cell r="E1218">
            <v>-4363385.3319787998</v>
          </cell>
          <cell r="F1218">
            <v>-313052.95577240002</v>
          </cell>
          <cell r="G1218">
            <v>-3033504.6771363001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-3457289.7085555</v>
          </cell>
          <cell r="O1218">
            <v>-14697185.934812699</v>
          </cell>
        </row>
        <row r="1219">
          <cell r="A1219" t="str">
            <v>4074021</v>
          </cell>
          <cell r="B1219" t="str">
            <v>REG CR Defd Fuel and Purchased Power  - Amortiz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</row>
        <row r="1220">
          <cell r="A1220" t="str">
            <v>4074030</v>
          </cell>
          <cell r="B1220" t="str">
            <v>REG CR Defd Capacity</v>
          </cell>
          <cell r="C1220">
            <v>-1227575.1942600999</v>
          </cell>
          <cell r="D1220">
            <v>-1229049.2229595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-2456624.4172195997</v>
          </cell>
        </row>
        <row r="1221">
          <cell r="A1221" t="str">
            <v>4074031</v>
          </cell>
          <cell r="B1221" t="str">
            <v>REG CR Defd Capacity - Amortization</v>
          </cell>
          <cell r="C1221">
            <v>147623</v>
          </cell>
          <cell r="D1221">
            <v>147623</v>
          </cell>
          <cell r="E1221">
            <v>147623</v>
          </cell>
          <cell r="F1221">
            <v>147623</v>
          </cell>
          <cell r="G1221">
            <v>147623</v>
          </cell>
          <cell r="H1221">
            <v>147623</v>
          </cell>
          <cell r="I1221">
            <v>147623</v>
          </cell>
          <cell r="J1221">
            <v>147623</v>
          </cell>
          <cell r="K1221">
            <v>147623</v>
          </cell>
          <cell r="L1221">
            <v>147623</v>
          </cell>
          <cell r="M1221">
            <v>147623</v>
          </cell>
          <cell r="N1221">
            <v>147626.63</v>
          </cell>
          <cell r="O1221">
            <v>1771479.63</v>
          </cell>
        </row>
        <row r="1222">
          <cell r="A1222" t="str">
            <v>4074040</v>
          </cell>
          <cell r="B1222" t="str">
            <v>REG CR Defd Conservation - Elec</v>
          </cell>
          <cell r="C1222">
            <v>-32902</v>
          </cell>
          <cell r="D1222">
            <v>-100092</v>
          </cell>
          <cell r="E1222">
            <v>-136676</v>
          </cell>
          <cell r="F1222">
            <v>-179428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-141222</v>
          </cell>
          <cell r="O1222">
            <v>-590320</v>
          </cell>
        </row>
        <row r="1223">
          <cell r="A1223" t="str">
            <v>4074041</v>
          </cell>
          <cell r="B1223" t="str">
            <v>REG CR Defd Conservation - Elec - Amortiz</v>
          </cell>
          <cell r="C1223">
            <v>1441008</v>
          </cell>
          <cell r="D1223">
            <v>1441008</v>
          </cell>
          <cell r="E1223">
            <v>1441008</v>
          </cell>
          <cell r="F1223">
            <v>1441008</v>
          </cell>
          <cell r="G1223">
            <v>1441008</v>
          </cell>
          <cell r="H1223">
            <v>1441008</v>
          </cell>
          <cell r="I1223">
            <v>1441008</v>
          </cell>
          <cell r="J1223">
            <v>1441008</v>
          </cell>
          <cell r="K1223">
            <v>1441008</v>
          </cell>
          <cell r="L1223">
            <v>1441008</v>
          </cell>
          <cell r="M1223">
            <v>1441008</v>
          </cell>
          <cell r="N1223">
            <v>1441012</v>
          </cell>
          <cell r="O1223">
            <v>17292100</v>
          </cell>
        </row>
        <row r="1224">
          <cell r="A1224" t="str">
            <v>4074050</v>
          </cell>
          <cell r="B1224" t="str">
            <v>REG CR Defd Environmental</v>
          </cell>
          <cell r="C1224">
            <v>-366005</v>
          </cell>
          <cell r="D1224">
            <v>-672222</v>
          </cell>
          <cell r="E1224">
            <v>-761059</v>
          </cell>
          <cell r="F1224">
            <v>-514365</v>
          </cell>
          <cell r="G1224">
            <v>-125737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-295358</v>
          </cell>
          <cell r="N1224">
            <v>-489774</v>
          </cell>
          <cell r="O1224">
            <v>-3224520</v>
          </cell>
        </row>
        <row r="1225">
          <cell r="A1225" t="str">
            <v>4074051</v>
          </cell>
          <cell r="B1225" t="str">
            <v>REG CR Defd Environmental - Amortization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</row>
        <row r="1226">
          <cell r="A1226" t="str">
            <v>4074060</v>
          </cell>
          <cell r="B1226" t="str">
            <v>REG CR Defd Purchased Gas Adjustment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</row>
        <row r="1227">
          <cell r="A1227" t="str">
            <v>4074061</v>
          </cell>
          <cell r="B1227" t="str">
            <v>REG CR Defd PGA - Amortization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</row>
        <row r="1228">
          <cell r="A1228" t="str">
            <v>4074071</v>
          </cell>
          <cell r="B1228" t="str">
            <v>REG CR Defd CI/BSR Rider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</row>
        <row r="1229">
          <cell r="A1229" t="str">
            <v>4074072</v>
          </cell>
          <cell r="B1229" t="str">
            <v>REG CR Defd CIBSR - Amortization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</row>
        <row r="1230">
          <cell r="A1230" t="str">
            <v>4074090</v>
          </cell>
          <cell r="B1230" t="str">
            <v>REG CR Defd SPPCRC</v>
          </cell>
          <cell r="C1230">
            <v>0</v>
          </cell>
          <cell r="D1230">
            <v>-98859</v>
          </cell>
          <cell r="E1230">
            <v>-271419</v>
          </cell>
          <cell r="F1230">
            <v>-478424</v>
          </cell>
          <cell r="G1230">
            <v>-169137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-521570</v>
          </cell>
          <cell r="N1230">
            <v>-746825</v>
          </cell>
          <cell r="O1230">
            <v>-2286234</v>
          </cell>
        </row>
        <row r="1231">
          <cell r="A1231" t="str">
            <v>4074091</v>
          </cell>
          <cell r="B1231" t="str">
            <v>REG CR Defd SPPCRC - Amortization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</row>
        <row r="1232">
          <cell r="A1232" t="str">
            <v>4074140</v>
          </cell>
          <cell r="B1232" t="str">
            <v>REG CR Defd Conservation - Gas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</row>
        <row r="1233">
          <cell r="A1233" t="str">
            <v>4074141</v>
          </cell>
          <cell r="B1233" t="str">
            <v>REG CR Defd Conservation - Gas - Amortiz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</row>
        <row r="1234">
          <cell r="A1234" t="str">
            <v>4074200</v>
          </cell>
          <cell r="B1234" t="str">
            <v>REG CR Deferred PBOP FAS106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</row>
        <row r="1235">
          <cell r="A1235" t="str">
            <v>4074211</v>
          </cell>
          <cell r="B1235" t="str">
            <v>REG CR FERC Wholesale (AFUDC) - Amortization</v>
          </cell>
          <cell r="C1235">
            <v>202.35599999999999</v>
          </cell>
          <cell r="D1235">
            <v>202.35599999999999</v>
          </cell>
          <cell r="E1235">
            <v>202.35599999999999</v>
          </cell>
          <cell r="F1235">
            <v>202.35599999999999</v>
          </cell>
          <cell r="G1235">
            <v>202.35599999999999</v>
          </cell>
          <cell r="H1235">
            <v>202.35599999999999</v>
          </cell>
          <cell r="I1235">
            <v>202.35599999999999</v>
          </cell>
          <cell r="J1235">
            <v>202.35599999999999</v>
          </cell>
          <cell r="K1235">
            <v>202.35599999999999</v>
          </cell>
          <cell r="L1235">
            <v>202.35599999999999</v>
          </cell>
          <cell r="M1235">
            <v>202.35599999999999</v>
          </cell>
          <cell r="N1235">
            <v>202.35599999999999</v>
          </cell>
          <cell r="O1235">
            <v>2428.2719999999999</v>
          </cell>
        </row>
        <row r="1236">
          <cell r="A1236" t="str">
            <v>4074212</v>
          </cell>
          <cell r="B1236" t="str">
            <v>REG CR Tax Reform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</row>
        <row r="1237">
          <cell r="A1237" t="str">
            <v>4118010</v>
          </cell>
          <cell r="B1237" t="str">
            <v>SO2 Allowance Sales - Retail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</row>
        <row r="1238">
          <cell r="A1238" t="str">
            <v>4118011</v>
          </cell>
          <cell r="B1238" t="str">
            <v>SO2 Allowance Sales - Wholesale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</row>
        <row r="1239">
          <cell r="A1239" t="str">
            <v>4118020</v>
          </cell>
          <cell r="B1239" t="str">
            <v>NOX Allowance Sales - Retail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</row>
        <row r="1240">
          <cell r="A1240" t="str">
            <v>4118021</v>
          </cell>
          <cell r="B1240" t="str">
            <v>NOX Allowance Sales - Wholesale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</row>
        <row r="1241">
          <cell r="A1241" t="str">
            <v>4118030</v>
          </cell>
          <cell r="B1241" t="str">
            <v>Conservation ROI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</row>
        <row r="1242">
          <cell r="A1242" t="str">
            <v>4118040</v>
          </cell>
          <cell r="B1242" t="str">
            <v>Environmental ROI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</row>
        <row r="1243">
          <cell r="A1243" t="str">
            <v>4118050</v>
          </cell>
          <cell r="B1243" t="str">
            <v>GPIF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</row>
        <row r="1244">
          <cell r="A1244" t="str">
            <v>4118060</v>
          </cell>
          <cell r="B1244" t="str">
            <v>Line Loss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</row>
        <row r="1245">
          <cell r="A1245" t="str">
            <v>4119030</v>
          </cell>
          <cell r="B1245" t="str">
            <v>Recoverable Conservation Benefit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</row>
        <row r="1246">
          <cell r="A1246" t="str">
            <v>4119040</v>
          </cell>
          <cell r="B1246" t="str">
            <v>Recoverable ECRC (Environmental O&amp;M expense)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</row>
        <row r="1247">
          <cell r="A1247" t="str">
            <v>4120000</v>
          </cell>
          <cell r="B1247" t="str">
            <v>Revenues from Gas Plant leased to Others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</row>
        <row r="1248">
          <cell r="A1248" t="str">
            <v>4120001</v>
          </cell>
          <cell r="B1248" t="str">
            <v>Revenues from Gas Plant leased to Others-GAAP adj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</row>
        <row r="1249">
          <cell r="A1249" t="str">
            <v>4120002</v>
          </cell>
          <cell r="B1249" t="str">
            <v>Rev from Gas Plant leased-Interest Earned GAAP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</row>
        <row r="1250">
          <cell r="A1250" t="str">
            <v>4400010</v>
          </cell>
          <cell r="B1250" t="str">
            <v>Residential Base Revenue</v>
          </cell>
          <cell r="C1250">
            <v>50228676.732883401</v>
          </cell>
          <cell r="D1250">
            <v>45556010.333883397</v>
          </cell>
          <cell r="E1250">
            <v>43720040.076883398</v>
          </cell>
          <cell r="F1250">
            <v>46202756.303883404</v>
          </cell>
          <cell r="G1250">
            <v>52746826.796751097</v>
          </cell>
          <cell r="H1250">
            <v>63935621.202886797</v>
          </cell>
          <cell r="I1250">
            <v>67500239.379022494</v>
          </cell>
          <cell r="J1250">
            <v>66767234.7951582</v>
          </cell>
          <cell r="K1250">
            <v>69762033.731293902</v>
          </cell>
          <cell r="L1250">
            <v>61921650.407429598</v>
          </cell>
          <cell r="M1250">
            <v>49698253.773565397</v>
          </cell>
          <cell r="N1250">
            <v>46759753.513565399</v>
          </cell>
          <cell r="O1250">
            <v>664799097.04720652</v>
          </cell>
        </row>
        <row r="1251">
          <cell r="A1251" t="str">
            <v>4400020</v>
          </cell>
          <cell r="B1251" t="str">
            <v>Residential Sales Fuel Adjustment Revenue</v>
          </cell>
          <cell r="C1251">
            <v>26458328.988867</v>
          </cell>
          <cell r="D1251">
            <v>23302528.722470399</v>
          </cell>
          <cell r="E1251">
            <v>22429866.978697501</v>
          </cell>
          <cell r="F1251">
            <v>24151508.517837301</v>
          </cell>
          <cell r="G1251">
            <v>28130427.2908816</v>
          </cell>
          <cell r="H1251">
            <v>35102777.821077503</v>
          </cell>
          <cell r="I1251">
            <v>37399827.061694004</v>
          </cell>
          <cell r="J1251">
            <v>36905092.096633703</v>
          </cell>
          <cell r="K1251">
            <v>39013450.746780999</v>
          </cell>
          <cell r="L1251">
            <v>33802221.542457499</v>
          </cell>
          <cell r="M1251">
            <v>26182002.471881799</v>
          </cell>
          <cell r="N1251">
            <v>24394077.1034008</v>
          </cell>
          <cell r="O1251">
            <v>357272109.34268016</v>
          </cell>
        </row>
        <row r="1252">
          <cell r="A1252" t="str">
            <v>4400030</v>
          </cell>
          <cell r="B1252" t="str">
            <v>Residential Capacity Revenue</v>
          </cell>
          <cell r="C1252">
            <v>14341.33</v>
          </cell>
          <cell r="D1252">
            <v>12730.24</v>
          </cell>
          <cell r="E1252">
            <v>12096.18</v>
          </cell>
          <cell r="F1252">
            <v>12929.65</v>
          </cell>
          <cell r="G1252">
            <v>15125.31</v>
          </cell>
          <cell r="H1252">
            <v>18884.21</v>
          </cell>
          <cell r="I1252">
            <v>20063.349999999999</v>
          </cell>
          <cell r="J1252">
            <v>19838.63</v>
          </cell>
          <cell r="K1252">
            <v>20817.330000000002</v>
          </cell>
          <cell r="L1252">
            <v>18252.77</v>
          </cell>
          <cell r="M1252">
            <v>14109.42</v>
          </cell>
          <cell r="N1252">
            <v>13120.29</v>
          </cell>
          <cell r="O1252">
            <v>192308.71000000005</v>
          </cell>
        </row>
        <row r="1253">
          <cell r="A1253" t="str">
            <v>4400040</v>
          </cell>
          <cell r="B1253" t="str">
            <v>Residential Conservation Revenue</v>
          </cell>
          <cell r="C1253">
            <v>1191035.93</v>
          </cell>
          <cell r="D1253">
            <v>1057193.97</v>
          </cell>
          <cell r="E1253">
            <v>1004610.67</v>
          </cell>
          <cell r="F1253">
            <v>1073769.47</v>
          </cell>
          <cell r="G1253">
            <v>1256005.19</v>
          </cell>
          <cell r="H1253">
            <v>1567984.34</v>
          </cell>
          <cell r="I1253">
            <v>1665699.24</v>
          </cell>
          <cell r="J1253">
            <v>1647145.15</v>
          </cell>
          <cell r="K1253">
            <v>1728232.91</v>
          </cell>
          <cell r="L1253">
            <v>1515503.82</v>
          </cell>
          <cell r="M1253">
            <v>1171495.47</v>
          </cell>
          <cell r="N1253">
            <v>1089592.3400000001</v>
          </cell>
          <cell r="O1253">
            <v>15968268.500000002</v>
          </cell>
        </row>
        <row r="1254">
          <cell r="A1254" t="str">
            <v>4400050</v>
          </cell>
          <cell r="B1254" t="str">
            <v>Residential Environmental Revenue</v>
          </cell>
          <cell r="C1254">
            <v>1931283.97</v>
          </cell>
          <cell r="D1254">
            <v>1714302.27</v>
          </cell>
          <cell r="E1254">
            <v>1629077.16</v>
          </cell>
          <cell r="F1254">
            <v>1741136.69</v>
          </cell>
          <cell r="G1254">
            <v>2036404.37</v>
          </cell>
          <cell r="H1254">
            <v>2541940.33</v>
          </cell>
          <cell r="I1254">
            <v>2700257.73</v>
          </cell>
          <cell r="J1254">
            <v>2670157.56</v>
          </cell>
          <cell r="K1254">
            <v>2801583.15</v>
          </cell>
          <cell r="L1254">
            <v>2456831.04</v>
          </cell>
          <cell r="M1254">
            <v>1899389.61</v>
          </cell>
          <cell r="N1254">
            <v>1766706.7</v>
          </cell>
          <cell r="O1254">
            <v>25889070.579999998</v>
          </cell>
        </row>
        <row r="1255">
          <cell r="A1255" t="str">
            <v>4400060</v>
          </cell>
          <cell r="B1255" t="str">
            <v>Residential Franchise Revenue</v>
          </cell>
          <cell r="C1255">
            <v>1649929.5832648</v>
          </cell>
          <cell r="D1255">
            <v>1537809.4853047</v>
          </cell>
          <cell r="E1255">
            <v>1400361.2847597001</v>
          </cell>
          <cell r="F1255">
            <v>1472316.7311639001</v>
          </cell>
          <cell r="G1255">
            <v>1676682.1647123001</v>
          </cell>
          <cell r="H1255">
            <v>2097422.6141797998</v>
          </cell>
          <cell r="I1255">
            <v>2276936.7240883</v>
          </cell>
          <cell r="J1255">
            <v>2234307.8921075999</v>
          </cell>
          <cell r="K1255">
            <v>2369802.1642565001</v>
          </cell>
          <cell r="L1255">
            <v>2099085.7307165</v>
          </cell>
          <cell r="M1255">
            <v>1651512.0691825</v>
          </cell>
          <cell r="N1255">
            <v>1517418.3165831999</v>
          </cell>
          <cell r="O1255">
            <v>21983584.760319803</v>
          </cell>
        </row>
        <row r="1256">
          <cell r="A1256" t="str">
            <v>4400070</v>
          </cell>
          <cell r="B1256" t="str">
            <v>Residential Gross Receipts Tax Revenue</v>
          </cell>
          <cell r="C1256">
            <v>2083710.7633613001</v>
          </cell>
          <cell r="D1256">
            <v>1868924.4336673</v>
          </cell>
          <cell r="E1256">
            <v>1793880.9061773</v>
          </cell>
          <cell r="F1256">
            <v>1908870.4251444</v>
          </cell>
          <cell r="G1256">
            <v>2197707.5759218</v>
          </cell>
          <cell r="H1256">
            <v>2696107.9251873</v>
          </cell>
          <cell r="I1256">
            <v>2856632.8669484002</v>
          </cell>
          <cell r="J1256">
            <v>2823138.0265802001</v>
          </cell>
          <cell r="K1256">
            <v>2962511.2899904</v>
          </cell>
          <cell r="L1256">
            <v>2605532.9945407999</v>
          </cell>
          <cell r="M1256">
            <v>2060665.8723905</v>
          </cell>
          <cell r="N1256">
            <v>1930883.1738662</v>
          </cell>
          <cell r="O1256">
            <v>27788566.253775902</v>
          </cell>
        </row>
        <row r="1257">
          <cell r="A1257">
            <v>4400090</v>
          </cell>
          <cell r="B1257" t="str">
            <v>Residential Storm Revenue</v>
          </cell>
          <cell r="C1257">
            <v>1716031.28</v>
          </cell>
          <cell r="D1257">
            <v>1523301.34</v>
          </cell>
          <cell r="E1257">
            <v>1447572.55</v>
          </cell>
          <cell r="F1257">
            <v>1547114.93</v>
          </cell>
          <cell r="G1257">
            <v>1809449.68</v>
          </cell>
          <cell r="H1257">
            <v>2258575.41</v>
          </cell>
          <cell r="I1257">
            <v>2399231.9900000002</v>
          </cell>
          <cell r="J1257">
            <v>2372506.86</v>
          </cell>
          <cell r="K1257">
            <v>2489247.85</v>
          </cell>
          <cell r="L1257">
            <v>2182976.6</v>
          </cell>
          <cell r="M1257">
            <v>1687712.71</v>
          </cell>
          <cell r="N1257">
            <v>1569803.29</v>
          </cell>
          <cell r="O1257">
            <v>23003524.490000002</v>
          </cell>
        </row>
        <row r="1258">
          <cell r="A1258" t="str">
            <v>4420010</v>
          </cell>
          <cell r="B1258" t="str">
            <v>Commercial Small Base Revenue</v>
          </cell>
          <cell r="C1258">
            <v>23612691.035161</v>
          </cell>
          <cell r="D1258">
            <v>23218483.4465435</v>
          </cell>
          <cell r="E1258">
            <v>23370223.404076502</v>
          </cell>
          <cell r="F1258">
            <v>24200847.820134498</v>
          </cell>
          <cell r="G1258">
            <v>25514685.253327001</v>
          </cell>
          <cell r="H1258">
            <v>27517245.067954998</v>
          </cell>
          <cell r="I1258">
            <v>28260140.562243</v>
          </cell>
          <cell r="J1258">
            <v>28216776.2570315</v>
          </cell>
          <cell r="K1258">
            <v>28853015.1947245</v>
          </cell>
          <cell r="L1258">
            <v>27555628.7658085</v>
          </cell>
          <cell r="M1258">
            <v>25373289.933737502</v>
          </cell>
          <cell r="N1258">
            <v>24527237.744243499</v>
          </cell>
          <cell r="O1258">
            <v>310220264.48498601</v>
          </cell>
        </row>
        <row r="1259">
          <cell r="A1259" t="str">
            <v>4420020</v>
          </cell>
          <cell r="B1259" t="str">
            <v>Commercial Small Sales Fuel Adjustment Revenue</v>
          </cell>
          <cell r="C1259">
            <v>12438160.5958525</v>
          </cell>
          <cell r="D1259">
            <v>11876575.087236401</v>
          </cell>
          <cell r="E1259">
            <v>11989719.160688501</v>
          </cell>
          <cell r="F1259">
            <v>12650478.651589399</v>
          </cell>
          <cell r="G1259">
            <v>13607245.0601456</v>
          </cell>
          <cell r="H1259">
            <v>15107880.7352692</v>
          </cell>
          <cell r="I1259">
            <v>15658083.2822279</v>
          </cell>
          <cell r="J1259">
            <v>15596613.0637384</v>
          </cell>
          <cell r="K1259">
            <v>16135648.962460799</v>
          </cell>
          <cell r="L1259">
            <v>15042258.4371526</v>
          </cell>
          <cell r="M1259">
            <v>13367140.479254499</v>
          </cell>
          <cell r="N1259">
            <v>12795604.8462262</v>
          </cell>
          <cell r="O1259">
            <v>166265408.36184204</v>
          </cell>
        </row>
        <row r="1260">
          <cell r="A1260" t="str">
            <v>4420030</v>
          </cell>
          <cell r="B1260" t="str">
            <v>Commercial Small Capacity Revenue</v>
          </cell>
          <cell r="C1260">
            <v>10574</v>
          </cell>
          <cell r="D1260">
            <v>10614</v>
          </cell>
          <cell r="E1260">
            <v>10646</v>
          </cell>
          <cell r="F1260">
            <v>10880</v>
          </cell>
          <cell r="G1260">
            <v>11424</v>
          </cell>
          <cell r="H1260">
            <v>12246</v>
          </cell>
          <cell r="I1260">
            <v>12538</v>
          </cell>
          <cell r="J1260">
            <v>12540</v>
          </cell>
          <cell r="K1260">
            <v>12796</v>
          </cell>
          <cell r="L1260">
            <v>12330</v>
          </cell>
          <cell r="M1260">
            <v>11428</v>
          </cell>
          <cell r="N1260">
            <v>11046</v>
          </cell>
          <cell r="O1260">
            <v>139062</v>
          </cell>
        </row>
        <row r="1261">
          <cell r="A1261" t="str">
            <v>4420040</v>
          </cell>
          <cell r="B1261" t="str">
            <v>Commercial Small Conservation Revenue</v>
          </cell>
          <cell r="C1261">
            <v>666720</v>
          </cell>
          <cell r="D1261">
            <v>667447</v>
          </cell>
          <cell r="E1261">
            <v>669683</v>
          </cell>
          <cell r="F1261">
            <v>685173</v>
          </cell>
          <cell r="G1261">
            <v>719801</v>
          </cell>
          <cell r="H1261">
            <v>772501</v>
          </cell>
          <cell r="I1261">
            <v>791444</v>
          </cell>
          <cell r="J1261">
            <v>791217</v>
          </cell>
          <cell r="K1261">
            <v>807794</v>
          </cell>
          <cell r="L1261">
            <v>777131</v>
          </cell>
          <cell r="M1261">
            <v>719452</v>
          </cell>
          <cell r="N1261">
            <v>695645</v>
          </cell>
          <cell r="O1261">
            <v>8764008</v>
          </cell>
        </row>
        <row r="1262">
          <cell r="A1262" t="str">
            <v>4420050</v>
          </cell>
          <cell r="B1262" t="str">
            <v>Commercial Small Environmental Revenue</v>
          </cell>
          <cell r="C1262">
            <v>1228099</v>
          </cell>
          <cell r="D1262">
            <v>1163221</v>
          </cell>
          <cell r="E1262">
            <v>1177996</v>
          </cell>
          <cell r="F1262">
            <v>1250257</v>
          </cell>
          <cell r="G1262">
            <v>1338837</v>
          </cell>
          <cell r="H1262">
            <v>1493862</v>
          </cell>
          <cell r="I1262">
            <v>1551113</v>
          </cell>
          <cell r="J1262">
            <v>1543162</v>
          </cell>
          <cell r="K1262">
            <v>1598899</v>
          </cell>
          <cell r="L1262">
            <v>1482922</v>
          </cell>
          <cell r="M1262">
            <v>1320846</v>
          </cell>
          <cell r="N1262">
            <v>1271356</v>
          </cell>
          <cell r="O1262">
            <v>16420570</v>
          </cell>
        </row>
        <row r="1263">
          <cell r="A1263" t="str">
            <v>4420060</v>
          </cell>
          <cell r="B1263" t="str">
            <v>Commercial Small Franchise Revenue</v>
          </cell>
          <cell r="C1263">
            <v>1388608.4111085001</v>
          </cell>
          <cell r="D1263">
            <v>1282806.9891188999</v>
          </cell>
          <cell r="E1263">
            <v>1327524.7448521</v>
          </cell>
          <cell r="F1263">
            <v>1407516.7426789</v>
          </cell>
          <cell r="G1263">
            <v>1534491.6258576999</v>
          </cell>
          <cell r="H1263">
            <v>1701674.3092926999</v>
          </cell>
          <cell r="I1263">
            <v>1721782.5053153001</v>
          </cell>
          <cell r="J1263">
            <v>1729471.2509995</v>
          </cell>
          <cell r="K1263">
            <v>1751774.2634487001</v>
          </cell>
          <cell r="L1263">
            <v>1631598.4566542001</v>
          </cell>
          <cell r="M1263">
            <v>1450484.8437355999</v>
          </cell>
          <cell r="N1263">
            <v>1391500.0206327999</v>
          </cell>
          <cell r="O1263">
            <v>18319234.1636949</v>
          </cell>
        </row>
        <row r="1264">
          <cell r="A1264" t="str">
            <v>4420070</v>
          </cell>
          <cell r="B1264" t="str">
            <v>Commercial Small Gross Receipts Tax Revenue</v>
          </cell>
          <cell r="C1264">
            <v>933981.38280110003</v>
          </cell>
          <cell r="D1264">
            <v>907761.13362810004</v>
          </cell>
          <cell r="E1264">
            <v>914866.79474379995</v>
          </cell>
          <cell r="F1264">
            <v>955537.88684299996</v>
          </cell>
          <cell r="G1264">
            <v>1017604.3918608</v>
          </cell>
          <cell r="H1264">
            <v>1113897.4676512</v>
          </cell>
          <cell r="I1264">
            <v>1149305.2474258</v>
          </cell>
          <cell r="J1264">
            <v>1146242.6028466001</v>
          </cell>
          <cell r="K1264">
            <v>1178473.2964415001</v>
          </cell>
          <cell r="L1264">
            <v>1112514.5384368999</v>
          </cell>
          <cell r="M1264">
            <v>1006385.1898479</v>
          </cell>
          <cell r="N1264">
            <v>967394.66141209996</v>
          </cell>
          <cell r="O1264">
            <v>12403964.593938801</v>
          </cell>
        </row>
        <row r="1265">
          <cell r="A1265" t="str">
            <v>4420080</v>
          </cell>
          <cell r="B1265" t="str">
            <v>Commercial Small Optional Billing Provision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</row>
        <row r="1266">
          <cell r="A1266">
            <v>4420090</v>
          </cell>
          <cell r="B1266" t="str">
            <v>Commercial Small Storm Revenue</v>
          </cell>
          <cell r="C1266">
            <v>843167.79</v>
          </cell>
          <cell r="D1266">
            <v>841936.41</v>
          </cell>
          <cell r="E1266">
            <v>844803.98</v>
          </cell>
          <cell r="F1266">
            <v>865515.2</v>
          </cell>
          <cell r="G1266">
            <v>909635.76</v>
          </cell>
          <cell r="H1266">
            <v>977571.19</v>
          </cell>
          <cell r="I1266">
            <v>1001921.18</v>
          </cell>
          <cell r="J1266">
            <v>1001386.54</v>
          </cell>
          <cell r="K1266">
            <v>1022951.75</v>
          </cell>
          <cell r="L1266">
            <v>982572.67</v>
          </cell>
          <cell r="M1266">
            <v>908323.54</v>
          </cell>
          <cell r="N1266">
            <v>878013.23</v>
          </cell>
          <cell r="O1266">
            <v>11077799.240000002</v>
          </cell>
        </row>
        <row r="1267">
          <cell r="A1267" t="str">
            <v>4420110</v>
          </cell>
          <cell r="B1267" t="str">
            <v>Commercial Large Base Revenue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</row>
        <row r="1268">
          <cell r="A1268" t="str">
            <v>4420120</v>
          </cell>
          <cell r="B1268" t="str">
            <v>Commercial Large Sales Fuel Adjustment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</row>
        <row r="1269">
          <cell r="A1269" t="str">
            <v>4420130</v>
          </cell>
          <cell r="B1269" t="str">
            <v>Commercial Large Capacity Revenue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</row>
        <row r="1270">
          <cell r="A1270" t="str">
            <v>4420140</v>
          </cell>
          <cell r="B1270" t="str">
            <v>Commercial Large Conservation Revenue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</row>
        <row r="1271">
          <cell r="A1271" t="str">
            <v>4420150</v>
          </cell>
          <cell r="B1271" t="str">
            <v>Commercial Large Environmental Revenue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</row>
        <row r="1272">
          <cell r="A1272" t="str">
            <v>4420160</v>
          </cell>
          <cell r="B1272" t="str">
            <v>Commercial Large Franchise Revenue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</row>
        <row r="1273">
          <cell r="A1273" t="str">
            <v>4420170</v>
          </cell>
          <cell r="B1273" t="str">
            <v>Commercial Large Gross Receipts Tax Revenue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</row>
        <row r="1274">
          <cell r="A1274" t="str">
            <v>4420180</v>
          </cell>
          <cell r="B1274" t="str">
            <v>Commercial Large Optional Billing Provision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</row>
        <row r="1275">
          <cell r="A1275">
            <v>4420190</v>
          </cell>
          <cell r="B1275" t="str">
            <v>Commercial Large Storm Revenue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</row>
        <row r="1276">
          <cell r="A1276" t="str">
            <v>4420210</v>
          </cell>
          <cell r="B1276" t="str">
            <v>Industrial-Phosphate Small Base Revenue</v>
          </cell>
          <cell r="C1276">
            <v>1891987</v>
          </cell>
          <cell r="D1276">
            <v>1796952</v>
          </cell>
          <cell r="E1276">
            <v>1892134</v>
          </cell>
          <cell r="F1276">
            <v>1860418</v>
          </cell>
          <cell r="G1276">
            <v>1892226</v>
          </cell>
          <cell r="H1276">
            <v>1860424</v>
          </cell>
          <cell r="I1276">
            <v>1892127</v>
          </cell>
          <cell r="J1276">
            <v>1892153</v>
          </cell>
          <cell r="K1276">
            <v>1860416</v>
          </cell>
          <cell r="L1276">
            <v>1892203</v>
          </cell>
          <cell r="M1276">
            <v>1860481</v>
          </cell>
          <cell r="N1276">
            <v>1892054</v>
          </cell>
          <cell r="O1276">
            <v>22483575</v>
          </cell>
        </row>
        <row r="1277">
          <cell r="A1277" t="str">
            <v>4420220</v>
          </cell>
          <cell r="B1277" t="str">
            <v>Industrial-Phosphate Small Sales Fuel Adjustment</v>
          </cell>
          <cell r="C1277">
            <v>996618.22179530002</v>
          </cell>
          <cell r="D1277">
            <v>919165.77606349997</v>
          </cell>
          <cell r="E1277">
            <v>970729.07186809997</v>
          </cell>
          <cell r="F1277">
            <v>972493.95421810006</v>
          </cell>
          <cell r="G1277">
            <v>1009143.6612106001</v>
          </cell>
          <cell r="H1277">
            <v>1021434.516414</v>
          </cell>
          <cell r="I1277">
            <v>1048369.9499406</v>
          </cell>
          <cell r="J1277">
            <v>1045873.4877992</v>
          </cell>
          <cell r="K1277">
            <v>1040411.8702171</v>
          </cell>
          <cell r="L1277">
            <v>1032928.944698</v>
          </cell>
          <cell r="M1277">
            <v>980137.41816420003</v>
          </cell>
          <cell r="N1277">
            <v>987064.8943093</v>
          </cell>
          <cell r="O1277">
            <v>12024371.766697999</v>
          </cell>
        </row>
        <row r="1278">
          <cell r="A1278" t="str">
            <v>4420230</v>
          </cell>
          <cell r="B1278" t="str">
            <v>Industrial-Phosphate Small Capacity Revenue</v>
          </cell>
          <cell r="C1278">
            <v>3</v>
          </cell>
          <cell r="D1278">
            <v>3</v>
          </cell>
          <cell r="E1278">
            <v>3</v>
          </cell>
          <cell r="F1278">
            <v>3</v>
          </cell>
          <cell r="G1278">
            <v>3</v>
          </cell>
          <cell r="H1278">
            <v>3</v>
          </cell>
          <cell r="I1278">
            <v>3</v>
          </cell>
          <cell r="J1278">
            <v>3</v>
          </cell>
          <cell r="K1278">
            <v>3</v>
          </cell>
          <cell r="L1278">
            <v>3</v>
          </cell>
          <cell r="M1278">
            <v>3</v>
          </cell>
          <cell r="N1278">
            <v>3</v>
          </cell>
          <cell r="O1278">
            <v>36</v>
          </cell>
        </row>
        <row r="1279">
          <cell r="A1279" t="str">
            <v>4420240</v>
          </cell>
          <cell r="B1279" t="str">
            <v>Industrial-Phosphate Small Conservation Revenue</v>
          </cell>
          <cell r="C1279">
            <v>54107</v>
          </cell>
          <cell r="D1279">
            <v>54107</v>
          </cell>
          <cell r="E1279">
            <v>54107</v>
          </cell>
          <cell r="F1279">
            <v>54107</v>
          </cell>
          <cell r="G1279">
            <v>54107</v>
          </cell>
          <cell r="H1279">
            <v>54107</v>
          </cell>
          <cell r="I1279">
            <v>54107</v>
          </cell>
          <cell r="J1279">
            <v>54107</v>
          </cell>
          <cell r="K1279">
            <v>54107</v>
          </cell>
          <cell r="L1279">
            <v>54107</v>
          </cell>
          <cell r="M1279">
            <v>54107</v>
          </cell>
          <cell r="N1279">
            <v>54107</v>
          </cell>
          <cell r="O1279">
            <v>649284</v>
          </cell>
        </row>
        <row r="1280">
          <cell r="A1280" t="str">
            <v>4420250</v>
          </cell>
          <cell r="B1280" t="str">
            <v>Industrial-Phosphate Small Environmental Revenue</v>
          </cell>
          <cell r="C1280">
            <v>141318</v>
          </cell>
          <cell r="D1280">
            <v>127642</v>
          </cell>
          <cell r="E1280">
            <v>141318</v>
          </cell>
          <cell r="F1280">
            <v>136759</v>
          </cell>
          <cell r="G1280">
            <v>141318</v>
          </cell>
          <cell r="H1280">
            <v>136759</v>
          </cell>
          <cell r="I1280">
            <v>141318</v>
          </cell>
          <cell r="J1280">
            <v>141318</v>
          </cell>
          <cell r="K1280">
            <v>136759</v>
          </cell>
          <cell r="L1280">
            <v>141318</v>
          </cell>
          <cell r="M1280">
            <v>136759</v>
          </cell>
          <cell r="N1280">
            <v>141318</v>
          </cell>
          <cell r="O1280">
            <v>1663904</v>
          </cell>
        </row>
        <row r="1281">
          <cell r="A1281" t="str">
            <v>4420260</v>
          </cell>
          <cell r="B1281" t="str">
            <v>Industrial-Phosphate Small Franchise Revenue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</row>
        <row r="1282">
          <cell r="A1282" t="str">
            <v>4420270</v>
          </cell>
          <cell r="B1282" t="str">
            <v>Industrial-Phosphate Small Gross Receipts Tax Rev</v>
          </cell>
          <cell r="C1282">
            <v>68818.959361800007</v>
          </cell>
          <cell r="D1282">
            <v>64042.130934499997</v>
          </cell>
          <cell r="E1282">
            <v>68152.877605200003</v>
          </cell>
          <cell r="F1282">
            <v>67264.927642900002</v>
          </cell>
          <cell r="G1282">
            <v>69134.321191800002</v>
          </cell>
          <cell r="H1282">
            <v>68514.075762099994</v>
          </cell>
          <cell r="I1282">
            <v>70131.627735400005</v>
          </cell>
          <cell r="J1282">
            <v>70065.233472699998</v>
          </cell>
          <cell r="K1282">
            <v>68991.400296299995</v>
          </cell>
          <cell r="L1282">
            <v>69728.550646200005</v>
          </cell>
          <cell r="M1282">
            <v>67441.436009700003</v>
          </cell>
          <cell r="N1282">
            <v>68542.667010999998</v>
          </cell>
          <cell r="O1282">
            <v>820828.20766959991</v>
          </cell>
        </row>
        <row r="1283">
          <cell r="A1283" t="str">
            <v>4420280</v>
          </cell>
          <cell r="B1283" t="str">
            <v>Industrial-Phosphate Small Optional Billing Provsn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</row>
        <row r="1284">
          <cell r="A1284">
            <v>4420290</v>
          </cell>
          <cell r="B1284" t="str">
            <v>Industrial Phosphate Small Storm Revenue</v>
          </cell>
          <cell r="C1284">
            <v>19744.560000000001</v>
          </cell>
          <cell r="D1284">
            <v>19744.48</v>
          </cell>
          <cell r="E1284">
            <v>19744.439999999999</v>
          </cell>
          <cell r="F1284">
            <v>19744.400000000001</v>
          </cell>
          <cell r="G1284">
            <v>19744.34</v>
          </cell>
          <cell r="H1284">
            <v>19744.28</v>
          </cell>
          <cell r="I1284">
            <v>19744.259999999998</v>
          </cell>
          <cell r="J1284">
            <v>19744.240000000002</v>
          </cell>
          <cell r="K1284">
            <v>19744.22</v>
          </cell>
          <cell r="L1284">
            <v>19744.21</v>
          </cell>
          <cell r="M1284">
            <v>19744.189999999999</v>
          </cell>
          <cell r="N1284">
            <v>19744.2</v>
          </cell>
          <cell r="O1284">
            <v>236931.82</v>
          </cell>
        </row>
        <row r="1285">
          <cell r="A1285" t="str">
            <v>4420310</v>
          </cell>
          <cell r="B1285" t="str">
            <v>Industrial-Phosphate Large Base Revenue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</row>
        <row r="1286">
          <cell r="A1286" t="str">
            <v>4420320</v>
          </cell>
          <cell r="B1286" t="str">
            <v>Industrial-Phosphate Large Sales Fuel Adjustment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</row>
        <row r="1287">
          <cell r="A1287" t="str">
            <v>4420330</v>
          </cell>
          <cell r="B1287" t="str">
            <v>Industrial-Phosphate Large Capacity Revenue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</row>
        <row r="1288">
          <cell r="A1288" t="str">
            <v>4420340</v>
          </cell>
          <cell r="B1288" t="str">
            <v>Industrial-Phosphate Large Conservation Revenue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</row>
        <row r="1289">
          <cell r="A1289" t="str">
            <v>4420350</v>
          </cell>
          <cell r="B1289" t="str">
            <v>Industrial-Phosphate Large Environmental Revenue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</row>
        <row r="1290">
          <cell r="A1290" t="str">
            <v>4420360</v>
          </cell>
          <cell r="B1290" t="str">
            <v>Industrial-Phosphate Large Franchise Revenue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</row>
        <row r="1291">
          <cell r="A1291" t="str">
            <v>4420370</v>
          </cell>
          <cell r="B1291" t="str">
            <v>Industrial-Phosphate Large Gross Receipts Tax Rev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</row>
        <row r="1292">
          <cell r="A1292" t="str">
            <v>4420380</v>
          </cell>
          <cell r="B1292" t="str">
            <v>Industrial-Phosphate Large Optional Billing Provsn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</row>
        <row r="1293">
          <cell r="A1293">
            <v>4420390</v>
          </cell>
          <cell r="B1293" t="str">
            <v>Industrial Phosphate Large Storm Revenue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</row>
        <row r="1294">
          <cell r="A1294" t="str">
            <v>4420410</v>
          </cell>
          <cell r="B1294" t="str">
            <v>Industrial-Other Small Base Revenue</v>
          </cell>
          <cell r="C1294">
            <v>3890631</v>
          </cell>
          <cell r="D1294">
            <v>3844732</v>
          </cell>
          <cell r="E1294">
            <v>3953540</v>
          </cell>
          <cell r="F1294">
            <v>4100435</v>
          </cell>
          <cell r="G1294">
            <v>4231112</v>
          </cell>
          <cell r="H1294">
            <v>4289942</v>
          </cell>
          <cell r="I1294">
            <v>4309628</v>
          </cell>
          <cell r="J1294">
            <v>4285224</v>
          </cell>
          <cell r="K1294">
            <v>4288126</v>
          </cell>
          <cell r="L1294">
            <v>4166303</v>
          </cell>
          <cell r="M1294">
            <v>4045999</v>
          </cell>
          <cell r="N1294">
            <v>4054871</v>
          </cell>
          <cell r="O1294">
            <v>49460543</v>
          </cell>
        </row>
        <row r="1295">
          <cell r="A1295" t="str">
            <v>4420420</v>
          </cell>
          <cell r="B1295" t="str">
            <v>Industrial-Other Small Sales Fuel Adjustment Rev</v>
          </cell>
          <cell r="C1295">
            <v>2049418.8114833001</v>
          </cell>
          <cell r="D1295">
            <v>1966633.5397584999</v>
          </cell>
          <cell r="E1295">
            <v>2028300.4347438</v>
          </cell>
          <cell r="F1295">
            <v>2143415.2148410999</v>
          </cell>
          <cell r="G1295">
            <v>2256495.7117555002</v>
          </cell>
          <cell r="H1295">
            <v>2355320.5248987</v>
          </cell>
          <cell r="I1295">
            <v>2387833.6341177998</v>
          </cell>
          <cell r="J1295">
            <v>2368625.6718568001</v>
          </cell>
          <cell r="K1295">
            <v>2398075.0495516001</v>
          </cell>
          <cell r="L1295">
            <v>2274330.4820265002</v>
          </cell>
          <cell r="M1295">
            <v>2131510.6221212</v>
          </cell>
          <cell r="N1295">
            <v>2115384.0297650001</v>
          </cell>
          <cell r="O1295">
            <v>26475343.7269198</v>
          </cell>
        </row>
        <row r="1296">
          <cell r="A1296" t="str">
            <v>4420430</v>
          </cell>
          <cell r="B1296" t="str">
            <v>Industrial-Other Small Capacity Revenue</v>
          </cell>
          <cell r="C1296">
            <v>1742</v>
          </cell>
          <cell r="D1296">
            <v>1778</v>
          </cell>
          <cell r="E1296">
            <v>1782</v>
          </cell>
          <cell r="F1296">
            <v>1804</v>
          </cell>
          <cell r="G1296">
            <v>1888</v>
          </cell>
          <cell r="H1296">
            <v>1954</v>
          </cell>
          <cell r="I1296">
            <v>1940</v>
          </cell>
          <cell r="J1296">
            <v>1919</v>
          </cell>
          <cell r="K1296">
            <v>1944</v>
          </cell>
          <cell r="L1296">
            <v>1883</v>
          </cell>
          <cell r="M1296">
            <v>1800</v>
          </cell>
          <cell r="N1296">
            <v>1791</v>
          </cell>
          <cell r="O1296">
            <v>22225</v>
          </cell>
        </row>
        <row r="1297">
          <cell r="A1297" t="str">
            <v>4420440</v>
          </cell>
          <cell r="B1297" t="str">
            <v>Industrial-Other Small Conservation Revenue</v>
          </cell>
          <cell r="C1297">
            <v>129520</v>
          </cell>
          <cell r="D1297">
            <v>129314</v>
          </cell>
          <cell r="E1297">
            <v>131004</v>
          </cell>
          <cell r="F1297">
            <v>131775</v>
          </cell>
          <cell r="G1297">
            <v>138193</v>
          </cell>
          <cell r="H1297">
            <v>141037</v>
          </cell>
          <cell r="I1297">
            <v>139551</v>
          </cell>
          <cell r="J1297">
            <v>138593</v>
          </cell>
          <cell r="K1297">
            <v>136717</v>
          </cell>
          <cell r="L1297">
            <v>133727</v>
          </cell>
          <cell r="M1297">
            <v>130914</v>
          </cell>
          <cell r="N1297">
            <v>136799</v>
          </cell>
          <cell r="O1297">
            <v>1617144</v>
          </cell>
        </row>
        <row r="1298">
          <cell r="A1298" t="str">
            <v>4420450</v>
          </cell>
          <cell r="B1298" t="str">
            <v>Industrial-Other Small Environmental Revenue</v>
          </cell>
          <cell r="C1298">
            <v>249947</v>
          </cell>
          <cell r="D1298">
            <v>240473</v>
          </cell>
          <cell r="E1298">
            <v>250986</v>
          </cell>
          <cell r="F1298">
            <v>264724</v>
          </cell>
          <cell r="G1298">
            <v>269653</v>
          </cell>
          <cell r="H1298">
            <v>275314</v>
          </cell>
          <cell r="I1298">
            <v>278816</v>
          </cell>
          <cell r="J1298">
            <v>276400</v>
          </cell>
          <cell r="K1298">
            <v>280626</v>
          </cell>
          <cell r="L1298">
            <v>268423</v>
          </cell>
          <cell r="M1298">
            <v>259727</v>
          </cell>
          <cell r="N1298">
            <v>260232</v>
          </cell>
          <cell r="O1298">
            <v>3175321</v>
          </cell>
        </row>
        <row r="1299">
          <cell r="A1299" t="str">
            <v>4420460</v>
          </cell>
          <cell r="B1299" t="str">
            <v>Industrial-Other Small Franchise Revenue</v>
          </cell>
          <cell r="C1299">
            <v>326024.20467810001</v>
          </cell>
          <cell r="D1299">
            <v>302930.24861870002</v>
          </cell>
          <cell r="E1299">
            <v>315463.18927730003</v>
          </cell>
          <cell r="F1299">
            <v>337492.20413869998</v>
          </cell>
          <cell r="G1299">
            <v>362282.46943900001</v>
          </cell>
          <cell r="H1299">
            <v>386302.84598749998</v>
          </cell>
          <cell r="I1299">
            <v>380864.44336829998</v>
          </cell>
          <cell r="J1299">
            <v>385549.3077916</v>
          </cell>
          <cell r="K1299">
            <v>385590.83776839997</v>
          </cell>
          <cell r="L1299">
            <v>364507.7563753</v>
          </cell>
          <cell r="M1299">
            <v>328475.9918439</v>
          </cell>
          <cell r="N1299">
            <v>333009.94032950001</v>
          </cell>
          <cell r="O1299">
            <v>4208493.4396163002</v>
          </cell>
        </row>
        <row r="1300">
          <cell r="A1300" t="str">
            <v>4420470</v>
          </cell>
          <cell r="B1300" t="str">
            <v>Industrial-Other Small Gross Receipts Tax Rev</v>
          </cell>
          <cell r="C1300">
            <v>139496.28735329999</v>
          </cell>
          <cell r="D1300">
            <v>135991.7627355</v>
          </cell>
          <cell r="E1300">
            <v>140698.90306839999</v>
          </cell>
          <cell r="F1300">
            <v>147829.66984429999</v>
          </cell>
          <cell r="G1300">
            <v>154541.86775060001</v>
          </cell>
          <cell r="H1300">
            <v>158917.28065150001</v>
          </cell>
          <cell r="I1300">
            <v>160276.73707219999</v>
          </cell>
          <cell r="J1300">
            <v>159034.13414149999</v>
          </cell>
          <cell r="K1300">
            <v>159941.26465319999</v>
          </cell>
          <cell r="L1300">
            <v>153142.0555592</v>
          </cell>
          <cell r="M1300">
            <v>145962.74283559999</v>
          </cell>
          <cell r="N1300">
            <v>145982.7116485</v>
          </cell>
          <cell r="O1300">
            <v>1801815.4173138002</v>
          </cell>
        </row>
        <row r="1301">
          <cell r="A1301" t="str">
            <v>4420480</v>
          </cell>
          <cell r="B1301" t="str">
            <v>Industrial-Other Small Optional Billing Provision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</row>
        <row r="1302">
          <cell r="A1302">
            <v>4420490</v>
          </cell>
          <cell r="B1302" t="str">
            <v>Industrial-Other Small Storm Revenue</v>
          </cell>
          <cell r="C1302">
            <v>136601.66</v>
          </cell>
          <cell r="D1302">
            <v>138274.49</v>
          </cell>
          <cell r="E1302">
            <v>139144.37</v>
          </cell>
          <cell r="F1302">
            <v>140662.71</v>
          </cell>
          <cell r="G1302">
            <v>147211.57</v>
          </cell>
          <cell r="H1302">
            <v>151602.09</v>
          </cell>
          <cell r="I1302">
            <v>150412.54999999999</v>
          </cell>
          <cell r="J1302">
            <v>148965.89000000001</v>
          </cell>
          <cell r="K1302">
            <v>149612.99</v>
          </cell>
          <cell r="L1302">
            <v>145305.57999999999</v>
          </cell>
          <cell r="M1302">
            <v>140070.63</v>
          </cell>
          <cell r="N1302">
            <v>141723.54</v>
          </cell>
          <cell r="O1302">
            <v>1729588.0700000003</v>
          </cell>
        </row>
        <row r="1303">
          <cell r="A1303" t="str">
            <v>4420510</v>
          </cell>
          <cell r="B1303" t="str">
            <v>Industrial-Other Large Base Revenue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</row>
        <row r="1304">
          <cell r="A1304" t="str">
            <v>4420520</v>
          </cell>
          <cell r="B1304" t="str">
            <v>Industrial-Other Large Sales Fuel Adjustment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</row>
        <row r="1305">
          <cell r="A1305" t="str">
            <v>4420530</v>
          </cell>
          <cell r="B1305" t="str">
            <v>Industrial-Other Large Capacity Revenue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</row>
        <row r="1306">
          <cell r="A1306" t="str">
            <v>4420540</v>
          </cell>
          <cell r="B1306" t="str">
            <v>Industrial-Other Large Conservation Revenue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</row>
        <row r="1307">
          <cell r="A1307" t="str">
            <v>4420550</v>
          </cell>
          <cell r="B1307" t="str">
            <v>Industrial-Other Large Environmental Revenue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</row>
        <row r="1308">
          <cell r="A1308" t="str">
            <v>4420560</v>
          </cell>
          <cell r="B1308" t="str">
            <v>Industrial-Other Large Franchise Revenue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</row>
        <row r="1309">
          <cell r="A1309" t="str">
            <v>4420570</v>
          </cell>
          <cell r="B1309" t="str">
            <v>Industrial-Other Large Gross Receipts Tax Revenue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</row>
        <row r="1310">
          <cell r="A1310" t="str">
            <v>4420580</v>
          </cell>
          <cell r="B1310" t="str">
            <v>Industrial-Other Large Optional Billing Provision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</row>
        <row r="1311">
          <cell r="A1311">
            <v>4420590</v>
          </cell>
          <cell r="B1311" t="str">
            <v>Industrial-Other Large Storm Revenue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</row>
        <row r="1312">
          <cell r="A1312" t="str">
            <v>4440010</v>
          </cell>
          <cell r="B1312" t="str">
            <v>Public Street HW Lighting Base Revenue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</row>
        <row r="1313">
          <cell r="A1313" t="str">
            <v>4440020</v>
          </cell>
          <cell r="B1313" t="str">
            <v>Public Street HW Lighting Sales Fuel Adjustment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</row>
        <row r="1314">
          <cell r="A1314" t="str">
            <v>4440030</v>
          </cell>
          <cell r="B1314" t="str">
            <v>Public Street HW Lighting Capacity Revenue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</row>
        <row r="1315">
          <cell r="A1315" t="str">
            <v>4440040</v>
          </cell>
          <cell r="B1315" t="str">
            <v>Public Street HW Lighting Conservation Revenue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</row>
        <row r="1316">
          <cell r="A1316" t="str">
            <v>4440050</v>
          </cell>
          <cell r="B1316" t="str">
            <v>Public Street HW Lighting Environmental Revenue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</row>
        <row r="1317">
          <cell r="A1317" t="str">
            <v>4440060</v>
          </cell>
          <cell r="B1317" t="str">
            <v>Public Street HW Lighting Franchise Revenue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</row>
        <row r="1318">
          <cell r="A1318" t="str">
            <v>4440070</v>
          </cell>
          <cell r="B1318" t="str">
            <v>Public Street HW Lighting Gross Receipts Tax Rev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</row>
        <row r="1319">
          <cell r="A1319">
            <v>4440090</v>
          </cell>
          <cell r="B1319" t="str">
            <v>Public Street HW Lighting Storm Revenue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</row>
        <row r="1320">
          <cell r="A1320" t="str">
            <v>4440500</v>
          </cell>
          <cell r="B1320" t="str">
            <v>Retail Sale - Electric Public Street Lighting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</row>
        <row r="1321">
          <cell r="A1321" t="str">
            <v>4440505</v>
          </cell>
          <cell r="B1321" t="str">
            <v>Number of Customers - Electric Public Street Lighting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</row>
        <row r="1322">
          <cell r="A1322" t="str">
            <v>4450010</v>
          </cell>
          <cell r="B1322" t="str">
            <v>Oth Sales Public Authority Base Revenue</v>
          </cell>
          <cell r="C1322">
            <v>8323135</v>
          </cell>
          <cell r="D1322">
            <v>8314712</v>
          </cell>
          <cell r="E1322">
            <v>8289620</v>
          </cell>
          <cell r="F1322">
            <v>8474273</v>
          </cell>
          <cell r="G1322">
            <v>8792193</v>
          </cell>
          <cell r="H1322">
            <v>9104214</v>
          </cell>
          <cell r="I1322">
            <v>8942248</v>
          </cell>
          <cell r="J1322">
            <v>9112891</v>
          </cell>
          <cell r="K1322">
            <v>9768671</v>
          </cell>
          <cell r="L1322">
            <v>9406442</v>
          </cell>
          <cell r="M1322">
            <v>8824461</v>
          </cell>
          <cell r="N1322">
            <v>8523164</v>
          </cell>
          <cell r="O1322">
            <v>105876024</v>
          </cell>
        </row>
        <row r="1323">
          <cell r="A1323" t="str">
            <v>4450020</v>
          </cell>
          <cell r="B1323" t="str">
            <v>Oth Sales Public Authority Sales Fuel Adjustment</v>
          </cell>
          <cell r="C1323">
            <v>4384273.2552933004</v>
          </cell>
          <cell r="D1323">
            <v>4253090.0704217004</v>
          </cell>
          <cell r="E1323">
            <v>4252856.8953042002</v>
          </cell>
          <cell r="F1323">
            <v>4429746.0349735999</v>
          </cell>
          <cell r="G1323">
            <v>4688967.2978229998</v>
          </cell>
          <cell r="H1323">
            <v>4998515.6203207998</v>
          </cell>
          <cell r="I1323">
            <v>4954627.2993917</v>
          </cell>
          <cell r="J1323">
            <v>5037082.6746591004</v>
          </cell>
          <cell r="K1323">
            <v>5462993.9027859997</v>
          </cell>
          <cell r="L1323">
            <v>5134854.0343835</v>
          </cell>
          <cell r="M1323">
            <v>4648896.9364537001</v>
          </cell>
          <cell r="N1323">
            <v>4446446.0173129998</v>
          </cell>
          <cell r="O1323">
            <v>56692350.03912361</v>
          </cell>
        </row>
        <row r="1324">
          <cell r="A1324" t="str">
            <v>4450030</v>
          </cell>
          <cell r="B1324" t="str">
            <v>Oth Sales Public Authority Capacity Revenue</v>
          </cell>
          <cell r="C1324">
            <v>3256</v>
          </cell>
          <cell r="D1324">
            <v>3316</v>
          </cell>
          <cell r="E1324">
            <v>3311</v>
          </cell>
          <cell r="F1324">
            <v>3328</v>
          </cell>
          <cell r="G1324">
            <v>3450</v>
          </cell>
          <cell r="H1324">
            <v>3559</v>
          </cell>
          <cell r="I1324">
            <v>3467</v>
          </cell>
          <cell r="J1324">
            <v>3546</v>
          </cell>
          <cell r="K1324">
            <v>3772</v>
          </cell>
          <cell r="L1324">
            <v>3688</v>
          </cell>
          <cell r="M1324">
            <v>3462</v>
          </cell>
          <cell r="N1324">
            <v>3405</v>
          </cell>
          <cell r="O1324">
            <v>41560</v>
          </cell>
        </row>
        <row r="1325">
          <cell r="A1325" t="str">
            <v>4450040</v>
          </cell>
          <cell r="B1325" t="str">
            <v>Oth Sales Public Authority Conservation Revenue</v>
          </cell>
          <cell r="C1325">
            <v>203525</v>
          </cell>
          <cell r="D1325">
            <v>206778</v>
          </cell>
          <cell r="E1325">
            <v>206423</v>
          </cell>
          <cell r="F1325">
            <v>207528</v>
          </cell>
          <cell r="G1325">
            <v>214941</v>
          </cell>
          <cell r="H1325">
            <v>221689</v>
          </cell>
          <cell r="I1325">
            <v>216038</v>
          </cell>
          <cell r="J1325">
            <v>220807</v>
          </cell>
          <cell r="K1325">
            <v>234907</v>
          </cell>
          <cell r="L1325">
            <v>229442</v>
          </cell>
          <cell r="M1325">
            <v>215420</v>
          </cell>
          <cell r="N1325">
            <v>211779</v>
          </cell>
          <cell r="O1325">
            <v>2589277</v>
          </cell>
        </row>
        <row r="1326">
          <cell r="A1326" t="str">
            <v>4450050</v>
          </cell>
          <cell r="B1326" t="str">
            <v>Oth Sales Public Authority Environmental Revenue</v>
          </cell>
          <cell r="C1326">
            <v>390770</v>
          </cell>
          <cell r="D1326">
            <v>375854</v>
          </cell>
          <cell r="E1326">
            <v>376024</v>
          </cell>
          <cell r="F1326">
            <v>394867</v>
          </cell>
          <cell r="G1326">
            <v>414300</v>
          </cell>
          <cell r="H1326">
            <v>441197</v>
          </cell>
          <cell r="I1326">
            <v>435269</v>
          </cell>
          <cell r="J1326">
            <v>443757</v>
          </cell>
          <cell r="K1326">
            <v>496013</v>
          </cell>
          <cell r="L1326">
            <v>456828</v>
          </cell>
          <cell r="M1326">
            <v>411516</v>
          </cell>
          <cell r="N1326">
            <v>391789</v>
          </cell>
          <cell r="O1326">
            <v>5028184</v>
          </cell>
        </row>
        <row r="1327">
          <cell r="A1327" t="str">
            <v>4450060</v>
          </cell>
          <cell r="B1327" t="str">
            <v>Oth Sales Public Authority Franchise Revenue</v>
          </cell>
          <cell r="C1327">
            <v>396837.99784800003</v>
          </cell>
          <cell r="D1327">
            <v>378913.54165580001</v>
          </cell>
          <cell r="E1327">
            <v>398201.6477341</v>
          </cell>
          <cell r="F1327">
            <v>400390.97559490002</v>
          </cell>
          <cell r="G1327">
            <v>428793.65927800001</v>
          </cell>
          <cell r="H1327">
            <v>447319.20899050002</v>
          </cell>
          <cell r="I1327">
            <v>451162.05803269998</v>
          </cell>
          <cell r="J1327">
            <v>450023.82828349998</v>
          </cell>
          <cell r="K1327">
            <v>498526.06095379998</v>
          </cell>
          <cell r="L1327">
            <v>451845.7832834</v>
          </cell>
          <cell r="M1327">
            <v>410246.32279830001</v>
          </cell>
          <cell r="N1327">
            <v>413238.2177558</v>
          </cell>
          <cell r="O1327">
            <v>5125499.3022087999</v>
          </cell>
        </row>
        <row r="1328">
          <cell r="A1328" t="str">
            <v>4450070</v>
          </cell>
          <cell r="B1328" t="str">
            <v>Oth Sales Public Authority Gross Receipts Tax Rev</v>
          </cell>
          <cell r="C1328">
            <v>293590.18378580001</v>
          </cell>
          <cell r="D1328">
            <v>289664.32296060002</v>
          </cell>
          <cell r="E1328">
            <v>288834.80985369999</v>
          </cell>
          <cell r="F1328">
            <v>298429.65627560002</v>
          </cell>
          <cell r="G1328">
            <v>313890.31253539998</v>
          </cell>
          <cell r="H1328">
            <v>330638.6426055</v>
          </cell>
          <cell r="I1328">
            <v>324750.23563509999</v>
          </cell>
          <cell r="J1328">
            <v>331521.03624709998</v>
          </cell>
          <cell r="K1328">
            <v>361066.6732046</v>
          </cell>
          <cell r="L1328">
            <v>341988.28361370001</v>
          </cell>
          <cell r="M1328">
            <v>312646.67819770001</v>
          </cell>
          <cell r="N1328">
            <v>298932.39780590002</v>
          </cell>
          <cell r="O1328">
            <v>3785953.2327206996</v>
          </cell>
        </row>
        <row r="1329">
          <cell r="A1329" t="str">
            <v>4450080</v>
          </cell>
          <cell r="B1329" t="str">
            <v>Oth Sales Public Authority Optional Billing Provsn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</row>
        <row r="1330">
          <cell r="A1330">
            <v>4450090</v>
          </cell>
          <cell r="B1330" t="str">
            <v>Oth Sales Public Authority Storm Revenue</v>
          </cell>
          <cell r="C1330">
            <v>256947.33</v>
          </cell>
          <cell r="D1330">
            <v>260496.85</v>
          </cell>
          <cell r="E1330">
            <v>259872.7</v>
          </cell>
          <cell r="F1330">
            <v>261223.86</v>
          </cell>
          <cell r="G1330">
            <v>270118.96999999997</v>
          </cell>
          <cell r="H1330">
            <v>278337.14</v>
          </cell>
          <cell r="I1330">
            <v>271349.71999999997</v>
          </cell>
          <cell r="J1330">
            <v>277078.59000000003</v>
          </cell>
          <cell r="K1330">
            <v>294486.31</v>
          </cell>
          <cell r="L1330">
            <v>287481.03999999998</v>
          </cell>
          <cell r="M1330">
            <v>270206.90000000002</v>
          </cell>
          <cell r="N1330">
            <v>265648.34999999998</v>
          </cell>
          <cell r="O1330">
            <v>3253247.7600000002</v>
          </cell>
        </row>
        <row r="1331">
          <cell r="A1331" t="str">
            <v>4470010</v>
          </cell>
          <cell r="B1331" t="str">
            <v>Recoverable Retail Non-Separated Sales for Resale</v>
          </cell>
          <cell r="C1331">
            <v>145397</v>
          </cell>
          <cell r="D1331">
            <v>141717</v>
          </cell>
          <cell r="E1331">
            <v>151737</v>
          </cell>
          <cell r="F1331">
            <v>148997</v>
          </cell>
          <cell r="G1331">
            <v>157347</v>
          </cell>
          <cell r="H1331">
            <v>162097</v>
          </cell>
          <cell r="I1331">
            <v>150917</v>
          </cell>
          <cell r="J1331">
            <v>151467</v>
          </cell>
          <cell r="K1331">
            <v>156217</v>
          </cell>
          <cell r="L1331">
            <v>143417</v>
          </cell>
          <cell r="M1331">
            <v>142987</v>
          </cell>
          <cell r="N1331">
            <v>143668</v>
          </cell>
          <cell r="O1331">
            <v>1795965</v>
          </cell>
        </row>
        <row r="1332">
          <cell r="A1332" t="str">
            <v>4470011</v>
          </cell>
          <cell r="B1332" t="str">
            <v>Non-Recoverable Retail Non-Separated Sales Resale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</row>
        <row r="1333">
          <cell r="A1333" t="str">
            <v>4470012</v>
          </cell>
          <cell r="B1333" t="str">
            <v>Recoverable Retail Non-Separated Sales for Resale-Margin</v>
          </cell>
          <cell r="C1333">
            <v>5827</v>
          </cell>
          <cell r="D1333">
            <v>5548</v>
          </cell>
          <cell r="E1333">
            <v>6308</v>
          </cell>
          <cell r="F1333">
            <v>6100</v>
          </cell>
          <cell r="G1333">
            <v>6733</v>
          </cell>
          <cell r="H1333">
            <v>7093</v>
          </cell>
          <cell r="I1333">
            <v>6246</v>
          </cell>
          <cell r="J1333">
            <v>6287</v>
          </cell>
          <cell r="K1333">
            <v>6647</v>
          </cell>
          <cell r="L1333">
            <v>5677</v>
          </cell>
          <cell r="M1333">
            <v>5645</v>
          </cell>
          <cell r="N1333">
            <v>5696</v>
          </cell>
          <cell r="O1333">
            <v>73807</v>
          </cell>
        </row>
        <row r="1334">
          <cell r="A1334" t="str">
            <v>4470020</v>
          </cell>
          <cell r="B1334" t="str">
            <v>Recoverable Wholesale Non-Separated Sales for Resale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</row>
        <row r="1335">
          <cell r="A1335" t="str">
            <v>4470021</v>
          </cell>
          <cell r="B1335" t="str">
            <v>Non-Recoverable Wholesale Non-Separated for Resale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</row>
        <row r="1336">
          <cell r="A1336" t="str">
            <v>4470022</v>
          </cell>
          <cell r="B1336" t="str">
            <v>Recoverable Wholesale Non-Sep Sales Resale_Margin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</row>
        <row r="1337">
          <cell r="A1337" t="str">
            <v>4470030</v>
          </cell>
          <cell r="B1337" t="str">
            <v>P/R Separated Sales for Resale - Fuel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</row>
        <row r="1338">
          <cell r="A1338" t="str">
            <v>4470031</v>
          </cell>
          <cell r="B1338" t="str">
            <v>P/R Separated Sales for Resale - Non-Fuel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</row>
        <row r="1339">
          <cell r="A1339" t="str">
            <v>4470041</v>
          </cell>
          <cell r="B1339" t="str">
            <v>Separated D Sale - Retail Fuel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</row>
        <row r="1340">
          <cell r="A1340" t="str">
            <v>4470042</v>
          </cell>
          <cell r="B1340" t="str">
            <v>Separated D Sale - Wholesale Fuel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</row>
        <row r="1341">
          <cell r="A1341" t="str">
            <v>4470043</v>
          </cell>
          <cell r="B1341" t="str">
            <v>Separated D Sale - Wholesale Non-Fuel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</row>
        <row r="1342">
          <cell r="A1342" t="str">
            <v>4470110</v>
          </cell>
          <cell r="B1342" t="str">
            <v>GSI Sales - Retail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</row>
        <row r="1343">
          <cell r="A1343" t="str">
            <v>4470120</v>
          </cell>
          <cell r="B1343" t="str">
            <v>GSI Sales - Wholesale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</row>
        <row r="1344">
          <cell r="A1344" t="str">
            <v>4470800</v>
          </cell>
          <cell r="B1344" t="str">
            <v>Interchange Sales - Other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</row>
        <row r="1345">
          <cell r="A1345" t="str">
            <v>4491010</v>
          </cell>
          <cell r="B1345" t="str">
            <v>Residential Provision for Refund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</row>
        <row r="1346">
          <cell r="A1346" t="str">
            <v>4491020</v>
          </cell>
          <cell r="B1346" t="str">
            <v>Commercial Provision for Refund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</row>
        <row r="1347">
          <cell r="A1347" t="str">
            <v>4491030</v>
          </cell>
          <cell r="B1347" t="str">
            <v>Industrial-Phosphate Provision for Refund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</row>
        <row r="1348">
          <cell r="A1348" t="str">
            <v>4491040</v>
          </cell>
          <cell r="B1348" t="str">
            <v>Industrial-Other Provision for Refund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</row>
        <row r="1349">
          <cell r="A1349" t="str">
            <v>4491050</v>
          </cell>
          <cell r="B1349" t="str">
            <v>Public Street HW Lighting Provision for Refund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</row>
        <row r="1350">
          <cell r="A1350" t="str">
            <v>4491060</v>
          </cell>
          <cell r="B1350" t="str">
            <v>Oth Sales to Public Authority Provision for Refund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</row>
        <row r="1351">
          <cell r="A1351" t="str">
            <v>4491070</v>
          </cell>
          <cell r="B1351" t="str">
            <v>Provision for Rate Refund - Requirements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</row>
        <row r="1352">
          <cell r="A1352" t="str">
            <v>4491080</v>
          </cell>
          <cell r="B1352" t="str">
            <v>Provision for Rate Refund - Transmission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</row>
        <row r="1353">
          <cell r="A1353" t="str">
            <v>4491900</v>
          </cell>
          <cell r="B1353" t="str">
            <v>Provision for Rate Refund - Clause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</row>
        <row r="1354">
          <cell r="A1354" t="str">
            <v>4500000</v>
          </cell>
          <cell r="B1354" t="str">
            <v>Forfeited Discounts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</row>
        <row r="1355">
          <cell r="A1355" t="str">
            <v>4510100</v>
          </cell>
          <cell r="B1355" t="str">
            <v>Misc Svc Rev - Connection - Same Day Service</v>
          </cell>
          <cell r="C1355">
            <v>46460.064654499998</v>
          </cell>
          <cell r="D1355">
            <v>41728.021032299999</v>
          </cell>
          <cell r="E1355">
            <v>30199.042025399998</v>
          </cell>
          <cell r="F1355">
            <v>13077.647828700001</v>
          </cell>
          <cell r="G1355">
            <v>15400.6510614</v>
          </cell>
          <cell r="H1355">
            <v>17551.5799806</v>
          </cell>
          <cell r="I1355">
            <v>44094.616424400003</v>
          </cell>
          <cell r="J1355">
            <v>44094.616424400003</v>
          </cell>
          <cell r="K1355">
            <v>53058.705217399998</v>
          </cell>
          <cell r="L1355">
            <v>53323.9987434</v>
          </cell>
          <cell r="M1355">
            <v>53590.618737199999</v>
          </cell>
          <cell r="N1355">
            <v>53858.5718308</v>
          </cell>
          <cell r="O1355">
            <v>466438.13396049989</v>
          </cell>
        </row>
        <row r="1356">
          <cell r="A1356" t="str">
            <v>4510101</v>
          </cell>
          <cell r="B1356" t="str">
            <v>Misc Svc Rev - Connection - Saturday</v>
          </cell>
          <cell r="C1356">
            <v>0</v>
          </cell>
          <cell r="D1356">
            <v>0</v>
          </cell>
          <cell r="E1356">
            <v>300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300</v>
          </cell>
          <cell r="L1356">
            <v>0</v>
          </cell>
          <cell r="M1356">
            <v>0</v>
          </cell>
          <cell r="N1356">
            <v>0</v>
          </cell>
          <cell r="O1356">
            <v>600</v>
          </cell>
        </row>
        <row r="1357">
          <cell r="A1357" t="str">
            <v>4510102</v>
          </cell>
          <cell r="B1357" t="str">
            <v>Misc Svc Rev - Reconnect - at Pole</v>
          </cell>
          <cell r="C1357">
            <v>3333.3333333</v>
          </cell>
          <cell r="D1357">
            <v>3333.3333333</v>
          </cell>
          <cell r="E1357">
            <v>3333.3333333</v>
          </cell>
          <cell r="F1357">
            <v>3333.3333333</v>
          </cell>
          <cell r="G1357">
            <v>3333.3333333</v>
          </cell>
          <cell r="H1357">
            <v>3333.3333333</v>
          </cell>
          <cell r="I1357">
            <v>3333.3333333</v>
          </cell>
          <cell r="J1357">
            <v>3333.3333333</v>
          </cell>
          <cell r="K1357">
            <v>3333.3333333</v>
          </cell>
          <cell r="L1357">
            <v>3333.3333333</v>
          </cell>
          <cell r="M1357">
            <v>3333.3333333</v>
          </cell>
          <cell r="N1357">
            <v>3333.3333333</v>
          </cell>
          <cell r="O1357">
            <v>39999.999999599997</v>
          </cell>
        </row>
        <row r="1358">
          <cell r="A1358" t="str">
            <v>4510103</v>
          </cell>
          <cell r="B1358" t="str">
            <v>Misc Svc Rev - Reconnect - Subsequent Subscriber</v>
          </cell>
          <cell r="C1358">
            <v>381172.4571224</v>
          </cell>
          <cell r="D1358">
            <v>370886.6702318</v>
          </cell>
          <cell r="E1358">
            <v>403909.36813939997</v>
          </cell>
          <cell r="F1358">
            <v>330227.8949057</v>
          </cell>
          <cell r="G1358">
            <v>363421.639303</v>
          </cell>
          <cell r="H1358">
            <v>443286.0732478</v>
          </cell>
          <cell r="I1358">
            <v>445172.93779910001</v>
          </cell>
          <cell r="J1358">
            <v>449624.66717710003</v>
          </cell>
          <cell r="K1358">
            <v>454120.9138489</v>
          </cell>
          <cell r="L1358">
            <v>458662.12298739998</v>
          </cell>
          <cell r="M1358">
            <v>463248.74421719997</v>
          </cell>
          <cell r="N1358">
            <v>467881.23165939999</v>
          </cell>
          <cell r="O1358">
            <v>5031614.7206391999</v>
          </cell>
        </row>
        <row r="1359">
          <cell r="A1359" t="str">
            <v>4510104</v>
          </cell>
          <cell r="B1359" t="str">
            <v>Misc Svc Rev - Reconnect - at Meter</v>
          </cell>
          <cell r="C1359">
            <v>455812.02850000001</v>
          </cell>
          <cell r="D1359">
            <v>455812.02850000001</v>
          </cell>
          <cell r="E1359">
            <v>455812.02850000001</v>
          </cell>
          <cell r="F1359">
            <v>455812.02850000001</v>
          </cell>
          <cell r="G1359">
            <v>455812.02850000001</v>
          </cell>
          <cell r="H1359">
            <v>455812.02850000001</v>
          </cell>
          <cell r="I1359">
            <v>463500</v>
          </cell>
          <cell r="J1359">
            <v>463500</v>
          </cell>
          <cell r="K1359">
            <v>470993.25</v>
          </cell>
          <cell r="L1359">
            <v>432600</v>
          </cell>
          <cell r="M1359">
            <v>309000</v>
          </cell>
          <cell r="N1359">
            <v>309000</v>
          </cell>
          <cell r="O1359">
            <v>5183465.4210000001</v>
          </cell>
        </row>
        <row r="1360">
          <cell r="A1360" t="str">
            <v>4510105</v>
          </cell>
          <cell r="B1360" t="str">
            <v>Misc Svc Rev - Bill Copies (977)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</row>
        <row r="1361">
          <cell r="A1361" t="str">
            <v>4510106</v>
          </cell>
          <cell r="B1361" t="str">
            <v>Misc Svc Rev - Bill Copies (978)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</row>
        <row r="1362">
          <cell r="A1362" t="str">
            <v>4510107</v>
          </cell>
          <cell r="B1362" t="str">
            <v>Misc Svc Rev - Late Payment Fee</v>
          </cell>
          <cell r="C1362">
            <v>968000</v>
          </cell>
          <cell r="D1362">
            <v>987360</v>
          </cell>
          <cell r="E1362">
            <v>856041.12</v>
          </cell>
          <cell r="F1362">
            <v>821799.47519999999</v>
          </cell>
          <cell r="G1362">
            <v>785845.74815999996</v>
          </cell>
          <cell r="H1362">
            <v>1068750.2174976</v>
          </cell>
          <cell r="I1362">
            <v>1090125.2218476001</v>
          </cell>
          <cell r="J1362">
            <v>1111927.7262845</v>
          </cell>
          <cell r="K1362">
            <v>1134166.2808101999</v>
          </cell>
          <cell r="L1362">
            <v>867637.20481979998</v>
          </cell>
          <cell r="M1362">
            <v>884989.94891619997</v>
          </cell>
          <cell r="N1362">
            <v>1203586.3305259999</v>
          </cell>
          <cell r="O1362">
            <v>11780229.274061901</v>
          </cell>
        </row>
        <row r="1363">
          <cell r="A1363" t="str">
            <v>4510108</v>
          </cell>
          <cell r="B1363" t="str">
            <v>Misc Svc Rev - Initial Turn On</v>
          </cell>
          <cell r="C1363">
            <v>86207.064503600006</v>
          </cell>
          <cell r="D1363">
            <v>115311.1197921</v>
          </cell>
          <cell r="E1363">
            <v>113336.99765439999</v>
          </cell>
          <cell r="F1363">
            <v>133946.22221840001</v>
          </cell>
          <cell r="G1363">
            <v>108704.933752</v>
          </cell>
          <cell r="H1363">
            <v>89195.722605899995</v>
          </cell>
          <cell r="I1363">
            <v>113559.3936176</v>
          </cell>
          <cell r="J1363">
            <v>114694.98755390001</v>
          </cell>
          <cell r="K1363">
            <v>115841.9374294</v>
          </cell>
          <cell r="L1363">
            <v>117000.35680360001</v>
          </cell>
          <cell r="M1363">
            <v>118170.36037179999</v>
          </cell>
          <cell r="N1363">
            <v>119352.0639755</v>
          </cell>
          <cell r="O1363">
            <v>1345321.1602781999</v>
          </cell>
        </row>
        <row r="1364">
          <cell r="A1364" t="str">
            <v>4510109</v>
          </cell>
          <cell r="B1364" t="str">
            <v>Misc Svc Rev - Temp. Svcs</v>
          </cell>
          <cell r="C1364">
            <v>30998.3975187</v>
          </cell>
          <cell r="D1364">
            <v>26248.6430602</v>
          </cell>
          <cell r="E1364">
            <v>20248.953217900002</v>
          </cell>
          <cell r="F1364">
            <v>26248.6430602</v>
          </cell>
          <cell r="G1364">
            <v>15249.2116826</v>
          </cell>
          <cell r="H1364">
            <v>22248.849832</v>
          </cell>
          <cell r="I1364">
            <v>40042.972610600002</v>
          </cell>
          <cell r="J1364">
            <v>40443.402336699997</v>
          </cell>
          <cell r="K1364">
            <v>40847.836360100002</v>
          </cell>
          <cell r="L1364">
            <v>41256.3147236</v>
          </cell>
          <cell r="M1364">
            <v>41668.877870900003</v>
          </cell>
          <cell r="N1364">
            <v>42085.566649499997</v>
          </cell>
          <cell r="O1364">
            <v>387587.66892300005</v>
          </cell>
        </row>
        <row r="1365">
          <cell r="A1365" t="str">
            <v>4510110</v>
          </cell>
          <cell r="B1365" t="str">
            <v>Misc Svc Rev - Tampering</v>
          </cell>
          <cell r="C1365">
            <v>2000</v>
          </cell>
          <cell r="D1365">
            <v>2000</v>
          </cell>
          <cell r="E1365">
            <v>2000</v>
          </cell>
          <cell r="F1365">
            <v>2000</v>
          </cell>
          <cell r="G1365">
            <v>2000</v>
          </cell>
          <cell r="H1365">
            <v>4000</v>
          </cell>
          <cell r="I1365">
            <v>4000</v>
          </cell>
          <cell r="J1365">
            <v>4000</v>
          </cell>
          <cell r="K1365">
            <v>6000</v>
          </cell>
          <cell r="L1365">
            <v>6000</v>
          </cell>
          <cell r="M1365">
            <v>8000</v>
          </cell>
          <cell r="N1365">
            <v>8000</v>
          </cell>
          <cell r="O1365">
            <v>50000</v>
          </cell>
        </row>
        <row r="1366">
          <cell r="A1366" t="str">
            <v>4510111</v>
          </cell>
          <cell r="B1366" t="str">
            <v>Misc Svc Rev - Returned Check</v>
          </cell>
          <cell r="C1366">
            <v>86871.096947500002</v>
          </cell>
          <cell r="D1366">
            <v>60571.353750000002</v>
          </cell>
          <cell r="E1366">
            <v>60571.353750000002</v>
          </cell>
          <cell r="F1366">
            <v>60571.353750000002</v>
          </cell>
          <cell r="G1366">
            <v>60571.353750000002</v>
          </cell>
          <cell r="H1366">
            <v>60571.353750000002</v>
          </cell>
          <cell r="I1366">
            <v>60571.353750000002</v>
          </cell>
          <cell r="J1366">
            <v>60571.353750000002</v>
          </cell>
          <cell r="K1366">
            <v>60571.353750000002</v>
          </cell>
          <cell r="L1366">
            <v>60571.353750000002</v>
          </cell>
          <cell r="M1366">
            <v>60571.353750000002</v>
          </cell>
          <cell r="N1366">
            <v>60571.353750000002</v>
          </cell>
          <cell r="O1366">
            <v>753155.9881975</v>
          </cell>
        </row>
        <row r="1367">
          <cell r="A1367" t="str">
            <v>4510112</v>
          </cell>
          <cell r="B1367" t="str">
            <v>Misc Svc Rev - Field Credit Check</v>
          </cell>
          <cell r="C1367">
            <v>25750</v>
          </cell>
          <cell r="D1367">
            <v>25750</v>
          </cell>
          <cell r="E1367">
            <v>25750</v>
          </cell>
          <cell r="F1367">
            <v>25750</v>
          </cell>
          <cell r="G1367">
            <v>25750</v>
          </cell>
          <cell r="H1367">
            <v>25750</v>
          </cell>
          <cell r="I1367">
            <v>25750</v>
          </cell>
          <cell r="J1367">
            <v>25750</v>
          </cell>
          <cell r="K1367">
            <v>25750</v>
          </cell>
          <cell r="L1367">
            <v>25750</v>
          </cell>
          <cell r="M1367">
            <v>25750</v>
          </cell>
          <cell r="N1367">
            <v>25750</v>
          </cell>
          <cell r="O1367">
            <v>309000</v>
          </cell>
        </row>
        <row r="1368">
          <cell r="A1368" t="str">
            <v>4510113</v>
          </cell>
          <cell r="B1368" t="str">
            <v>Misc Svc Rev - CRM Legacy Adjustment (Elect)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</row>
        <row r="1369">
          <cell r="A1369" t="str">
            <v>4510800</v>
          </cell>
          <cell r="B1369" t="str">
            <v>Miscellaneous Service Revenues - Other</v>
          </cell>
          <cell r="C1369">
            <v>13715.874984100001</v>
          </cell>
          <cell r="D1369">
            <v>15404.644889900001</v>
          </cell>
          <cell r="E1369">
            <v>7254.71569</v>
          </cell>
          <cell r="F1369">
            <v>5563.6867371999997</v>
          </cell>
          <cell r="G1369">
            <v>6461.3119324999998</v>
          </cell>
          <cell r="H1369">
            <v>6650.0746419999996</v>
          </cell>
          <cell r="I1369">
            <v>8212.4521698999997</v>
          </cell>
          <cell r="J1369">
            <v>8294.5766915000004</v>
          </cell>
          <cell r="K1369">
            <v>8377.5224584000007</v>
          </cell>
          <cell r="L1369">
            <v>8461.2976830000007</v>
          </cell>
          <cell r="M1369">
            <v>8545.9106599000006</v>
          </cell>
          <cell r="N1369">
            <v>8631.3697663999992</v>
          </cell>
          <cell r="O1369">
            <v>105573.43830479999</v>
          </cell>
        </row>
        <row r="1370">
          <cell r="A1370" t="str">
            <v>4540010</v>
          </cell>
          <cell r="B1370" t="str">
            <v>Rental Revenue - Commercial Property</v>
          </cell>
          <cell r="C1370">
            <v>431401.26</v>
          </cell>
          <cell r="D1370">
            <v>10698.94</v>
          </cell>
          <cell r="E1370">
            <v>16002.84</v>
          </cell>
          <cell r="F1370">
            <v>58346.09</v>
          </cell>
          <cell r="G1370">
            <v>1829.82</v>
          </cell>
          <cell r="H1370">
            <v>6270.55</v>
          </cell>
          <cell r="I1370">
            <v>21806.78</v>
          </cell>
          <cell r="J1370">
            <v>22456.71</v>
          </cell>
          <cell r="K1370">
            <v>5279.32</v>
          </cell>
          <cell r="L1370">
            <v>38822.370000000003</v>
          </cell>
          <cell r="M1370">
            <v>21368.97</v>
          </cell>
          <cell r="N1370">
            <v>3050</v>
          </cell>
          <cell r="O1370">
            <v>637333.64999999991</v>
          </cell>
        </row>
        <row r="1371">
          <cell r="A1371" t="str">
            <v>4540020</v>
          </cell>
          <cell r="B1371" t="str">
            <v>Rental Revenue - Agricultural Property</v>
          </cell>
          <cell r="C1371">
            <v>2700</v>
          </cell>
          <cell r="D1371">
            <v>9371</v>
          </cell>
          <cell r="E1371">
            <v>13183</v>
          </cell>
          <cell r="F1371">
            <v>1130</v>
          </cell>
          <cell r="G1371">
            <v>400</v>
          </cell>
          <cell r="H1371">
            <v>1467</v>
          </cell>
          <cell r="I1371">
            <v>2645</v>
          </cell>
          <cell r="J1371">
            <v>2699</v>
          </cell>
          <cell r="K1371">
            <v>4617</v>
          </cell>
          <cell r="L1371">
            <v>425</v>
          </cell>
          <cell r="M1371">
            <v>9342</v>
          </cell>
          <cell r="N1371">
            <v>5560</v>
          </cell>
          <cell r="O1371">
            <v>53539</v>
          </cell>
        </row>
        <row r="1372">
          <cell r="A1372" t="str">
            <v>4540030</v>
          </cell>
          <cell r="B1372" t="str">
            <v>Rental Revenue - Electric Equipment</v>
          </cell>
          <cell r="C1372">
            <v>9749.36</v>
          </cell>
          <cell r="D1372">
            <v>9749.36</v>
          </cell>
          <cell r="E1372">
            <v>9749.36</v>
          </cell>
          <cell r="F1372">
            <v>9749.36</v>
          </cell>
          <cell r="G1372">
            <v>9749.36</v>
          </cell>
          <cell r="H1372">
            <v>9749.36</v>
          </cell>
          <cell r="I1372">
            <v>9749.36</v>
          </cell>
          <cell r="J1372">
            <v>9749.36</v>
          </cell>
          <cell r="K1372">
            <v>9749.36</v>
          </cell>
          <cell r="L1372">
            <v>9749.36</v>
          </cell>
          <cell r="M1372">
            <v>9749.36</v>
          </cell>
          <cell r="N1372">
            <v>9749.36</v>
          </cell>
          <cell r="O1372">
            <v>116992.32000000001</v>
          </cell>
        </row>
        <row r="1373">
          <cell r="A1373" t="str">
            <v>4540040</v>
          </cell>
          <cell r="B1373" t="str">
            <v>Rental Revenue - Big Bend Station</v>
          </cell>
          <cell r="C1373">
            <v>3815.0039999999999</v>
          </cell>
          <cell r="D1373">
            <v>3815.0039999999999</v>
          </cell>
          <cell r="E1373">
            <v>3815.0039999999999</v>
          </cell>
          <cell r="F1373">
            <v>3815.0039999999999</v>
          </cell>
          <cell r="G1373">
            <v>3815.0039999999999</v>
          </cell>
          <cell r="H1373">
            <v>3815.0039999999999</v>
          </cell>
          <cell r="I1373">
            <v>3815.0039999999999</v>
          </cell>
          <cell r="J1373">
            <v>3815.0039999999999</v>
          </cell>
          <cell r="K1373">
            <v>3815.0039999999999</v>
          </cell>
          <cell r="L1373">
            <v>3815.0039999999999</v>
          </cell>
          <cell r="M1373">
            <v>3815.0039999999999</v>
          </cell>
          <cell r="N1373">
            <v>3815.0039999999999</v>
          </cell>
          <cell r="O1373">
            <v>45780.048000000003</v>
          </cell>
        </row>
        <row r="1374">
          <cell r="A1374" t="str">
            <v>4540050</v>
          </cell>
          <cell r="B1374" t="str">
            <v>Rental Revenue - Miscellaneous</v>
          </cell>
          <cell r="C1374">
            <v>11085.462</v>
          </cell>
          <cell r="D1374">
            <v>11085.462</v>
          </cell>
          <cell r="E1374">
            <v>11085.462</v>
          </cell>
          <cell r="F1374">
            <v>11085.462</v>
          </cell>
          <cell r="G1374">
            <v>11085.462</v>
          </cell>
          <cell r="H1374">
            <v>11085.462</v>
          </cell>
          <cell r="I1374">
            <v>11085.462</v>
          </cell>
          <cell r="J1374">
            <v>11085.462</v>
          </cell>
          <cell r="K1374">
            <v>11085.462</v>
          </cell>
          <cell r="L1374">
            <v>11307.17124</v>
          </cell>
          <cell r="M1374">
            <v>11307.17124</v>
          </cell>
          <cell r="N1374">
            <v>11307.17124</v>
          </cell>
          <cell r="O1374">
            <v>133690.67171999998</v>
          </cell>
        </row>
        <row r="1375">
          <cell r="A1375" t="str">
            <v>4540080</v>
          </cell>
          <cell r="B1375" t="str">
            <v>Rental Revenue - Pole Attachments - Transmission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</row>
        <row r="1376">
          <cell r="A1376" t="str">
            <v>4540081</v>
          </cell>
          <cell r="B1376" t="str">
            <v>Rental Revenue - Pole Attachments - Distribution</v>
          </cell>
          <cell r="C1376">
            <v>379541.67</v>
          </cell>
          <cell r="D1376">
            <v>379458</v>
          </cell>
          <cell r="E1376">
            <v>379625</v>
          </cell>
          <cell r="F1376">
            <v>379541.67</v>
          </cell>
          <cell r="G1376">
            <v>379541.67</v>
          </cell>
          <cell r="H1376">
            <v>379541.67</v>
          </cell>
          <cell r="I1376">
            <v>386367</v>
          </cell>
          <cell r="J1376">
            <v>379541.67</v>
          </cell>
          <cell r="K1376">
            <v>379541.67</v>
          </cell>
          <cell r="L1376">
            <v>379541.67</v>
          </cell>
          <cell r="M1376">
            <v>379541.67</v>
          </cell>
          <cell r="N1376">
            <v>379541.67</v>
          </cell>
          <cell r="O1376">
            <v>4561325.0299999993</v>
          </cell>
        </row>
        <row r="1377">
          <cell r="A1377" t="str">
            <v>4540090</v>
          </cell>
          <cell r="B1377" t="str">
            <v>Rental Revenue - Other Property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</row>
        <row r="1378">
          <cell r="A1378" t="str">
            <v>4540700</v>
          </cell>
          <cell r="B1378" t="str">
            <v>Rental Revenue - Intercompany</v>
          </cell>
          <cell r="C1378">
            <v>4460</v>
          </cell>
          <cell r="D1378">
            <v>4460</v>
          </cell>
          <cell r="E1378">
            <v>4460</v>
          </cell>
          <cell r="F1378">
            <v>4460</v>
          </cell>
          <cell r="G1378">
            <v>4460</v>
          </cell>
          <cell r="H1378">
            <v>4460</v>
          </cell>
          <cell r="I1378">
            <v>4460</v>
          </cell>
          <cell r="J1378">
            <v>4460</v>
          </cell>
          <cell r="K1378">
            <v>4460</v>
          </cell>
          <cell r="L1378">
            <v>4460</v>
          </cell>
          <cell r="M1378">
            <v>4460</v>
          </cell>
          <cell r="N1378">
            <v>4460</v>
          </cell>
          <cell r="O1378">
            <v>53520</v>
          </cell>
        </row>
        <row r="1379">
          <cell r="A1379" t="str">
            <v>4540701</v>
          </cell>
          <cell r="B1379" t="str">
            <v>Rental Revenue - Intercompany - Asset Usage Fee</v>
          </cell>
          <cell r="C1379">
            <v>80952.586001899996</v>
          </cell>
          <cell r="D1379">
            <v>90924.425129700001</v>
          </cell>
          <cell r="E1379">
            <v>90552.527156099997</v>
          </cell>
          <cell r="F1379">
            <v>90180.356450299994</v>
          </cell>
          <cell r="G1379">
            <v>89808.501824999999</v>
          </cell>
          <cell r="H1379">
            <v>89432.376902000004</v>
          </cell>
          <cell r="I1379">
            <v>85630.183634200002</v>
          </cell>
          <cell r="J1379">
            <v>85280.165966300003</v>
          </cell>
          <cell r="K1379">
            <v>85757.593382499996</v>
          </cell>
          <cell r="L1379">
            <v>87663.130753699996</v>
          </cell>
          <cell r="M1379">
            <v>87580.074642699998</v>
          </cell>
          <cell r="N1379">
            <v>87732.994038999997</v>
          </cell>
          <cell r="O1379">
            <v>1051494.9158834</v>
          </cell>
        </row>
        <row r="1380">
          <cell r="A1380" t="str">
            <v>4540800</v>
          </cell>
          <cell r="B1380" t="str">
            <v>Rental Revenue - MetroLink</v>
          </cell>
          <cell r="C1380">
            <v>205548</v>
          </cell>
          <cell r="D1380">
            <v>206879</v>
          </cell>
          <cell r="E1380">
            <v>177644</v>
          </cell>
          <cell r="F1380">
            <v>226462</v>
          </cell>
          <cell r="G1380">
            <v>162751</v>
          </cell>
          <cell r="H1380">
            <v>196965</v>
          </cell>
          <cell r="I1380">
            <v>171544</v>
          </cell>
          <cell r="J1380">
            <v>346946</v>
          </cell>
          <cell r="K1380">
            <v>223035</v>
          </cell>
          <cell r="L1380">
            <v>295952</v>
          </cell>
          <cell r="M1380">
            <v>163311</v>
          </cell>
          <cell r="N1380">
            <v>195749</v>
          </cell>
          <cell r="O1380">
            <v>2572786</v>
          </cell>
        </row>
        <row r="1381">
          <cell r="A1381" t="str">
            <v>4550000</v>
          </cell>
          <cell r="B1381" t="str">
            <v>Interdepartmental Rents</v>
          </cell>
          <cell r="C1381">
            <v>48454</v>
          </cell>
          <cell r="D1381">
            <v>48454</v>
          </cell>
          <cell r="E1381">
            <v>48454</v>
          </cell>
          <cell r="F1381">
            <v>48454</v>
          </cell>
          <cell r="G1381">
            <v>48454</v>
          </cell>
          <cell r="H1381">
            <v>48454</v>
          </cell>
          <cell r="I1381">
            <v>48454</v>
          </cell>
          <cell r="J1381">
            <v>48454</v>
          </cell>
          <cell r="K1381">
            <v>48454</v>
          </cell>
          <cell r="L1381">
            <v>48454</v>
          </cell>
          <cell r="M1381">
            <v>48454</v>
          </cell>
          <cell r="N1381">
            <v>48454</v>
          </cell>
          <cell r="O1381">
            <v>581448</v>
          </cell>
        </row>
        <row r="1382">
          <cell r="A1382" t="str">
            <v>4550001</v>
          </cell>
          <cell r="B1382" t="str">
            <v>Interdepartmental Rents - Asset Usage Fee</v>
          </cell>
          <cell r="C1382">
            <v>274540.22544020001</v>
          </cell>
          <cell r="D1382">
            <v>302150.63043650001</v>
          </cell>
          <cell r="E1382">
            <v>302150.63043650001</v>
          </cell>
          <cell r="F1382">
            <v>302150.63043650001</v>
          </cell>
          <cell r="G1382">
            <v>302150.63043650001</v>
          </cell>
          <cell r="H1382">
            <v>302147.25316259998</v>
          </cell>
          <cell r="I1382">
            <v>299314.52445179998</v>
          </cell>
          <cell r="J1382">
            <v>300414.4144518</v>
          </cell>
          <cell r="K1382">
            <v>300414.4144518</v>
          </cell>
          <cell r="L1382">
            <v>301887.09634210001</v>
          </cell>
          <cell r="M1382">
            <v>301887.09634210001</v>
          </cell>
          <cell r="N1382">
            <v>302038.7134443</v>
          </cell>
          <cell r="O1382">
            <v>3591246.2598326998</v>
          </cell>
        </row>
        <row r="1383">
          <cell r="A1383" t="str">
            <v>4560010</v>
          </cell>
          <cell r="B1383" t="str">
            <v>Other Revenue - Cost Plus Job Orders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</row>
        <row r="1384">
          <cell r="A1384" t="str">
            <v>4560020</v>
          </cell>
          <cell r="B1384" t="str">
            <v>Other Revenue - At-Cost Job Orders</v>
          </cell>
          <cell r="C1384">
            <v>0</v>
          </cell>
          <cell r="D1384">
            <v>100000</v>
          </cell>
          <cell r="E1384">
            <v>0</v>
          </cell>
          <cell r="F1384">
            <v>100000</v>
          </cell>
          <cell r="G1384">
            <v>0</v>
          </cell>
          <cell r="H1384">
            <v>100000</v>
          </cell>
          <cell r="I1384">
            <v>0</v>
          </cell>
          <cell r="J1384">
            <v>100000</v>
          </cell>
          <cell r="K1384">
            <v>0</v>
          </cell>
          <cell r="L1384">
            <v>100000</v>
          </cell>
          <cell r="M1384">
            <v>0</v>
          </cell>
          <cell r="N1384">
            <v>100000</v>
          </cell>
          <cell r="O1384">
            <v>600000</v>
          </cell>
        </row>
        <row r="1385">
          <cell r="A1385" t="str">
            <v>4560030</v>
          </cell>
          <cell r="B1385" t="str">
            <v>Other Revenue - Sales Tax</v>
          </cell>
          <cell r="C1385">
            <v>5800</v>
          </cell>
          <cell r="D1385">
            <v>5700</v>
          </cell>
          <cell r="E1385">
            <v>5800</v>
          </cell>
          <cell r="F1385">
            <v>5700</v>
          </cell>
          <cell r="G1385">
            <v>5600</v>
          </cell>
          <cell r="H1385">
            <v>6900</v>
          </cell>
          <cell r="I1385">
            <v>7600</v>
          </cell>
          <cell r="J1385">
            <v>7600</v>
          </cell>
          <cell r="K1385">
            <v>7400</v>
          </cell>
          <cell r="L1385">
            <v>8000</v>
          </cell>
          <cell r="M1385">
            <v>7200</v>
          </cell>
          <cell r="N1385">
            <v>6500</v>
          </cell>
          <cell r="O1385">
            <v>79800</v>
          </cell>
        </row>
        <row r="1386">
          <cell r="A1386" t="str">
            <v>4560040</v>
          </cell>
          <cell r="B1386" t="str">
            <v>Other Revenue - Cosmos Affiliate Revenue Fixed Cap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</row>
        <row r="1387">
          <cell r="A1387" t="str">
            <v>4560045</v>
          </cell>
          <cell r="B1387" t="str">
            <v>Other Revenue - Cosmos Division Revenue Fixed Cap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</row>
        <row r="1388">
          <cell r="A1388" t="str">
            <v>4560050</v>
          </cell>
          <cell r="B1388" t="str">
            <v>Other Revenue - Training Modules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</row>
        <row r="1389">
          <cell r="A1389" t="str">
            <v>4560060</v>
          </cell>
          <cell r="B1389" t="str">
            <v>Other Revenue - Parking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</row>
        <row r="1390">
          <cell r="A1390" t="str">
            <v>4560080</v>
          </cell>
          <cell r="B1390" t="str">
            <v>Other Revenue - Cogen Maintenance - Transmission</v>
          </cell>
          <cell r="C1390">
            <v>11289</v>
          </cell>
          <cell r="D1390">
            <v>11289</v>
          </cell>
          <cell r="E1390">
            <v>11289</v>
          </cell>
          <cell r="F1390">
            <v>11289</v>
          </cell>
          <cell r="G1390">
            <v>11289</v>
          </cell>
          <cell r="H1390">
            <v>11289</v>
          </cell>
          <cell r="I1390">
            <v>11289</v>
          </cell>
          <cell r="J1390">
            <v>11289</v>
          </cell>
          <cell r="K1390">
            <v>11289</v>
          </cell>
          <cell r="L1390">
            <v>11289</v>
          </cell>
          <cell r="M1390">
            <v>11289</v>
          </cell>
          <cell r="N1390">
            <v>11289</v>
          </cell>
          <cell r="O1390">
            <v>135468</v>
          </cell>
        </row>
        <row r="1391">
          <cell r="A1391" t="str">
            <v>4560081</v>
          </cell>
          <cell r="B1391" t="str">
            <v>Other Revenue - Cogen Maintenance - Distribution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</row>
        <row r="1392">
          <cell r="A1392" t="str">
            <v>4560090</v>
          </cell>
          <cell r="B1392" t="str">
            <v>Other Revenue - BERS - Bldg Energy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</row>
        <row r="1393">
          <cell r="A1393" t="str">
            <v>4560100</v>
          </cell>
          <cell r="B1393" t="str">
            <v>Other Revenue - Wheeling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</row>
        <row r="1394">
          <cell r="A1394" t="str">
            <v>4560110</v>
          </cell>
          <cell r="B1394" t="str">
            <v>Other Revenue - Metro Link Job Orders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</row>
        <row r="1395">
          <cell r="A1395" t="str">
            <v>4560120</v>
          </cell>
          <cell r="B1395" t="str">
            <v>Other Revenue - Green Power Program</v>
          </cell>
          <cell r="C1395">
            <v>9805</v>
          </cell>
          <cell r="D1395">
            <v>9805</v>
          </cell>
          <cell r="E1395">
            <v>9805</v>
          </cell>
          <cell r="F1395">
            <v>9805</v>
          </cell>
          <cell r="G1395">
            <v>9805</v>
          </cell>
          <cell r="H1395">
            <v>9805</v>
          </cell>
          <cell r="I1395">
            <v>9805</v>
          </cell>
          <cell r="J1395">
            <v>9805</v>
          </cell>
          <cell r="K1395">
            <v>9805</v>
          </cell>
          <cell r="L1395">
            <v>9805</v>
          </cell>
          <cell r="M1395">
            <v>9805</v>
          </cell>
          <cell r="N1395">
            <v>9805</v>
          </cell>
          <cell r="O1395">
            <v>117660</v>
          </cell>
        </row>
        <row r="1396">
          <cell r="A1396" t="str">
            <v>4560130</v>
          </cell>
          <cell r="B1396" t="str">
            <v>Other Revenue - Exhaust Heat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</row>
        <row r="1397">
          <cell r="A1397" t="str">
            <v>4560140</v>
          </cell>
          <cell r="B1397" t="str">
            <v>Other Revenue - UMG Services - Big Bend Station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</row>
        <row r="1398">
          <cell r="A1398" t="str">
            <v>4560150</v>
          </cell>
          <cell r="B1398" t="str">
            <v>Other Revenue - FGT Phase VIII Project Sale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</row>
        <row r="1399">
          <cell r="A1399" t="str">
            <v>4560160</v>
          </cell>
          <cell r="B1399" t="str">
            <v>Other Revenue - FGT Walker Rd &amp; Bayside Amort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</row>
        <row r="1400">
          <cell r="A1400" t="str">
            <v>4560170</v>
          </cell>
          <cell r="B1400" t="str">
            <v>Other Revenue - Comprehensive C/I Audit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</row>
        <row r="1401">
          <cell r="A1401" t="str">
            <v>4560180</v>
          </cell>
          <cell r="B1401" t="str">
            <v>Other Electric Revenues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</row>
        <row r="1402">
          <cell r="A1402" t="str">
            <v>4560200</v>
          </cell>
          <cell r="B1402" t="str">
            <v>OATT Pt to Pt Revenue</v>
          </cell>
          <cell r="C1402">
            <v>656186.31318679999</v>
          </cell>
          <cell r="D1402">
            <v>656186.31318679999</v>
          </cell>
          <cell r="E1402">
            <v>656186.31318679999</v>
          </cell>
          <cell r="F1402">
            <v>656186.31318679999</v>
          </cell>
          <cell r="G1402">
            <v>656186.31318679999</v>
          </cell>
          <cell r="H1402">
            <v>622749.5</v>
          </cell>
          <cell r="I1402">
            <v>622749.5</v>
          </cell>
          <cell r="J1402">
            <v>622749.5</v>
          </cell>
          <cell r="K1402">
            <v>622749.5</v>
          </cell>
          <cell r="L1402">
            <v>656186.31318679999</v>
          </cell>
          <cell r="M1402">
            <v>656186.31318679999</v>
          </cell>
          <cell r="N1402">
            <v>656186.31318679999</v>
          </cell>
          <cell r="O1402">
            <v>7740488.5054944009</v>
          </cell>
        </row>
        <row r="1403">
          <cell r="A1403" t="str">
            <v>4560210</v>
          </cell>
          <cell r="B1403" t="str">
            <v>OATT Ancillary Scheduling Revenue</v>
          </cell>
          <cell r="C1403">
            <v>14574.3903407</v>
          </cell>
          <cell r="D1403">
            <v>14574.3903407</v>
          </cell>
          <cell r="E1403">
            <v>14574.3903407</v>
          </cell>
          <cell r="F1403">
            <v>14574.3903407</v>
          </cell>
          <cell r="G1403">
            <v>14574.3903407</v>
          </cell>
          <cell r="H1403">
            <v>14070.731</v>
          </cell>
          <cell r="I1403">
            <v>14070.731</v>
          </cell>
          <cell r="J1403">
            <v>14070.731</v>
          </cell>
          <cell r="K1403">
            <v>14070.731</v>
          </cell>
          <cell r="L1403">
            <v>14574.3903407</v>
          </cell>
          <cell r="M1403">
            <v>14574.3903407</v>
          </cell>
          <cell r="N1403">
            <v>14574.3903407</v>
          </cell>
          <cell r="O1403">
            <v>172878.04672559997</v>
          </cell>
        </row>
        <row r="1404">
          <cell r="A1404" t="str">
            <v>4560220</v>
          </cell>
          <cell r="B1404" t="str">
            <v>OATT Ancillary Reactive Revenue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</row>
        <row r="1405">
          <cell r="A1405" t="str">
            <v>4560230</v>
          </cell>
          <cell r="B1405" t="str">
            <v>OATT GSI Penalty Revenue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</row>
        <row r="1406">
          <cell r="A1406" t="str">
            <v>4560300</v>
          </cell>
          <cell r="B1406" t="str">
            <v>Pt to Pt Transmission Separated Sales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</row>
        <row r="1407">
          <cell r="A1407" t="str">
            <v>4560301</v>
          </cell>
          <cell r="B1407" t="str">
            <v>Pt to Pt Transmission - Separated D Sales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</row>
        <row r="1408">
          <cell r="A1408" t="str">
            <v>4560310</v>
          </cell>
          <cell r="B1408" t="str">
            <v>Ancillary Scheduling Separated Sales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</row>
        <row r="1409">
          <cell r="A1409" t="str">
            <v>4560401</v>
          </cell>
          <cell r="B1409" t="str">
            <v>Pt to Pt Transmission Non Separated Sale-Retail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</row>
        <row r="1410">
          <cell r="A1410" t="str">
            <v>4560402</v>
          </cell>
          <cell r="B1410" t="str">
            <v>Pt to Pt Transmission Non Separated Sale-Wholesale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</row>
        <row r="1411">
          <cell r="A1411" t="str">
            <v>4560411</v>
          </cell>
          <cell r="B1411" t="str">
            <v>Ancillary Transmission Non Separated-Retail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</row>
        <row r="1412">
          <cell r="A1412" t="str">
            <v>4560412</v>
          </cell>
          <cell r="B1412" t="str">
            <v>Ancillary Transmission Non Separated-Wholesale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</row>
        <row r="1413">
          <cell r="A1413" t="str">
            <v>4560501</v>
          </cell>
          <cell r="B1413" t="str">
            <v>Unused Pt to Pt Transm Non Separated-Retail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</row>
        <row r="1414">
          <cell r="A1414" t="str">
            <v>4560502</v>
          </cell>
          <cell r="B1414" t="str">
            <v>Unused Pt to Pt Transm Non Separated-Wholesale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</row>
        <row r="1415">
          <cell r="A1415" t="str">
            <v>4560511</v>
          </cell>
          <cell r="B1415" t="str">
            <v>Unused Ancillary Transm Non Separated-Retail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</row>
        <row r="1416">
          <cell r="A1416" t="str">
            <v>4560512</v>
          </cell>
          <cell r="B1416" t="str">
            <v>Unused Ancillary Transm Non Separated-Wholesale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</row>
        <row r="1417">
          <cell r="A1417" t="str">
            <v>4560610</v>
          </cell>
          <cell r="B1417" t="str">
            <v>Other Revenue - Slag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</row>
        <row r="1418">
          <cell r="A1418" t="str">
            <v>4560620</v>
          </cell>
          <cell r="B1418" t="str">
            <v>Other Revenue - Fly Ash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</row>
        <row r="1419">
          <cell r="A1419" t="str">
            <v>4560650</v>
          </cell>
          <cell r="B1419" t="str">
            <v>Other Revenue - Sulfuric Acid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</row>
        <row r="1420">
          <cell r="A1420" t="str">
            <v>4560660</v>
          </cell>
          <cell r="B1420" t="str">
            <v>Other Revenue - Gypsum Excluding ECRC</v>
          </cell>
          <cell r="C1420">
            <v>50469.103420400003</v>
          </cell>
          <cell r="D1420">
            <v>3102.1563857000001</v>
          </cell>
          <cell r="E1420">
            <v>0</v>
          </cell>
          <cell r="F1420">
            <v>8583.6994417999995</v>
          </cell>
          <cell r="G1420">
            <v>1489.0494486</v>
          </cell>
          <cell r="H1420">
            <v>22689.215674899999</v>
          </cell>
          <cell r="I1420">
            <v>56178.624585700003</v>
          </cell>
          <cell r="J1420">
            <v>57543.330494499998</v>
          </cell>
          <cell r="K1420">
            <v>58709.697216799999</v>
          </cell>
          <cell r="L1420">
            <v>14188.8543188</v>
          </cell>
          <cell r="M1420">
            <v>24845.611373299998</v>
          </cell>
          <cell r="N1420">
            <v>34761.259856800003</v>
          </cell>
          <cell r="O1420">
            <v>332560.60221730004</v>
          </cell>
        </row>
        <row r="1421">
          <cell r="A1421" t="str">
            <v>4560661</v>
          </cell>
          <cell r="B1421" t="str">
            <v>Other Revenue - Gypsum ECRC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</row>
        <row r="1422">
          <cell r="A1422" t="str">
            <v>4560690</v>
          </cell>
          <cell r="B1422" t="str">
            <v>Other Revenue - Beneficiated Ash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</row>
        <row r="1423">
          <cell r="A1423" t="str">
            <v>4560800</v>
          </cell>
          <cell r="B1423" t="str">
            <v>Other Revenue - Miscellaneous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</row>
        <row r="1424">
          <cell r="A1424" t="str">
            <v>4560900</v>
          </cell>
          <cell r="B1424" t="str">
            <v>Unbilled Revenue</v>
          </cell>
          <cell r="C1424">
            <v>-2217570</v>
          </cell>
          <cell r="D1424">
            <v>-4249428</v>
          </cell>
          <cell r="E1424">
            <v>2436936</v>
          </cell>
          <cell r="F1424">
            <v>4087924</v>
          </cell>
          <cell r="G1424">
            <v>8851659</v>
          </cell>
          <cell r="H1424">
            <v>2230005</v>
          </cell>
          <cell r="I1424">
            <v>1850801</v>
          </cell>
          <cell r="J1424">
            <v>3965990</v>
          </cell>
          <cell r="K1424">
            <v>-6757982</v>
          </cell>
          <cell r="L1424">
            <v>-5311746</v>
          </cell>
          <cell r="M1424">
            <v>-6704782</v>
          </cell>
          <cell r="N1424">
            <v>1788658</v>
          </cell>
          <cell r="O1424">
            <v>-29535</v>
          </cell>
        </row>
        <row r="1425">
          <cell r="A1425" t="str">
            <v>4571700</v>
          </cell>
          <cell r="B1425" t="str">
            <v>Interco Svc Company Revenue-Direct Costs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</row>
        <row r="1426">
          <cell r="A1426" t="str">
            <v>4572700</v>
          </cell>
          <cell r="B1426" t="str">
            <v>Interco Svc Company Revenue-Indirect Costs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</row>
        <row r="1427">
          <cell r="A1427" t="str">
            <v>4581000</v>
          </cell>
          <cell r="B1427" t="str">
            <v>Svc Company Revenue-Non-Assoc Co-Direct Costs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</row>
        <row r="1428">
          <cell r="A1428" t="str">
            <v>4600010</v>
          </cell>
          <cell r="B1428" t="str">
            <v>Energy Revenues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</row>
        <row r="1429">
          <cell r="A1429" t="str">
            <v>4600020</v>
          </cell>
          <cell r="B1429" t="str">
            <v>Capacity Revenues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</row>
        <row r="1430">
          <cell r="A1430" t="str">
            <v>4600030</v>
          </cell>
          <cell r="B1430" t="str">
            <v>Fixed O&amp;M Revenue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</row>
        <row r="1431">
          <cell r="A1431" t="str">
            <v>4600040</v>
          </cell>
          <cell r="B1431" t="str">
            <v>Variable O&amp;M Revenue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</row>
        <row r="1432">
          <cell r="A1432" t="str">
            <v>4600050</v>
          </cell>
          <cell r="B1432" t="str">
            <v>Fuel Administration Revenue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</row>
        <row r="1433">
          <cell r="A1433" t="str">
            <v>4600060</v>
          </cell>
          <cell r="B1433" t="str">
            <v>Operation Range Adjustment Revenue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</row>
        <row r="1434">
          <cell r="A1434" t="str">
            <v>4600070</v>
          </cell>
          <cell r="B1434" t="str">
            <v>Fuel Adjustment Revenue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</row>
        <row r="1435">
          <cell r="A1435" t="str">
            <v>4600080</v>
          </cell>
          <cell r="B1435" t="str">
            <v>Expense Reimb - Coal Tax Revenue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</row>
        <row r="1436">
          <cell r="A1436" t="str">
            <v>4600090</v>
          </cell>
          <cell r="B1436" t="str">
            <v>Spot Market Sales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</row>
        <row r="1437">
          <cell r="A1437" t="str">
            <v>4600100</v>
          </cell>
          <cell r="B1437" t="str">
            <v>Deferred Revenues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</row>
        <row r="1438">
          <cell r="A1438" t="str">
            <v>4600110</v>
          </cell>
          <cell r="B1438" t="str">
            <v>Coal Services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</row>
        <row r="1439">
          <cell r="A1439" t="str">
            <v>4600120</v>
          </cell>
          <cell r="B1439" t="str">
            <v>Fuel Services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</row>
        <row r="1440">
          <cell r="A1440" t="str">
            <v>4600720</v>
          </cell>
          <cell r="B1440" t="str">
            <v>Intercompany Fee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</row>
        <row r="1441">
          <cell r="A1441" t="str">
            <v>4600740</v>
          </cell>
          <cell r="B1441" t="str">
            <v>Intercompany Expense Reimbursement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</row>
        <row r="1442">
          <cell r="A1442" t="str">
            <v>4611000</v>
          </cell>
          <cell r="B1442" t="str">
            <v>Marketing Program Revenues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</row>
        <row r="1443">
          <cell r="A1443" t="str">
            <v>4612000</v>
          </cell>
          <cell r="B1443" t="str">
            <v>Gas Management Fees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</row>
        <row r="1444">
          <cell r="A1444" t="str">
            <v>4612100</v>
          </cell>
          <cell r="B1444" t="str">
            <v>Nonregulated Gas Revenue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</row>
        <row r="1445">
          <cell r="A1445" t="str">
            <v>4613000</v>
          </cell>
          <cell r="B1445" t="str">
            <v>Alternative Fuels Consulting Fees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</row>
        <row r="1446">
          <cell r="A1446" t="str">
            <v>4613010</v>
          </cell>
          <cell r="B1446" t="str">
            <v>Public Fuel Revenue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</row>
        <row r="1447">
          <cell r="A1447" t="str">
            <v>4613020</v>
          </cell>
          <cell r="B1447" t="str">
            <v>Private Fuel Revenue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</row>
        <row r="1448">
          <cell r="A1448" t="str">
            <v>4690000</v>
          </cell>
          <cell r="B1448" t="str">
            <v>Other Unregulated Revenue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</row>
        <row r="1449">
          <cell r="A1449" t="str">
            <v>4690100</v>
          </cell>
          <cell r="B1449" t="str">
            <v>Contributions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</row>
        <row r="1450">
          <cell r="A1450" t="str">
            <v>4690110</v>
          </cell>
          <cell r="B1450" t="str">
            <v>In-Kind Contributions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</row>
        <row r="1451">
          <cell r="A1451" t="str">
            <v>4800010</v>
          </cell>
          <cell r="B1451" t="str">
            <v>Residential - 1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</row>
        <row r="1452">
          <cell r="A1452" t="str">
            <v>4800011</v>
          </cell>
          <cell r="B1452" t="str">
            <v>Residential - 1 FUEL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</row>
        <row r="1453">
          <cell r="A1453" t="str">
            <v>4800020</v>
          </cell>
          <cell r="B1453" t="str">
            <v>Residential - 2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</row>
        <row r="1454">
          <cell r="A1454" t="str">
            <v>4800021</v>
          </cell>
          <cell r="B1454" t="str">
            <v>Residential - 2 FUEL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</row>
        <row r="1455">
          <cell r="A1455" t="str">
            <v>4800030</v>
          </cell>
          <cell r="B1455" t="str">
            <v>Residential - 3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</row>
        <row r="1456">
          <cell r="A1456" t="str">
            <v>4800031</v>
          </cell>
          <cell r="B1456" t="str">
            <v>Residential - 3 FUEL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</row>
        <row r="1457">
          <cell r="A1457" t="str">
            <v>4800035</v>
          </cell>
          <cell r="B1457" t="str">
            <v>Residential Stand By Generator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</row>
        <row r="1458">
          <cell r="A1458" t="str">
            <v>4800036</v>
          </cell>
          <cell r="B1458" t="str">
            <v>Residential Stand By Generator FUEL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</row>
        <row r="1459">
          <cell r="A1459" t="str">
            <v>4800037</v>
          </cell>
          <cell r="B1459" t="str">
            <v>Residential Gas Heat Pump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</row>
        <row r="1460">
          <cell r="A1460" t="str">
            <v>4800038</v>
          </cell>
          <cell r="B1460" t="str">
            <v>Residential Gas Heat Pump FUEL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</row>
        <row r="1461">
          <cell r="A1461" t="str">
            <v>4800040</v>
          </cell>
          <cell r="B1461" t="str">
            <v>Residential General Service 1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</row>
        <row r="1462">
          <cell r="A1462" t="str">
            <v>4800041</v>
          </cell>
          <cell r="B1462" t="str">
            <v>Residential General Service 1 FUEL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</row>
        <row r="1463">
          <cell r="A1463" t="str">
            <v>4800042</v>
          </cell>
          <cell r="B1463" t="str">
            <v>Residential General Service 2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</row>
        <row r="1464">
          <cell r="A1464" t="str">
            <v>4800043</v>
          </cell>
          <cell r="B1464" t="str">
            <v>Residential General Service 2 FUEL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</row>
        <row r="1465">
          <cell r="A1465" t="str">
            <v>4800044</v>
          </cell>
          <cell r="B1465" t="str">
            <v>Residential General Service 3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</row>
        <row r="1466">
          <cell r="A1466" t="str">
            <v>4800045</v>
          </cell>
          <cell r="B1466" t="str">
            <v>Residential General Service 3 FUEL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</row>
        <row r="1467">
          <cell r="A1467" t="str">
            <v>4800110</v>
          </cell>
          <cell r="B1467" t="str">
            <v>Residential Sales-Base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</row>
        <row r="1468">
          <cell r="A1468" t="str">
            <v>4800120</v>
          </cell>
          <cell r="B1468" t="str">
            <v>Residential Sales-Fuel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</row>
        <row r="1469">
          <cell r="A1469" t="str">
            <v>4800140</v>
          </cell>
          <cell r="B1469" t="str">
            <v>Residential Sales-Energy Conservation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</row>
        <row r="1470">
          <cell r="A1470" t="str">
            <v>4800182</v>
          </cell>
          <cell r="B1470" t="str">
            <v>Residential Sales-TECO Credit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</row>
        <row r="1471">
          <cell r="A1471" t="str">
            <v>4810001</v>
          </cell>
          <cell r="B1471" t="str">
            <v>Natural Gas Vehicles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</row>
        <row r="1472">
          <cell r="A1472" t="str">
            <v>4810002</v>
          </cell>
          <cell r="B1472" t="str">
            <v>Natural Gas Vehicles FUEL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</row>
        <row r="1473">
          <cell r="A1473" t="str">
            <v>4810004</v>
          </cell>
          <cell r="B1473" t="str">
            <v>Commercial Street Lighting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</row>
        <row r="1474">
          <cell r="A1474" t="str">
            <v>4810005</v>
          </cell>
          <cell r="B1474" t="str">
            <v>Commercial Street Lighting FUEL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</row>
        <row r="1475">
          <cell r="A1475" t="str">
            <v>4810008</v>
          </cell>
          <cell r="B1475" t="str">
            <v>General Service Small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</row>
        <row r="1476">
          <cell r="A1476" t="str">
            <v>4810009</v>
          </cell>
          <cell r="B1476" t="str">
            <v>General Service Small FUEL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</row>
        <row r="1477">
          <cell r="A1477" t="str">
            <v>4810033</v>
          </cell>
          <cell r="B1477" t="str">
            <v>Commercial Gas Heat Pump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</row>
        <row r="1478">
          <cell r="A1478" t="str">
            <v>4810034</v>
          </cell>
          <cell r="B1478" t="str">
            <v>Commercial Gas Heat Pump FUEL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</row>
        <row r="1479">
          <cell r="A1479" t="str">
            <v>4810035</v>
          </cell>
          <cell r="B1479" t="str">
            <v>Commercial Standby Generator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</row>
        <row r="1480">
          <cell r="A1480" t="str">
            <v>4810036</v>
          </cell>
          <cell r="B1480" t="str">
            <v>Commercial Standby Generator FUEL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</row>
        <row r="1481">
          <cell r="A1481" t="str">
            <v>4810050</v>
          </cell>
          <cell r="B1481" t="str">
            <v>General Service Large Vol. 1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</row>
        <row r="1482">
          <cell r="A1482" t="str">
            <v>4810051</v>
          </cell>
          <cell r="B1482" t="str">
            <v>General Service Large Vol. 1 FUEL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</row>
        <row r="1483">
          <cell r="A1483" t="str">
            <v>4810052</v>
          </cell>
          <cell r="B1483" t="str">
            <v>General Service Large Vol. 2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</row>
        <row r="1484">
          <cell r="A1484" t="str">
            <v>4810053</v>
          </cell>
          <cell r="B1484" t="str">
            <v>General Service Large Vol. 2 FUEL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</row>
        <row r="1485">
          <cell r="A1485" t="str">
            <v>4810054</v>
          </cell>
          <cell r="B1485" t="str">
            <v>General Service Large Vol. 3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</row>
        <row r="1486">
          <cell r="A1486" t="str">
            <v>4810055</v>
          </cell>
          <cell r="B1486" t="str">
            <v>General Service Large 3 FUEL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</row>
        <row r="1487">
          <cell r="A1487" t="str">
            <v>4810056</v>
          </cell>
          <cell r="B1487" t="str">
            <v>General Service Large Vol. 4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</row>
        <row r="1488">
          <cell r="A1488" t="str">
            <v>4810057</v>
          </cell>
          <cell r="B1488" t="str">
            <v>General Service Large Vol. 4 FUEL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</row>
        <row r="1489">
          <cell r="A1489" t="str">
            <v>4810058</v>
          </cell>
          <cell r="B1489" t="str">
            <v>General Service Large Vol. 5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</row>
        <row r="1490">
          <cell r="A1490" t="str">
            <v>4810059</v>
          </cell>
          <cell r="B1490" t="str">
            <v>General Service Large Vol. 5 FUEL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</row>
        <row r="1491">
          <cell r="A1491" t="str">
            <v>4810060</v>
          </cell>
          <cell r="B1491" t="str">
            <v>Interruptible Service Small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</row>
        <row r="1492">
          <cell r="A1492" t="str">
            <v>4810061</v>
          </cell>
          <cell r="B1492" t="str">
            <v>Interruptible Service Small FUEL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</row>
        <row r="1493">
          <cell r="A1493" t="str">
            <v>4810070</v>
          </cell>
          <cell r="B1493" t="str">
            <v>Interruptible Service Large Vol. 1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</row>
        <row r="1494">
          <cell r="A1494" t="str">
            <v>4810071</v>
          </cell>
          <cell r="B1494" t="str">
            <v>Interruptible Service Large Vol. 1 FUEL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</row>
        <row r="1495">
          <cell r="A1495" t="str">
            <v>4810080</v>
          </cell>
          <cell r="B1495" t="str">
            <v>Interruptible Service Large Vol. 2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</row>
        <row r="1496">
          <cell r="A1496" t="str">
            <v>4810081</v>
          </cell>
          <cell r="B1496" t="str">
            <v>Interruptible Service Large Vol. 2 FUEL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</row>
        <row r="1497">
          <cell r="A1497" t="str">
            <v>4810090</v>
          </cell>
          <cell r="B1497" t="str">
            <v>Interruptible Contract Service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</row>
        <row r="1498">
          <cell r="A1498" t="str">
            <v>4810091</v>
          </cell>
          <cell r="B1498" t="str">
            <v>Interruptible Contract Service Fuel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</row>
        <row r="1499">
          <cell r="A1499" t="str">
            <v>4810110</v>
          </cell>
          <cell r="B1499" t="str">
            <v>Comercial Sales - Base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</row>
        <row r="1500">
          <cell r="A1500" t="str">
            <v>4810111</v>
          </cell>
          <cell r="B1500" t="str">
            <v>Industrial Sales - COG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</row>
        <row r="1501">
          <cell r="A1501" t="str">
            <v>4810112</v>
          </cell>
          <cell r="B1501" t="str">
            <v>Industrial Sales - TECO Credit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</row>
        <row r="1502">
          <cell r="A1502" t="str">
            <v>4810120</v>
          </cell>
          <cell r="B1502" t="str">
            <v>Comercial Sales - Fuel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</row>
        <row r="1503">
          <cell r="A1503" t="str">
            <v>4810121</v>
          </cell>
          <cell r="B1503" t="str">
            <v>Irrigation Sales - COG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</row>
        <row r="1504">
          <cell r="A1504" t="str">
            <v>4810122</v>
          </cell>
          <cell r="B1504" t="str">
            <v>Irrigation Sales - TECO Credit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</row>
        <row r="1505">
          <cell r="A1505" t="str">
            <v>4810140</v>
          </cell>
          <cell r="B1505" t="str">
            <v>Commercial Sales-Energy Conservation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</row>
        <row r="1506">
          <cell r="A1506" t="str">
            <v>4810182</v>
          </cell>
          <cell r="B1506" t="str">
            <v>Commercial Sales-Teco Credit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</row>
        <row r="1507">
          <cell r="A1507" t="str">
            <v>4810210</v>
          </cell>
          <cell r="B1507" t="str">
            <v>Industrial Sales - Base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</row>
        <row r="1508">
          <cell r="A1508" t="str">
            <v>4810220</v>
          </cell>
          <cell r="B1508" t="str">
            <v>Industrial Sales - Fuel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</row>
        <row r="1509">
          <cell r="A1509" t="str">
            <v>4810240</v>
          </cell>
          <cell r="B1509" t="str">
            <v>Industrial Sales-Energy Conservation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</row>
        <row r="1510">
          <cell r="A1510" t="str">
            <v>4810282</v>
          </cell>
          <cell r="B1510" t="str">
            <v>Industrial Sales-TECO Credit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</row>
        <row r="1511">
          <cell r="A1511" t="str">
            <v>4810500</v>
          </cell>
          <cell r="B1511" t="str">
            <v>Mutually Beneficial (to PGA) - Non RP Reseller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</row>
        <row r="1512">
          <cell r="A1512" t="str">
            <v>4810501</v>
          </cell>
          <cell r="B1512" t="str">
            <v>Mutually Beneficial (to PGA) - Non RP End User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</row>
        <row r="1513">
          <cell r="A1513" t="str">
            <v>4810502</v>
          </cell>
          <cell r="B1513" t="str">
            <v>Mutually Beneficial (to PGA) - Reciept Point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</row>
        <row r="1514">
          <cell r="A1514" t="str">
            <v>4810600</v>
          </cell>
          <cell r="B1514" t="str">
            <v>Off System Sales (to PGA) - Non RP Reseller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</row>
        <row r="1515">
          <cell r="A1515" t="str">
            <v>4810601</v>
          </cell>
          <cell r="B1515" t="str">
            <v>Off System Sales (to PGA) - Non RP End User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</row>
        <row r="1516">
          <cell r="A1516" t="str">
            <v>4810602</v>
          </cell>
          <cell r="B1516" t="str">
            <v>Off System Sales (to PGA) - Receipt Point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</row>
        <row r="1517">
          <cell r="A1517" t="str">
            <v>4810610</v>
          </cell>
          <cell r="B1517" t="str">
            <v>Off System Sales (margin) - Non RP Reseller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</row>
        <row r="1518">
          <cell r="A1518" t="str">
            <v>4810611</v>
          </cell>
          <cell r="B1518" t="str">
            <v>Off System Sales (margin) - Non RP End User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</row>
        <row r="1519">
          <cell r="A1519" t="str">
            <v>4810612</v>
          </cell>
          <cell r="B1519" t="str">
            <v>Off System Sales (margin) - Receipt Point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</row>
        <row r="1520">
          <cell r="A1520" t="str">
            <v>4810700</v>
          </cell>
          <cell r="B1520" t="str">
            <v>Off System Sales - Intercompany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</row>
        <row r="1521">
          <cell r="A1521" t="str">
            <v>4820110</v>
          </cell>
          <cell r="B1521" t="str">
            <v>Public Authority Sales - Margin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</row>
        <row r="1522">
          <cell r="A1522" t="str">
            <v>4820111</v>
          </cell>
          <cell r="B1522" t="str">
            <v>Public Authority Sales - COG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</row>
        <row r="1523">
          <cell r="A1523" t="str">
            <v>4820112</v>
          </cell>
          <cell r="B1523" t="str">
            <v>Public Authority Sales - TECO Credit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</row>
        <row r="1524">
          <cell r="A1524" t="str">
            <v>4820120</v>
          </cell>
          <cell r="B1524" t="str">
            <v>Public Authority Sales-Fuel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</row>
        <row r="1525">
          <cell r="A1525" t="str">
            <v>4820140</v>
          </cell>
          <cell r="B1525" t="str">
            <v>Public Authority Sales-Energy Conservation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</row>
        <row r="1526">
          <cell r="A1526" t="str">
            <v>4820182</v>
          </cell>
          <cell r="B1526" t="str">
            <v>Public Authority Sales-TECO Credit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</row>
        <row r="1527">
          <cell r="A1527" t="str">
            <v>4830091</v>
          </cell>
          <cell r="B1527" t="str">
            <v>Wholesale Sales for Resale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</row>
        <row r="1528">
          <cell r="A1528" t="str">
            <v>4830092</v>
          </cell>
          <cell r="B1528" t="str">
            <v>Wholesale Sales for Resale FUEL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</row>
        <row r="1529">
          <cell r="A1529" t="str">
            <v>4830110</v>
          </cell>
          <cell r="B1529" t="str">
            <v>On-System Sales for Resale - Base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</row>
        <row r="1530">
          <cell r="A1530" t="str">
            <v>4830120</v>
          </cell>
          <cell r="B1530" t="str">
            <v>On-System Sales for Resale - Fuel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</row>
        <row r="1531">
          <cell r="A1531" t="str">
            <v>4830182</v>
          </cell>
          <cell r="B1531" t="str">
            <v>On-System Sales for Resale - TECO Credit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</row>
        <row r="1532">
          <cell r="A1532" t="str">
            <v>4830200</v>
          </cell>
          <cell r="B1532" t="str">
            <v>Off-System Sales for Resale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</row>
        <row r="1533">
          <cell r="A1533" t="str">
            <v>4830300</v>
          </cell>
          <cell r="B1533" t="str">
            <v>Transportation Imbalance Penalties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</row>
        <row r="1534">
          <cell r="A1534" t="str">
            <v>4833091</v>
          </cell>
          <cell r="B1534" t="str">
            <v>Wholesale Sales for Resale Transportation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</row>
        <row r="1535">
          <cell r="A1535" t="str">
            <v>4833092</v>
          </cell>
          <cell r="B1535" t="str">
            <v>Wholesale Transportation Service - Swing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</row>
        <row r="1536">
          <cell r="A1536" t="str">
            <v>4840110</v>
          </cell>
          <cell r="B1536" t="str">
            <v>Company Use Sales - Base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</row>
        <row r="1537">
          <cell r="A1537" t="str">
            <v>4840120</v>
          </cell>
          <cell r="B1537" t="str">
            <v>Company Use Sales - Fuel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</row>
        <row r="1538">
          <cell r="A1538" t="str">
            <v>4840182</v>
          </cell>
          <cell r="B1538" t="str">
            <v>Company Use Sales - TECO Credit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</row>
        <row r="1539">
          <cell r="A1539" t="str">
            <v>4870000</v>
          </cell>
          <cell r="B1539" t="str">
            <v>Forfeited Discounts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</row>
        <row r="1540">
          <cell r="A1540" t="str">
            <v>4880101</v>
          </cell>
          <cell r="B1540" t="str">
            <v>Misc Svc Rev - Residential Connect/Reconnect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</row>
        <row r="1541">
          <cell r="A1541" t="str">
            <v>4880102</v>
          </cell>
          <cell r="B1541" t="str">
            <v>Misc Svc Rev - Commercial Connect/Reconnect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</row>
        <row r="1542">
          <cell r="A1542" t="str">
            <v>4880103</v>
          </cell>
          <cell r="B1542" t="str">
            <v>Misc Svc Rev - Change Out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</row>
        <row r="1543">
          <cell r="A1543" t="str">
            <v>4880104</v>
          </cell>
          <cell r="B1543" t="str">
            <v>Misc Svc Rev - Trip Charge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</row>
        <row r="1544">
          <cell r="A1544" t="str">
            <v>4880105</v>
          </cell>
          <cell r="B1544" t="str">
            <v>Misc Svc Rev - NSF Fee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</row>
        <row r="1545">
          <cell r="A1545" t="str">
            <v>4880106</v>
          </cell>
          <cell r="B1545" t="str">
            <v>Misc Svc Rev - Failed Trip Charge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</row>
        <row r="1546">
          <cell r="A1546" t="str">
            <v>4880107</v>
          </cell>
          <cell r="B1546" t="str">
            <v>Misc Svc Rev - Temporary Disconnect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</row>
        <row r="1547">
          <cell r="A1547" t="str">
            <v>4880108</v>
          </cell>
          <cell r="B1547" t="str">
            <v>Misc Svc Rev - CRM Legacy Adjustment (Gas)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</row>
        <row r="1548">
          <cell r="A1548" t="str">
            <v>4880111</v>
          </cell>
          <cell r="B1548" t="str">
            <v>Misc Svc Rev - ITS Fee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</row>
        <row r="1549">
          <cell r="A1549" t="str">
            <v>4880800</v>
          </cell>
          <cell r="B1549" t="str">
            <v>Miscellaneous Service Revenues - Other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</row>
        <row r="1550">
          <cell r="A1550" t="str">
            <v>4880850</v>
          </cell>
          <cell r="B1550" t="str">
            <v>Misc Svc Rev - NGVS-2 Facilities Charge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</row>
        <row r="1551">
          <cell r="A1551" t="str">
            <v>4892010</v>
          </cell>
          <cell r="B1551" t="str">
            <v>FIRM Service - Usage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</row>
        <row r="1552">
          <cell r="A1552" t="str">
            <v>4892020</v>
          </cell>
          <cell r="B1552" t="str">
            <v>FIRM Service - Reservation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</row>
        <row r="1553">
          <cell r="A1553" t="str">
            <v>4892110</v>
          </cell>
          <cell r="B1553" t="str">
            <v>Transport - Trans Residential - Base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</row>
        <row r="1554">
          <cell r="A1554" t="str">
            <v>4892111</v>
          </cell>
          <cell r="B1554" t="str">
            <v>Transport - Trans Residential - Access Fee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</row>
        <row r="1555">
          <cell r="A1555" t="str">
            <v>4892112</v>
          </cell>
          <cell r="B1555" t="str">
            <v>Transport - Trans Residential - Negotiated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</row>
        <row r="1556">
          <cell r="A1556" t="str">
            <v>4892113</v>
          </cell>
          <cell r="B1556" t="str">
            <v>Transport - Trans Residential - Del. Pt. Fee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</row>
        <row r="1557">
          <cell r="A1557" t="str">
            <v>4892114</v>
          </cell>
          <cell r="B1557" t="str">
            <v>Transport - Trans Residential - Market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</row>
        <row r="1558">
          <cell r="A1558" t="str">
            <v>4892115</v>
          </cell>
          <cell r="B1558" t="str">
            <v>Transport - Trans Residential - Tariff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</row>
        <row r="1559">
          <cell r="A1559" t="str">
            <v>4892116</v>
          </cell>
          <cell r="B1559" t="str">
            <v>Transport - Trans Residential - Rec. Pt. Fee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</row>
        <row r="1560">
          <cell r="A1560" t="str">
            <v>4892118</v>
          </cell>
          <cell r="B1560" t="str">
            <v>Transport - Trans Residential - Svc Fee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</row>
        <row r="1561">
          <cell r="A1561" t="str">
            <v>4892119</v>
          </cell>
          <cell r="B1561" t="str">
            <v>Transport - Trans Residential - Other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</row>
        <row r="1562">
          <cell r="A1562" t="str">
            <v>4892120</v>
          </cell>
          <cell r="B1562" t="str">
            <v>Transport - Trans Residential - Fuel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</row>
        <row r="1563">
          <cell r="A1563" t="str">
            <v>4892182</v>
          </cell>
          <cell r="B1563" t="str">
            <v>Transport - Trans Residential - TECO Credit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</row>
        <row r="1564">
          <cell r="A1564" t="str">
            <v>4892210</v>
          </cell>
          <cell r="B1564" t="str">
            <v>Transport - Trans Commercial - Base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</row>
        <row r="1565">
          <cell r="A1565" t="str">
            <v>4892211</v>
          </cell>
          <cell r="B1565" t="str">
            <v>Transport - Trans Commercial - Access Fee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</row>
        <row r="1566">
          <cell r="A1566" t="str">
            <v>4892212</v>
          </cell>
          <cell r="B1566" t="str">
            <v>Transport - Trans Commercial - Negotiated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</row>
        <row r="1567">
          <cell r="A1567" t="str">
            <v>4892213</v>
          </cell>
          <cell r="B1567" t="str">
            <v>Transport - Trans Commercial - Del. Pt. Fee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</row>
        <row r="1568">
          <cell r="A1568" t="str">
            <v>4892214</v>
          </cell>
          <cell r="B1568" t="str">
            <v>Transport - Trans Commercial - Market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</row>
        <row r="1569">
          <cell r="A1569" t="str">
            <v>4892215</v>
          </cell>
          <cell r="B1569" t="str">
            <v>Transport - Trans Commercial - Tariff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</row>
        <row r="1570">
          <cell r="A1570" t="str">
            <v>4892216</v>
          </cell>
          <cell r="B1570" t="str">
            <v>Transport - Trans Commercial - Rec. Pt. Fee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</row>
        <row r="1571">
          <cell r="A1571" t="str">
            <v>4892218</v>
          </cell>
          <cell r="B1571" t="str">
            <v>Transport - Trans Commercial - Svc Fee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</row>
        <row r="1572">
          <cell r="A1572" t="str">
            <v>4892219</v>
          </cell>
          <cell r="B1572" t="str">
            <v>Transport - Trans Commercial - Other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</row>
        <row r="1573">
          <cell r="A1573" t="str">
            <v>4892220</v>
          </cell>
          <cell r="B1573" t="str">
            <v>Transport - Trans Commercial - Fuel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</row>
        <row r="1574">
          <cell r="A1574" t="str">
            <v>4892282</v>
          </cell>
          <cell r="B1574" t="str">
            <v>Transport - Trans Commercial - TECO Credit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</row>
        <row r="1575">
          <cell r="A1575" t="str">
            <v>4892310</v>
          </cell>
          <cell r="B1575" t="str">
            <v>Transport - Trans Industrial - Base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</row>
        <row r="1576">
          <cell r="A1576" t="str">
            <v>4892311</v>
          </cell>
          <cell r="B1576" t="str">
            <v>Transport - Trans Industrial - Access Fee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</row>
        <row r="1577">
          <cell r="A1577" t="str">
            <v>4892312</v>
          </cell>
          <cell r="B1577" t="str">
            <v>Transport - Trans Industrial - Negotiated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</row>
        <row r="1578">
          <cell r="A1578" t="str">
            <v>4892313</v>
          </cell>
          <cell r="B1578" t="str">
            <v>Transport - Trans Industrial - Del. Pt. Fee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</row>
        <row r="1579">
          <cell r="A1579" t="str">
            <v>4892314</v>
          </cell>
          <cell r="B1579" t="str">
            <v>Transport - Trans Industrial - Market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</row>
        <row r="1580">
          <cell r="A1580" t="str">
            <v>4892315</v>
          </cell>
          <cell r="B1580" t="str">
            <v>Transport - Trans Industrial - Tariff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</row>
        <row r="1581">
          <cell r="A1581" t="str">
            <v>4892316</v>
          </cell>
          <cell r="B1581" t="str">
            <v>Transport - Trans Industrial - Rec. Pt. Fee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</row>
        <row r="1582">
          <cell r="A1582" t="str">
            <v>4892318</v>
          </cell>
          <cell r="B1582" t="str">
            <v>Transport - Trans Industrial - Svc Fee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</row>
        <row r="1583">
          <cell r="A1583" t="str">
            <v>4892319</v>
          </cell>
          <cell r="B1583" t="str">
            <v>Transport - Trans Industrial - Other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</row>
        <row r="1584">
          <cell r="A1584" t="str">
            <v>4892320</v>
          </cell>
          <cell r="B1584" t="str">
            <v>Transport - Trans Industrial - Fuel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</row>
        <row r="1585">
          <cell r="A1585" t="str">
            <v>4892382</v>
          </cell>
          <cell r="B1585" t="str">
            <v>Transport - Trans Industrial - TECO Credit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</row>
        <row r="1586">
          <cell r="A1586" t="str">
            <v>4892410</v>
          </cell>
          <cell r="B1586" t="str">
            <v>Transport - Trans Public Authority - Base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</row>
        <row r="1587">
          <cell r="A1587" t="str">
            <v>4892411</v>
          </cell>
          <cell r="B1587" t="str">
            <v>Transport - Trans Public Authority - Access Fee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</row>
        <row r="1588">
          <cell r="A1588" t="str">
            <v>4892412</v>
          </cell>
          <cell r="B1588" t="str">
            <v>Transport - Trans Public Authority - Negotiated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</row>
        <row r="1589">
          <cell r="A1589" t="str">
            <v>4892413</v>
          </cell>
          <cell r="B1589" t="str">
            <v>Transport - Trans Public Authority - Del. Pt. Fee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</row>
        <row r="1590">
          <cell r="A1590" t="str">
            <v>4892414</v>
          </cell>
          <cell r="B1590" t="str">
            <v>Transport - Trans Public Authority - Market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</row>
        <row r="1591">
          <cell r="A1591" t="str">
            <v>4892415</v>
          </cell>
          <cell r="B1591" t="str">
            <v>Transport - Trans Public Authority - Tariff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</row>
        <row r="1592">
          <cell r="A1592" t="str">
            <v>4892416</v>
          </cell>
          <cell r="B1592" t="str">
            <v>Transport - Trans Public Authority - Rec. Pt. Fee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</row>
        <row r="1593">
          <cell r="A1593" t="str">
            <v>4892418</v>
          </cell>
          <cell r="B1593" t="str">
            <v>Transport - Trans Public Authority - Svc Fee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</row>
        <row r="1594">
          <cell r="A1594" t="str">
            <v>4892419</v>
          </cell>
          <cell r="B1594" t="str">
            <v>Transport - Trans Public Authority - Other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</row>
        <row r="1595">
          <cell r="A1595" t="str">
            <v>4892420</v>
          </cell>
          <cell r="B1595" t="str">
            <v>Transport - Trans Public Authority - Fuel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</row>
        <row r="1596">
          <cell r="A1596" t="str">
            <v>4892482</v>
          </cell>
          <cell r="B1596" t="str">
            <v>Transport - Trans Public Authority - TECO Credit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</row>
        <row r="1597">
          <cell r="A1597" t="str">
            <v>4892510</v>
          </cell>
          <cell r="B1597" t="str">
            <v>Transport - Trans Sales for Resale - Base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</row>
        <row r="1598">
          <cell r="A1598" t="str">
            <v>4892511</v>
          </cell>
          <cell r="B1598" t="str">
            <v>Transport - Trans Sales for Resale - Access Fee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</row>
        <row r="1599">
          <cell r="A1599" t="str">
            <v>4892512</v>
          </cell>
          <cell r="B1599" t="str">
            <v>Transport - Trans Sales for Resale - Negotiated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</row>
        <row r="1600">
          <cell r="A1600" t="str">
            <v>4892513</v>
          </cell>
          <cell r="B1600" t="str">
            <v>Transport - Trans Sales for Resale - Del. Pt. Fee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</row>
        <row r="1601">
          <cell r="A1601" t="str">
            <v>4892514</v>
          </cell>
          <cell r="B1601" t="str">
            <v>Transport - Trans Sales for Resale - Market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</row>
        <row r="1602">
          <cell r="A1602" t="str">
            <v>4892515</v>
          </cell>
          <cell r="B1602" t="str">
            <v>Transport - Trans Sales for Resale - Tariff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</row>
        <row r="1603">
          <cell r="A1603" t="str">
            <v>4892516</v>
          </cell>
          <cell r="B1603" t="str">
            <v>Transport - Trans Sales for Resale - Rec. Pt. Fee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</row>
        <row r="1604">
          <cell r="A1604" t="str">
            <v>4892518</v>
          </cell>
          <cell r="B1604" t="str">
            <v>Transport - Trans Sales for Resale - Svc Fee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</row>
        <row r="1605">
          <cell r="A1605" t="str">
            <v>4892519</v>
          </cell>
          <cell r="B1605" t="str">
            <v>Transport - Trans Sales for Resale - Other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</row>
        <row r="1606">
          <cell r="A1606" t="str">
            <v>4892520</v>
          </cell>
          <cell r="B1606" t="str">
            <v>Transport - Trans Sales for Resale - Fuel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</row>
        <row r="1607">
          <cell r="A1607" t="str">
            <v>4892582</v>
          </cell>
          <cell r="B1607" t="str">
            <v>Transport - Trans Sales for Resale - TECO Credit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</row>
        <row r="1608">
          <cell r="A1608" t="str">
            <v>4893001</v>
          </cell>
          <cell r="B1608" t="str">
            <v>Natural Gas Vehicle Sales Transportation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</row>
        <row r="1609">
          <cell r="A1609" t="str">
            <v>4893002</v>
          </cell>
          <cell r="B1609" t="str">
            <v>Natural Gas Vehicle Sales Transportation-Swing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</row>
        <row r="1610">
          <cell r="A1610" t="str">
            <v>4893004</v>
          </cell>
          <cell r="B1610" t="str">
            <v>Commercial Street Lighting Transportation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</row>
        <row r="1611">
          <cell r="A1611" t="str">
            <v>4893005</v>
          </cell>
          <cell r="B1611" t="str">
            <v>Commercial Street Lighting Transportation-Swing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</row>
        <row r="1612">
          <cell r="A1612" t="str">
            <v>4893008</v>
          </cell>
          <cell r="B1612" t="str">
            <v>General Service Small Transportation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</row>
        <row r="1613">
          <cell r="A1613" t="str">
            <v>4893009</v>
          </cell>
          <cell r="B1613" t="str">
            <v>General Service Small Transportation-Swing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</row>
        <row r="1614">
          <cell r="A1614" t="str">
            <v>4893033</v>
          </cell>
          <cell r="B1614" t="str">
            <v>Commercial Gas Heat Pump Transportation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</row>
        <row r="1615">
          <cell r="A1615" t="str">
            <v>4893034</v>
          </cell>
          <cell r="B1615" t="str">
            <v>Commercial Gas Heat Pump Transportation-Swing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</row>
        <row r="1616">
          <cell r="A1616" t="str">
            <v>4893035</v>
          </cell>
          <cell r="B1616" t="str">
            <v>Commercial Transportation Standby Generator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</row>
        <row r="1617">
          <cell r="A1617" t="str">
            <v>4893036</v>
          </cell>
          <cell r="B1617" t="str">
            <v>Commercial Transportation Standby Generator-Swing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</row>
        <row r="1618">
          <cell r="A1618" t="str">
            <v>4893037</v>
          </cell>
          <cell r="B1618" t="str">
            <v>Residential Transportation Gas Heat Pump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</row>
        <row r="1619">
          <cell r="A1619" t="str">
            <v>4893038</v>
          </cell>
          <cell r="B1619" t="str">
            <v>Residential Transportation Gas Heat Pump-Swing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</row>
        <row r="1620">
          <cell r="A1620" t="str">
            <v>4893040</v>
          </cell>
          <cell r="B1620" t="str">
            <v>Residential Transportation General Service 1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</row>
        <row r="1621">
          <cell r="A1621" t="str">
            <v>4893041</v>
          </cell>
          <cell r="B1621" t="str">
            <v>Residential Transportation General Service 1-Swing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</row>
        <row r="1622">
          <cell r="A1622" t="str">
            <v>4893042</v>
          </cell>
          <cell r="B1622" t="str">
            <v>Residential Transportation General Service 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</row>
        <row r="1623">
          <cell r="A1623" t="str">
            <v>4893043</v>
          </cell>
          <cell r="B1623" t="str">
            <v>Residential Transportation General Service 2-Swing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</row>
        <row r="1624">
          <cell r="A1624" t="str">
            <v>4893044</v>
          </cell>
          <cell r="B1624" t="str">
            <v>Residential Transportation General Service 3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</row>
        <row r="1625">
          <cell r="A1625" t="str">
            <v>4893045</v>
          </cell>
          <cell r="B1625" t="str">
            <v>Residential Transportation General Service 3-Swing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</row>
        <row r="1626">
          <cell r="A1626" t="str">
            <v>4893050</v>
          </cell>
          <cell r="B1626" t="str">
            <v>General Service Large Vol. 1 Transportation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</row>
        <row r="1627">
          <cell r="A1627" t="str">
            <v>4893051</v>
          </cell>
          <cell r="B1627" t="str">
            <v>General Service Large Vol. 1 Transportation-Swing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</row>
        <row r="1628">
          <cell r="A1628" t="str">
            <v>4893052</v>
          </cell>
          <cell r="B1628" t="str">
            <v>General Service Large Vol. 2 Transportation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</row>
        <row r="1629">
          <cell r="A1629" t="str">
            <v>4893053</v>
          </cell>
          <cell r="B1629" t="str">
            <v>General Service Large Vol. 2 Transportation-Swing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</row>
        <row r="1630">
          <cell r="A1630" t="str">
            <v>4893054</v>
          </cell>
          <cell r="B1630" t="str">
            <v>General Service Large Vol. 3 Transportation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</row>
        <row r="1631">
          <cell r="A1631" t="str">
            <v>4893055</v>
          </cell>
          <cell r="B1631" t="str">
            <v>General Service Large Vol. 3 Transportation-Swing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</row>
        <row r="1632">
          <cell r="A1632" t="str">
            <v>4893056</v>
          </cell>
          <cell r="B1632" t="str">
            <v>General Service Large Vol. 4 Transportation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</row>
        <row r="1633">
          <cell r="A1633" t="str">
            <v>4893057</v>
          </cell>
          <cell r="B1633" t="str">
            <v>General Service Large Vol. 4 Transportation-Swing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</row>
        <row r="1634">
          <cell r="A1634" t="str">
            <v>4893058</v>
          </cell>
          <cell r="B1634" t="str">
            <v>General Service Large Vol. 5 Transportation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</row>
        <row r="1635">
          <cell r="A1635" t="str">
            <v>4893059</v>
          </cell>
          <cell r="B1635" t="str">
            <v>General Service Large Vol. 5 Transportation-Swing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</row>
        <row r="1636">
          <cell r="A1636" t="str">
            <v>4893060</v>
          </cell>
          <cell r="B1636" t="str">
            <v>Interruptible Service Small Transportation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</row>
        <row r="1637">
          <cell r="A1637" t="str">
            <v>4893070</v>
          </cell>
          <cell r="B1637" t="str">
            <v>Interruptible Service Large Vol. 1 Transportation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</row>
        <row r="1638">
          <cell r="A1638" t="str">
            <v>4893080</v>
          </cell>
          <cell r="B1638" t="str">
            <v>Interruptible Service Large Vol. 2 Transportation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</row>
        <row r="1639">
          <cell r="A1639" t="str">
            <v>4893090</v>
          </cell>
          <cell r="B1639" t="str">
            <v>Intrpt Con Svc Tmsp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</row>
        <row r="1640">
          <cell r="A1640" t="str">
            <v>4893110</v>
          </cell>
          <cell r="B1640" t="str">
            <v>Transport - Distr Residential - Base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</row>
        <row r="1641">
          <cell r="A1641" t="str">
            <v>4893111</v>
          </cell>
          <cell r="B1641" t="str">
            <v>Transport - Distr Residential - Access Fee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</row>
        <row r="1642">
          <cell r="A1642" t="str">
            <v>4893112</v>
          </cell>
          <cell r="B1642" t="str">
            <v>Transport - Distr Residential - Negotiated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</row>
        <row r="1643">
          <cell r="A1643" t="str">
            <v>4893113</v>
          </cell>
          <cell r="B1643" t="str">
            <v>Transport - Distr Residential - Del. Pt. Fee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</row>
        <row r="1644">
          <cell r="A1644" t="str">
            <v>4893114</v>
          </cell>
          <cell r="B1644" t="str">
            <v>Transport - Distr Residential - Standby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</row>
        <row r="1645">
          <cell r="A1645" t="str">
            <v>4893115</v>
          </cell>
          <cell r="B1645" t="str">
            <v>Transport - Distr Residential - Contract Fee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</row>
        <row r="1646">
          <cell r="A1646" t="str">
            <v>4893116</v>
          </cell>
          <cell r="B1646" t="str">
            <v>Transport - Distr Residential - Rec. Pt. Fee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</row>
        <row r="1647">
          <cell r="A1647" t="str">
            <v>4893117</v>
          </cell>
          <cell r="B1647" t="str">
            <v>Transport - Distr Residential - Meter Fee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</row>
        <row r="1648">
          <cell r="A1648" t="str">
            <v>4893120</v>
          </cell>
          <cell r="B1648" t="str">
            <v>Transport - Distr Residential - Fuel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</row>
        <row r="1649">
          <cell r="A1649" t="str">
            <v>4893182</v>
          </cell>
          <cell r="B1649" t="str">
            <v>Transport - Distr Residential - TECO Credit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</row>
        <row r="1650">
          <cell r="A1650" t="str">
            <v>4893210</v>
          </cell>
          <cell r="B1650" t="str">
            <v>Transport - Distr Commercial - Base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</row>
        <row r="1651">
          <cell r="A1651" t="str">
            <v>4893211</v>
          </cell>
          <cell r="B1651" t="str">
            <v>Transport - Distr Commercial - Access Fee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</row>
        <row r="1652">
          <cell r="A1652" t="str">
            <v>4893212</v>
          </cell>
          <cell r="B1652" t="str">
            <v>Transport - Distr Commercial - Negotiated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</row>
        <row r="1653">
          <cell r="A1653" t="str">
            <v>4893213</v>
          </cell>
          <cell r="B1653" t="str">
            <v>Transport - Distr Commercial - Del. Pt. Fee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</row>
        <row r="1654">
          <cell r="A1654" t="str">
            <v>4893214</v>
          </cell>
          <cell r="B1654" t="str">
            <v>Transport - Distr Commercial - Standby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</row>
        <row r="1655">
          <cell r="A1655" t="str">
            <v>4893215</v>
          </cell>
          <cell r="B1655" t="str">
            <v>Transport - Distr Commercial - Contract Fee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</row>
        <row r="1656">
          <cell r="A1656" t="str">
            <v>4893216</v>
          </cell>
          <cell r="B1656" t="str">
            <v>Transport - Distr Commercial - Rec. Pt. Fee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</row>
        <row r="1657">
          <cell r="A1657" t="str">
            <v>4893217</v>
          </cell>
          <cell r="B1657" t="str">
            <v>Transport - Distr Commercial - Meter Fee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</row>
        <row r="1658">
          <cell r="A1658" t="str">
            <v>4893220</v>
          </cell>
          <cell r="B1658" t="str">
            <v>Transport - Distr Commercial - Fuel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</row>
        <row r="1659">
          <cell r="A1659" t="str">
            <v>4893282</v>
          </cell>
          <cell r="B1659" t="str">
            <v>Transport - Distr Commercial - TECO Credit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</row>
        <row r="1660">
          <cell r="A1660" t="str">
            <v>4893310</v>
          </cell>
          <cell r="B1660" t="str">
            <v>Transport - Distr Industrial - Base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</row>
        <row r="1661">
          <cell r="A1661" t="str">
            <v>4893311</v>
          </cell>
          <cell r="B1661" t="str">
            <v>Transport - Distr Industrial - Access Fee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</row>
        <row r="1662">
          <cell r="A1662" t="str">
            <v>4893312</v>
          </cell>
          <cell r="B1662" t="str">
            <v>Transport - Distr Industrial - Negotiated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</row>
        <row r="1663">
          <cell r="A1663" t="str">
            <v>4893313</v>
          </cell>
          <cell r="B1663" t="str">
            <v>Transport - Distr Industrial - Del. Pt. Fee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</row>
        <row r="1664">
          <cell r="A1664" t="str">
            <v>4893314</v>
          </cell>
          <cell r="B1664" t="str">
            <v>Transport - Distr Industrial - Standby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</row>
        <row r="1665">
          <cell r="A1665" t="str">
            <v>4893315</v>
          </cell>
          <cell r="B1665" t="str">
            <v>Transport - Distr Industrial - Contract Fee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</row>
        <row r="1666">
          <cell r="A1666" t="str">
            <v>4893316</v>
          </cell>
          <cell r="B1666" t="str">
            <v>Transport - Distr Industrial - Rec. Pt. Fee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</row>
        <row r="1667">
          <cell r="A1667" t="str">
            <v>4893317</v>
          </cell>
          <cell r="B1667" t="str">
            <v>Transport - Distr Industrial - Meter Fee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</row>
        <row r="1668">
          <cell r="A1668" t="str">
            <v>4893320</v>
          </cell>
          <cell r="B1668" t="str">
            <v>Transport - Distr Industrial - Fuel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</row>
        <row r="1669">
          <cell r="A1669" t="str">
            <v>4893382</v>
          </cell>
          <cell r="B1669" t="str">
            <v>Transport - Distr Industrial - TECO Credit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</row>
        <row r="1670">
          <cell r="A1670" t="str">
            <v>4893410</v>
          </cell>
          <cell r="B1670" t="str">
            <v>Transport - Distr Public Authority - Base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</row>
        <row r="1671">
          <cell r="A1671" t="str">
            <v>4893411</v>
          </cell>
          <cell r="B1671" t="str">
            <v>Transport - Distr Public Authority - Access Fee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</row>
        <row r="1672">
          <cell r="A1672" t="str">
            <v>4893412</v>
          </cell>
          <cell r="B1672" t="str">
            <v>Transport - Distr Public Authority - Negotiated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</row>
        <row r="1673">
          <cell r="A1673" t="str">
            <v>4893413</v>
          </cell>
          <cell r="B1673" t="str">
            <v>Transport - Distr Public Authority - Del. Pt. Fee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</row>
        <row r="1674">
          <cell r="A1674" t="str">
            <v>4893414</v>
          </cell>
          <cell r="B1674" t="str">
            <v>Transport - Distr Public Authority - Standby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</row>
        <row r="1675">
          <cell r="A1675" t="str">
            <v>4893415</v>
          </cell>
          <cell r="B1675" t="str">
            <v>Transport - Distr Public Authority - Contract Fee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</row>
        <row r="1676">
          <cell r="A1676" t="str">
            <v>4893416</v>
          </cell>
          <cell r="B1676" t="str">
            <v>Transport - Distr Public Authority - Rec. Pt. Fee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</row>
        <row r="1677">
          <cell r="A1677" t="str">
            <v>4893417</v>
          </cell>
          <cell r="B1677" t="str">
            <v>Transport - Distr Public Authority - Meter Fee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</row>
        <row r="1678">
          <cell r="A1678" t="str">
            <v>4893420</v>
          </cell>
          <cell r="B1678" t="str">
            <v>Transport - Distr Public Authority - Fuel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</row>
        <row r="1679">
          <cell r="A1679" t="str">
            <v>4893482</v>
          </cell>
          <cell r="B1679" t="str">
            <v>Transport - Distr Public Authority - TECO Credit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</row>
        <row r="1680">
          <cell r="A1680" t="str">
            <v>4893510</v>
          </cell>
          <cell r="B1680" t="str">
            <v>Transport - Distr Sales for Resale - Base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</row>
        <row r="1681">
          <cell r="A1681" t="str">
            <v>4893511</v>
          </cell>
          <cell r="B1681" t="str">
            <v>Transport - Distr Sales for Resale - Access Fee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</row>
        <row r="1682">
          <cell r="A1682" t="str">
            <v>4893512</v>
          </cell>
          <cell r="B1682" t="str">
            <v>Transport - Distr Sales for Resale - Negotiated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</row>
        <row r="1683">
          <cell r="A1683" t="str">
            <v>4893513</v>
          </cell>
          <cell r="B1683" t="str">
            <v>Transport - Distr Sales for Resale - Del. Pt. Fee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</row>
        <row r="1684">
          <cell r="A1684" t="str">
            <v>4893514</v>
          </cell>
          <cell r="B1684" t="str">
            <v>Transport - Distr Sales for Resale - Standby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</row>
        <row r="1685">
          <cell r="A1685" t="str">
            <v>4893515</v>
          </cell>
          <cell r="B1685" t="str">
            <v>Transport - Distr Sales for Resale - Contract Fee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</row>
        <row r="1686">
          <cell r="A1686" t="str">
            <v>4893516</v>
          </cell>
          <cell r="B1686" t="str">
            <v>Transport - Distr Sales for Resale - Rec. Pt. Fee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</row>
        <row r="1687">
          <cell r="A1687" t="str">
            <v>4893517</v>
          </cell>
          <cell r="B1687" t="str">
            <v>Transport - Distr Sales for Resale - Meter Fee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</row>
        <row r="1688">
          <cell r="A1688" t="str">
            <v>4893520</v>
          </cell>
          <cell r="B1688" t="str">
            <v>Transport - Distr Sales for Resale - Fuel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</row>
        <row r="1689">
          <cell r="A1689" t="str">
            <v>4893582</v>
          </cell>
          <cell r="B1689" t="str">
            <v>Transport - Distr Sales for Resale - TECO Credit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</row>
        <row r="1690">
          <cell r="A1690" t="str">
            <v>4930000</v>
          </cell>
          <cell r="B1690" t="str">
            <v>Rent Revenue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</row>
        <row r="1691">
          <cell r="A1691" t="str">
            <v>4930700</v>
          </cell>
          <cell r="B1691" t="str">
            <v>Rent Revenue - Intercompany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</row>
        <row r="1692">
          <cell r="A1692" t="str">
            <v>4940000</v>
          </cell>
          <cell r="B1692" t="str">
            <v>Interdepartmental Rents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</row>
        <row r="1693">
          <cell r="A1693" t="str">
            <v>4950203</v>
          </cell>
          <cell r="B1693" t="str">
            <v>Other Revenues - Energy Conservation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</row>
        <row r="1694">
          <cell r="A1694" t="str">
            <v>4950205</v>
          </cell>
          <cell r="B1694" t="str">
            <v>Other Revenues - Franchise Fees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</row>
        <row r="1695">
          <cell r="A1695" t="str">
            <v>4950206</v>
          </cell>
          <cell r="B1695" t="str">
            <v>Other Revenues - Gross Receipts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</row>
        <row r="1696">
          <cell r="A1696" t="str">
            <v>4950207</v>
          </cell>
          <cell r="B1696" t="str">
            <v>Other Revenues - Commission on Sales Tax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</row>
        <row r="1697">
          <cell r="A1697" t="str">
            <v>4950208</v>
          </cell>
          <cell r="B1697" t="str">
            <v>Other Revenues - Pool Mgr History Fee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</row>
        <row r="1698">
          <cell r="A1698" t="str">
            <v>4950209</v>
          </cell>
          <cell r="B1698" t="str">
            <v>Other Revenues - Pool Mgr Administration Fee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</row>
        <row r="1699">
          <cell r="A1699" t="str">
            <v>4950210</v>
          </cell>
          <cell r="B1699" t="str">
            <v>Other Revenues - Pool Manager Change Fee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</row>
        <row r="1700">
          <cell r="A1700" t="str">
            <v>4950211</v>
          </cell>
          <cell r="B1700" t="str">
            <v>Other Revenues - Termination Fee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</row>
        <row r="1701">
          <cell r="A1701" t="str">
            <v>4950212</v>
          </cell>
          <cell r="B1701" t="str">
            <v>Other Revenues - Fl Gas Utility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</row>
        <row r="1702">
          <cell r="A1702" t="str">
            <v>4950213</v>
          </cell>
          <cell r="B1702" t="str">
            <v>Other Revenues - Supplier FTA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</row>
        <row r="1703">
          <cell r="A1703" t="str">
            <v>4950214</v>
          </cell>
          <cell r="B1703" t="str">
            <v>Other Revenues - Hardee Maintenance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</row>
        <row r="1704">
          <cell r="A1704" t="str">
            <v>4950215</v>
          </cell>
          <cell r="B1704" t="str">
            <v>Other Revenues - Hardee Buy Sell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</row>
        <row r="1705">
          <cell r="A1705">
            <v>4950220</v>
          </cell>
          <cell r="B1705" t="str">
            <v>Other Revenues - Daily Overage Usage Charge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</row>
        <row r="1706">
          <cell r="A1706" t="str">
            <v>4950271</v>
          </cell>
          <cell r="B1706" t="str">
            <v>CI/BSR Rider Revenue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</row>
        <row r="1707">
          <cell r="A1707" t="str">
            <v>4950800</v>
          </cell>
          <cell r="B1707" t="str">
            <v>Other Revenues - Miscellaneous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</row>
        <row r="1708">
          <cell r="A1708" t="str">
            <v>4960000</v>
          </cell>
          <cell r="B1708" t="str">
            <v>Provision For Rate Refund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</row>
        <row r="1709">
          <cell r="A1709" t="str">
            <v>6010110</v>
          </cell>
          <cell r="B1709" t="str">
            <v>Labor Exempt - Straight Time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</row>
        <row r="1710">
          <cell r="A1710" t="str">
            <v>6010120</v>
          </cell>
          <cell r="B1710" t="str">
            <v>Labor Exempt - Overtime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</row>
        <row r="1711">
          <cell r="A1711" t="str">
            <v>6010130</v>
          </cell>
          <cell r="B1711" t="str">
            <v>Labor Exempt - Non-Productive Time</v>
          </cell>
          <cell r="C1711">
            <v>6592.9219999999996</v>
          </cell>
          <cell r="D1711">
            <v>5803.9380000000001</v>
          </cell>
          <cell r="E1711">
            <v>6330.268</v>
          </cell>
          <cell r="F1711">
            <v>6330.268</v>
          </cell>
          <cell r="G1711">
            <v>6066.5919999999996</v>
          </cell>
          <cell r="H1711">
            <v>6330.268</v>
          </cell>
          <cell r="I1711">
            <v>6592.9219999999996</v>
          </cell>
          <cell r="J1711">
            <v>6066.5919999999996</v>
          </cell>
          <cell r="K1711">
            <v>6330.268</v>
          </cell>
          <cell r="L1711">
            <v>6330.268</v>
          </cell>
          <cell r="M1711">
            <v>6066.5919999999996</v>
          </cell>
          <cell r="N1711">
            <v>6593.9440000000004</v>
          </cell>
          <cell r="O1711">
            <v>75434.842000000004</v>
          </cell>
        </row>
        <row r="1712">
          <cell r="A1712" t="str">
            <v>6010210</v>
          </cell>
          <cell r="B1712" t="str">
            <v>Labor Non Exempt - Straight Time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</row>
        <row r="1713">
          <cell r="A1713" t="str">
            <v>6010220</v>
          </cell>
          <cell r="B1713" t="str">
            <v>Labor Non Exempt - Overtime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</row>
        <row r="1714">
          <cell r="A1714" t="str">
            <v>6010230</v>
          </cell>
          <cell r="B1714" t="str">
            <v>Labor Non Exempt - Non-Productive Time</v>
          </cell>
          <cell r="C1714">
            <v>4911.67</v>
          </cell>
          <cell r="D1714">
            <v>4911.67</v>
          </cell>
          <cell r="E1714">
            <v>4911.67</v>
          </cell>
          <cell r="F1714">
            <v>4911.67</v>
          </cell>
          <cell r="G1714">
            <v>4911.67</v>
          </cell>
          <cell r="H1714">
            <v>4911.67</v>
          </cell>
          <cell r="I1714">
            <v>4911.67</v>
          </cell>
          <cell r="J1714">
            <v>4911.67</v>
          </cell>
          <cell r="K1714">
            <v>4911.67</v>
          </cell>
          <cell r="L1714">
            <v>4911.67</v>
          </cell>
          <cell r="M1714">
            <v>4911.67</v>
          </cell>
          <cell r="N1714">
            <v>4911.67</v>
          </cell>
          <cell r="O1714">
            <v>58940.039999999986</v>
          </cell>
        </row>
        <row r="1715">
          <cell r="A1715" t="str">
            <v>6010310</v>
          </cell>
          <cell r="B1715" t="str">
            <v>Labor Union - Straight Time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</row>
        <row r="1716">
          <cell r="A1716" t="str">
            <v>6010320</v>
          </cell>
          <cell r="B1716" t="str">
            <v>Labor Union - Overtime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</row>
        <row r="1717">
          <cell r="A1717" t="str">
            <v>6010330</v>
          </cell>
          <cell r="B1717" t="str">
            <v>Labor Union - Non-Productive Time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</row>
        <row r="1718">
          <cell r="A1718" t="str">
            <v>6010400</v>
          </cell>
          <cell r="B1718" t="str">
            <v>Labor Severance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</row>
        <row r="1719">
          <cell r="A1719" t="str">
            <v>6010900</v>
          </cell>
          <cell r="B1719" t="str">
            <v>Labor Commissions</v>
          </cell>
          <cell r="C1719">
            <v>-133143.64265600001</v>
          </cell>
          <cell r="D1719">
            <v>-132609.55867319999</v>
          </cell>
          <cell r="E1719">
            <v>-128103.4270278</v>
          </cell>
          <cell r="F1719">
            <v>-132997.02419620001</v>
          </cell>
          <cell r="G1719">
            <v>-132769.485545</v>
          </cell>
          <cell r="H1719">
            <v>-132716.8277204</v>
          </cell>
          <cell r="I1719">
            <v>-132192.02004060001</v>
          </cell>
          <cell r="J1719">
            <v>-131912.48989550001</v>
          </cell>
          <cell r="K1719">
            <v>-127769.2836043</v>
          </cell>
          <cell r="L1719">
            <v>-132615.67594109999</v>
          </cell>
          <cell r="M1719">
            <v>-132890.87135830001</v>
          </cell>
          <cell r="N1719">
            <v>-133523.2644975</v>
          </cell>
          <cell r="O1719">
            <v>-1583243.5711559001</v>
          </cell>
        </row>
        <row r="1720">
          <cell r="A1720" t="str">
            <v>6010910</v>
          </cell>
          <cell r="B1720" t="str">
            <v>Labor Off-Cycle Bonus</v>
          </cell>
          <cell r="C1720">
            <v>86222.602186899996</v>
          </cell>
          <cell r="D1720">
            <v>97827.777586900003</v>
          </cell>
          <cell r="E1720">
            <v>99180.679689900004</v>
          </cell>
          <cell r="F1720">
            <v>108917.7665311</v>
          </cell>
          <cell r="G1720">
            <v>102891.33709659999</v>
          </cell>
          <cell r="H1720">
            <v>98444.609913499997</v>
          </cell>
          <cell r="I1720">
            <v>97564.103963100002</v>
          </cell>
          <cell r="J1720">
            <v>101622.39600759999</v>
          </cell>
          <cell r="K1720">
            <v>109205.66760830001</v>
          </cell>
          <cell r="L1720">
            <v>97885.967174100006</v>
          </cell>
          <cell r="M1720">
            <v>102006.4200952</v>
          </cell>
          <cell r="N1720">
            <v>100513.7168578</v>
          </cell>
          <cell r="O1720">
            <v>1202283.0447110001</v>
          </cell>
        </row>
        <row r="1721">
          <cell r="A1721" t="str">
            <v>6018999</v>
          </cell>
          <cell r="B1721" t="str">
            <v>Labor Expense Reclass</v>
          </cell>
          <cell r="C1721">
            <v>10314.804060300001</v>
          </cell>
          <cell r="D1721">
            <v>82289.806158000007</v>
          </cell>
          <cell r="E1721">
            <v>58936.590115999999</v>
          </cell>
          <cell r="F1721">
            <v>142994.2204701</v>
          </cell>
          <cell r="G1721">
            <v>65427.462112200003</v>
          </cell>
          <cell r="H1721">
            <v>60305.2607775</v>
          </cell>
          <cell r="I1721">
            <v>53261.774815199999</v>
          </cell>
          <cell r="J1721">
            <v>67999.434735400006</v>
          </cell>
          <cell r="K1721">
            <v>125848.7355221</v>
          </cell>
          <cell r="L1721">
            <v>30027.487191299999</v>
          </cell>
          <cell r="M1721">
            <v>34557.714735399997</v>
          </cell>
          <cell r="N1721">
            <v>23420.283042800002</v>
          </cell>
          <cell r="O1721">
            <v>755383.57373630011</v>
          </cell>
        </row>
        <row r="1722">
          <cell r="A1722" t="str">
            <v>6019000</v>
          </cell>
          <cell r="B1722" t="str">
            <v>Labor Expense sent to Balance Sheet</v>
          </cell>
          <cell r="C1722">
            <v>-41350</v>
          </cell>
          <cell r="D1722">
            <v>-41350</v>
          </cell>
          <cell r="E1722">
            <v>-41350</v>
          </cell>
          <cell r="F1722">
            <v>-41350</v>
          </cell>
          <cell r="G1722">
            <v>-41350</v>
          </cell>
          <cell r="H1722">
            <v>-41350</v>
          </cell>
          <cell r="I1722">
            <v>-41350</v>
          </cell>
          <cell r="J1722">
            <v>-41350</v>
          </cell>
          <cell r="K1722">
            <v>-41350</v>
          </cell>
          <cell r="L1722">
            <v>-41350</v>
          </cell>
          <cell r="M1722">
            <v>-41350</v>
          </cell>
          <cell r="N1722">
            <v>-41349.85</v>
          </cell>
          <cell r="O1722">
            <v>-496199.85</v>
          </cell>
        </row>
        <row r="1723">
          <cell r="A1723" t="str">
            <v>6019900</v>
          </cell>
          <cell r="B1723" t="str">
            <v>ST Labor &amp; Benefits Expense to Balance Sheet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</row>
        <row r="1724">
          <cell r="A1724" t="str">
            <v>6019910</v>
          </cell>
          <cell r="B1724" t="str">
            <v>OT Labor &amp; Benefits Expense to Balance Sheet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</row>
        <row r="1725">
          <cell r="A1725" t="str">
            <v>6020010</v>
          </cell>
          <cell r="B1725" t="str">
            <v>Benefit Plan Admin Fees</v>
          </cell>
          <cell r="C1725">
            <v>45749.166666700003</v>
          </cell>
          <cell r="D1725">
            <v>45749.166666700003</v>
          </cell>
          <cell r="E1725">
            <v>45749.166666700003</v>
          </cell>
          <cell r="F1725">
            <v>45749.166666700003</v>
          </cell>
          <cell r="G1725">
            <v>45749.166666700003</v>
          </cell>
          <cell r="H1725">
            <v>45749.166666700003</v>
          </cell>
          <cell r="I1725">
            <v>45749.166666700003</v>
          </cell>
          <cell r="J1725">
            <v>45749.166666700003</v>
          </cell>
          <cell r="K1725">
            <v>45749.166666700003</v>
          </cell>
          <cell r="L1725">
            <v>45749.166666700003</v>
          </cell>
          <cell r="M1725">
            <v>45749.166666700003</v>
          </cell>
          <cell r="N1725">
            <v>45749.166666700003</v>
          </cell>
          <cell r="O1725">
            <v>548990.00000039989</v>
          </cell>
        </row>
        <row r="1726">
          <cell r="A1726" t="str">
            <v>6020020</v>
          </cell>
          <cell r="B1726" t="str">
            <v>Tuition Reimbursement</v>
          </cell>
          <cell r="C1726">
            <v>25750</v>
          </cell>
          <cell r="D1726">
            <v>25750</v>
          </cell>
          <cell r="E1726">
            <v>25750</v>
          </cell>
          <cell r="F1726">
            <v>25750</v>
          </cell>
          <cell r="G1726">
            <v>25750</v>
          </cell>
          <cell r="H1726">
            <v>25750</v>
          </cell>
          <cell r="I1726">
            <v>25750</v>
          </cell>
          <cell r="J1726">
            <v>25750</v>
          </cell>
          <cell r="K1726">
            <v>25750</v>
          </cell>
          <cell r="L1726">
            <v>25750</v>
          </cell>
          <cell r="M1726">
            <v>25750</v>
          </cell>
          <cell r="N1726">
            <v>25750</v>
          </cell>
          <cell r="O1726">
            <v>309000</v>
          </cell>
        </row>
        <row r="1727">
          <cell r="A1727" t="str">
            <v>6020030</v>
          </cell>
          <cell r="B1727" t="str">
            <v>Life Insurance</v>
          </cell>
          <cell r="C1727">
            <v>45427.806666700002</v>
          </cell>
          <cell r="D1727">
            <v>45427.806666700002</v>
          </cell>
          <cell r="E1727">
            <v>45427.806666700002</v>
          </cell>
          <cell r="F1727">
            <v>45427.806666700002</v>
          </cell>
          <cell r="G1727">
            <v>45427.806666700002</v>
          </cell>
          <cell r="H1727">
            <v>45427.806666700002</v>
          </cell>
          <cell r="I1727">
            <v>45427.806666700002</v>
          </cell>
          <cell r="J1727">
            <v>45427.806666700002</v>
          </cell>
          <cell r="K1727">
            <v>45427.806666700002</v>
          </cell>
          <cell r="L1727">
            <v>45427.806666700002</v>
          </cell>
          <cell r="M1727">
            <v>45427.806666700002</v>
          </cell>
          <cell r="N1727">
            <v>45427.806666700002</v>
          </cell>
          <cell r="O1727">
            <v>545133.68000040005</v>
          </cell>
        </row>
        <row r="1728">
          <cell r="A1728" t="str">
            <v>6020040</v>
          </cell>
          <cell r="B1728" t="str">
            <v>Long-term Care Insurance</v>
          </cell>
          <cell r="C1728">
            <v>8149.5316666999997</v>
          </cell>
          <cell r="D1728">
            <v>8149.5316666999997</v>
          </cell>
          <cell r="E1728">
            <v>8149.5316666999997</v>
          </cell>
          <cell r="F1728">
            <v>8149.5316666999997</v>
          </cell>
          <cell r="G1728">
            <v>8149.5316666999997</v>
          </cell>
          <cell r="H1728">
            <v>8149.5316666999997</v>
          </cell>
          <cell r="I1728">
            <v>8149.5316666999997</v>
          </cell>
          <cell r="J1728">
            <v>8149.5316666999997</v>
          </cell>
          <cell r="K1728">
            <v>8149.5316666999997</v>
          </cell>
          <cell r="L1728">
            <v>8149.5316666999997</v>
          </cell>
          <cell r="M1728">
            <v>8149.5316666999997</v>
          </cell>
          <cell r="N1728">
            <v>8149.5316666999997</v>
          </cell>
          <cell r="O1728">
            <v>97794.380000399993</v>
          </cell>
        </row>
        <row r="1729">
          <cell r="A1729" t="str">
            <v>6020050</v>
          </cell>
          <cell r="B1729" t="str">
            <v>Medical Insurance - Active</v>
          </cell>
          <cell r="C1729">
            <v>2794948.75</v>
          </cell>
          <cell r="D1729">
            <v>2794948.75</v>
          </cell>
          <cell r="E1729">
            <v>2794948.75</v>
          </cell>
          <cell r="F1729">
            <v>2794948.75</v>
          </cell>
          <cell r="G1729">
            <v>2794948.75</v>
          </cell>
          <cell r="H1729">
            <v>2794948.75</v>
          </cell>
          <cell r="I1729">
            <v>2794948.75</v>
          </cell>
          <cell r="J1729">
            <v>2794948.75</v>
          </cell>
          <cell r="K1729">
            <v>2794948.75</v>
          </cell>
          <cell r="L1729">
            <v>2794948.75</v>
          </cell>
          <cell r="M1729">
            <v>2794948.75</v>
          </cell>
          <cell r="N1729">
            <v>2794948.75</v>
          </cell>
          <cell r="O1729">
            <v>33539385</v>
          </cell>
        </row>
        <row r="1730">
          <cell r="A1730" t="str">
            <v>6020060</v>
          </cell>
          <cell r="B1730" t="str">
            <v>Pensions</v>
          </cell>
          <cell r="C1730">
            <v>785199.75</v>
          </cell>
          <cell r="D1730">
            <v>785199.75</v>
          </cell>
          <cell r="E1730">
            <v>785199.75</v>
          </cell>
          <cell r="F1730">
            <v>785199.75</v>
          </cell>
          <cell r="G1730">
            <v>785199.75</v>
          </cell>
          <cell r="H1730">
            <v>785199.75</v>
          </cell>
          <cell r="I1730">
            <v>785199.75</v>
          </cell>
          <cell r="J1730">
            <v>785199.75</v>
          </cell>
          <cell r="K1730">
            <v>785199.75</v>
          </cell>
          <cell r="L1730">
            <v>785199.75</v>
          </cell>
          <cell r="M1730">
            <v>785199.75</v>
          </cell>
          <cell r="N1730">
            <v>785199.75</v>
          </cell>
          <cell r="O1730">
            <v>9422397</v>
          </cell>
        </row>
        <row r="1731">
          <cell r="A1731" t="str">
            <v>6020070</v>
          </cell>
          <cell r="B1731" t="str">
            <v>Pension Credit for Capitalization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</row>
        <row r="1732">
          <cell r="A1732" t="str">
            <v>6020080</v>
          </cell>
          <cell r="B1732" t="str">
            <v>Post Retirement Benefits FAS 106 - Active</v>
          </cell>
          <cell r="C1732">
            <v>399562</v>
          </cell>
          <cell r="D1732">
            <v>399562</v>
          </cell>
          <cell r="E1732">
            <v>399562</v>
          </cell>
          <cell r="F1732">
            <v>399562</v>
          </cell>
          <cell r="G1732">
            <v>399562</v>
          </cell>
          <cell r="H1732">
            <v>399562</v>
          </cell>
          <cell r="I1732">
            <v>399562</v>
          </cell>
          <cell r="J1732">
            <v>399562</v>
          </cell>
          <cell r="K1732">
            <v>399562</v>
          </cell>
          <cell r="L1732">
            <v>399562</v>
          </cell>
          <cell r="M1732">
            <v>399562</v>
          </cell>
          <cell r="N1732">
            <v>399562</v>
          </cell>
          <cell r="O1732">
            <v>4794744</v>
          </cell>
        </row>
        <row r="1733">
          <cell r="A1733" t="str">
            <v>6020090</v>
          </cell>
          <cell r="B1733" t="str">
            <v>Post Retirememt Benefits FAS 106 - Retiree</v>
          </cell>
          <cell r="C1733">
            <v>306291.41666669998</v>
          </cell>
          <cell r="D1733">
            <v>306291.41666669998</v>
          </cell>
          <cell r="E1733">
            <v>306291.41666669998</v>
          </cell>
          <cell r="F1733">
            <v>306291.41666669998</v>
          </cell>
          <cell r="G1733">
            <v>306291.41666669998</v>
          </cell>
          <cell r="H1733">
            <v>306291.41666669998</v>
          </cell>
          <cell r="I1733">
            <v>306291.41666669998</v>
          </cell>
          <cell r="J1733">
            <v>306291.41666669998</v>
          </cell>
          <cell r="K1733">
            <v>306291.41666669998</v>
          </cell>
          <cell r="L1733">
            <v>306291.41666669998</v>
          </cell>
          <cell r="M1733">
            <v>306291.41666669998</v>
          </cell>
          <cell r="N1733">
            <v>306291.41666669998</v>
          </cell>
          <cell r="O1733">
            <v>3675497.0000004</v>
          </cell>
        </row>
        <row r="1734">
          <cell r="A1734" t="str">
            <v>6020100</v>
          </cell>
          <cell r="B1734" t="str">
            <v>Long-term incentive Expense</v>
          </cell>
          <cell r="C1734">
            <v>0</v>
          </cell>
          <cell r="D1734">
            <v>0</v>
          </cell>
          <cell r="E1734">
            <v>1628259</v>
          </cell>
          <cell r="F1734">
            <v>0</v>
          </cell>
          <cell r="G1734">
            <v>0</v>
          </cell>
          <cell r="H1734">
            <v>1628259</v>
          </cell>
          <cell r="I1734">
            <v>0</v>
          </cell>
          <cell r="J1734">
            <v>0</v>
          </cell>
          <cell r="K1734">
            <v>1628259</v>
          </cell>
          <cell r="L1734">
            <v>0</v>
          </cell>
          <cell r="M1734">
            <v>0</v>
          </cell>
          <cell r="N1734">
            <v>1628259</v>
          </cell>
          <cell r="O1734">
            <v>6513036</v>
          </cell>
        </row>
        <row r="1735">
          <cell r="A1735" t="str">
            <v>6020101</v>
          </cell>
          <cell r="B1735" t="str">
            <v>Employee Deferred Compensation Expense</v>
          </cell>
          <cell r="C1735">
            <v>0</v>
          </cell>
          <cell r="D1735">
            <v>0</v>
          </cell>
          <cell r="E1735">
            <v>17899</v>
          </cell>
          <cell r="F1735">
            <v>0</v>
          </cell>
          <cell r="G1735">
            <v>0</v>
          </cell>
          <cell r="H1735">
            <v>17899</v>
          </cell>
          <cell r="I1735">
            <v>0</v>
          </cell>
          <cell r="J1735">
            <v>0</v>
          </cell>
          <cell r="K1735">
            <v>17899</v>
          </cell>
          <cell r="L1735">
            <v>0</v>
          </cell>
          <cell r="M1735">
            <v>0</v>
          </cell>
          <cell r="N1735">
            <v>17899</v>
          </cell>
          <cell r="O1735">
            <v>71596</v>
          </cell>
        </row>
        <row r="1736">
          <cell r="A1736" t="str">
            <v>6020110</v>
          </cell>
          <cell r="B1736" t="str">
            <v>Employee Wellness</v>
          </cell>
          <cell r="C1736">
            <v>8154.1666667</v>
          </cell>
          <cell r="D1736">
            <v>8154.1666667</v>
          </cell>
          <cell r="E1736">
            <v>8154.1666667</v>
          </cell>
          <cell r="F1736">
            <v>8154.1666667</v>
          </cell>
          <cell r="G1736">
            <v>8154.1666667</v>
          </cell>
          <cell r="H1736">
            <v>8154.1666667</v>
          </cell>
          <cell r="I1736">
            <v>8154.1666667</v>
          </cell>
          <cell r="J1736">
            <v>8154.1666667</v>
          </cell>
          <cell r="K1736">
            <v>8154.1666667</v>
          </cell>
          <cell r="L1736">
            <v>8154.1666667</v>
          </cell>
          <cell r="M1736">
            <v>8154.1666667</v>
          </cell>
          <cell r="N1736">
            <v>8154.1666667</v>
          </cell>
          <cell r="O1736">
            <v>97850.000000399988</v>
          </cell>
        </row>
        <row r="1737">
          <cell r="A1737" t="str">
            <v>6020130</v>
          </cell>
          <cell r="B1737" t="str">
            <v>Employer 401K Fixed Match</v>
          </cell>
          <cell r="C1737">
            <v>1056638.1372417</v>
          </cell>
          <cell r="D1737">
            <v>1056638.1372417</v>
          </cell>
          <cell r="E1737">
            <v>1056638.1372417</v>
          </cell>
          <cell r="F1737">
            <v>1056638.1372417</v>
          </cell>
          <cell r="G1737">
            <v>1056638.1372417</v>
          </cell>
          <cell r="H1737">
            <v>1056638.1372417</v>
          </cell>
          <cell r="I1737">
            <v>1056638.1372417</v>
          </cell>
          <cell r="J1737">
            <v>1056638.1372417</v>
          </cell>
          <cell r="K1737">
            <v>1056638.1372417</v>
          </cell>
          <cell r="L1737">
            <v>1056638.1372417</v>
          </cell>
          <cell r="M1737">
            <v>1056638.1372417</v>
          </cell>
          <cell r="N1737">
            <v>1056638.1372417</v>
          </cell>
          <cell r="O1737">
            <v>12679657.646900402</v>
          </cell>
        </row>
        <row r="1738">
          <cell r="A1738" t="str">
            <v>6020131</v>
          </cell>
          <cell r="B1738" t="str">
            <v>Employer 401K IBEW Match</v>
          </cell>
          <cell r="C1738">
            <v>338351.35208330001</v>
          </cell>
          <cell r="D1738">
            <v>338351.35208330001</v>
          </cell>
          <cell r="E1738">
            <v>338351.35208330001</v>
          </cell>
          <cell r="F1738">
            <v>338351.35208330001</v>
          </cell>
          <cell r="G1738">
            <v>338351.35208330001</v>
          </cell>
          <cell r="H1738">
            <v>338351.35208330001</v>
          </cell>
          <cell r="I1738">
            <v>338351.35208330001</v>
          </cell>
          <cell r="J1738">
            <v>338351.35208330001</v>
          </cell>
          <cell r="K1738">
            <v>338351.35208330001</v>
          </cell>
          <cell r="L1738">
            <v>338351.35208330001</v>
          </cell>
          <cell r="M1738">
            <v>338351.35208330001</v>
          </cell>
          <cell r="N1738">
            <v>338351.35208330001</v>
          </cell>
          <cell r="O1738">
            <v>4060216.224999601</v>
          </cell>
        </row>
        <row r="1739">
          <cell r="A1739" t="str">
            <v>6020140</v>
          </cell>
          <cell r="B1739" t="str">
            <v>Employer 401K Performance Match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</row>
        <row r="1740">
          <cell r="A1740" t="str">
            <v>6020150</v>
          </cell>
          <cell r="B1740" t="str">
            <v>Supplemental Executive Retirement Plan (SERP)</v>
          </cell>
          <cell r="C1740">
            <v>9575.5833332999991</v>
          </cell>
          <cell r="D1740">
            <v>9575.5833332999991</v>
          </cell>
          <cell r="E1740">
            <v>9575.5833332999991</v>
          </cell>
          <cell r="F1740">
            <v>9575.5833332999991</v>
          </cell>
          <cell r="G1740">
            <v>9575.5833332999991</v>
          </cell>
          <cell r="H1740">
            <v>9575.5833332999991</v>
          </cell>
          <cell r="I1740">
            <v>9575.5833332999991</v>
          </cell>
          <cell r="J1740">
            <v>9575.5833332999991</v>
          </cell>
          <cell r="K1740">
            <v>9575.5833332999991</v>
          </cell>
          <cell r="L1740">
            <v>9575.5833332999991</v>
          </cell>
          <cell r="M1740">
            <v>9575.5833332999991</v>
          </cell>
          <cell r="N1740">
            <v>9575.5833332999991</v>
          </cell>
          <cell r="O1740">
            <v>114906.99999960001</v>
          </cell>
        </row>
        <row r="1741">
          <cell r="A1741" t="str">
            <v>6020160</v>
          </cell>
          <cell r="B1741" t="str">
            <v>Short-term Disability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</row>
        <row r="1742">
          <cell r="A1742" t="str">
            <v>6020170</v>
          </cell>
          <cell r="B1742" t="str">
            <v>Long-term Disability - FAS 112</v>
          </cell>
          <cell r="C1742">
            <v>0</v>
          </cell>
          <cell r="D1742">
            <v>525000</v>
          </cell>
          <cell r="E1742">
            <v>0</v>
          </cell>
          <cell r="F1742">
            <v>0</v>
          </cell>
          <cell r="G1742">
            <v>525000</v>
          </cell>
          <cell r="H1742">
            <v>0</v>
          </cell>
          <cell r="I1742">
            <v>0</v>
          </cell>
          <cell r="J1742">
            <v>550000</v>
          </cell>
          <cell r="K1742">
            <v>0</v>
          </cell>
          <cell r="L1742">
            <v>0</v>
          </cell>
          <cell r="M1742">
            <v>0</v>
          </cell>
          <cell r="N1742">
            <v>550000</v>
          </cell>
          <cell r="O1742">
            <v>2150000</v>
          </cell>
        </row>
        <row r="1743">
          <cell r="A1743" t="str">
            <v>6020180</v>
          </cell>
          <cell r="B1743" t="str">
            <v>Long-term Disability Premiums</v>
          </cell>
          <cell r="C1743">
            <v>120403.6525</v>
          </cell>
          <cell r="D1743">
            <v>120403.6525</v>
          </cell>
          <cell r="E1743">
            <v>120403.6525</v>
          </cell>
          <cell r="F1743">
            <v>120403.6525</v>
          </cell>
          <cell r="G1743">
            <v>120403.6525</v>
          </cell>
          <cell r="H1743">
            <v>120403.6525</v>
          </cell>
          <cell r="I1743">
            <v>120403.6525</v>
          </cell>
          <cell r="J1743">
            <v>120403.6525</v>
          </cell>
          <cell r="K1743">
            <v>120403.6525</v>
          </cell>
          <cell r="L1743">
            <v>120403.6525</v>
          </cell>
          <cell r="M1743">
            <v>120403.6525</v>
          </cell>
          <cell r="N1743">
            <v>120403.6525</v>
          </cell>
          <cell r="O1743">
            <v>1444843.83</v>
          </cell>
        </row>
        <row r="1744">
          <cell r="A1744" t="str">
            <v>6020190</v>
          </cell>
          <cell r="B1744" t="str">
            <v>Restructuring Expense - Termination Benefits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</row>
        <row r="1745">
          <cell r="A1745" t="str">
            <v>6020200</v>
          </cell>
          <cell r="B1745" t="str">
            <v>Restructuring Expense - Other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</row>
        <row r="1746">
          <cell r="A1746" t="str">
            <v>6020210</v>
          </cell>
          <cell r="B1746" t="str">
            <v>Severance Reserve (Guatemala)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</row>
        <row r="1747">
          <cell r="A1747" t="str">
            <v>6020220</v>
          </cell>
          <cell r="B1747" t="str">
            <v>Vacations (accrual)</v>
          </cell>
          <cell r="C1747">
            <v>96133.333333300005</v>
          </cell>
          <cell r="D1747">
            <v>96133.333333300005</v>
          </cell>
          <cell r="E1747">
            <v>96133.333333300005</v>
          </cell>
          <cell r="F1747">
            <v>96133.333333300005</v>
          </cell>
          <cell r="G1747">
            <v>96133.333333300005</v>
          </cell>
          <cell r="H1747">
            <v>96133.333333300005</v>
          </cell>
          <cell r="I1747">
            <v>96133.333333300005</v>
          </cell>
          <cell r="J1747">
            <v>96133.333333300005</v>
          </cell>
          <cell r="K1747">
            <v>96133.333333300005</v>
          </cell>
          <cell r="L1747">
            <v>96133.333333300005</v>
          </cell>
          <cell r="M1747">
            <v>96133.333333300005</v>
          </cell>
          <cell r="N1747">
            <v>96133.333333300005</v>
          </cell>
          <cell r="O1747">
            <v>1153599.9999995998</v>
          </cell>
        </row>
        <row r="1748">
          <cell r="A1748" t="str">
            <v>6020230</v>
          </cell>
          <cell r="B1748" t="str">
            <v>Restoriation Benefit Plan Expense</v>
          </cell>
          <cell r="C1748">
            <v>29052.25</v>
          </cell>
          <cell r="D1748">
            <v>29052.25</v>
          </cell>
          <cell r="E1748">
            <v>29052.25</v>
          </cell>
          <cell r="F1748">
            <v>29052.25</v>
          </cell>
          <cell r="G1748">
            <v>29052.25</v>
          </cell>
          <cell r="H1748">
            <v>29052.25</v>
          </cell>
          <cell r="I1748">
            <v>29052.25</v>
          </cell>
          <cell r="J1748">
            <v>29052.25</v>
          </cell>
          <cell r="K1748">
            <v>29052.25</v>
          </cell>
          <cell r="L1748">
            <v>29052.25</v>
          </cell>
          <cell r="M1748">
            <v>29052.25</v>
          </cell>
          <cell r="N1748">
            <v>29052.25</v>
          </cell>
          <cell r="O1748">
            <v>348627</v>
          </cell>
        </row>
        <row r="1749">
          <cell r="A1749" t="str">
            <v>6020240</v>
          </cell>
          <cell r="B1749" t="str">
            <v>Employer Match on Common Stock Purchase Program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</row>
        <row r="1750">
          <cell r="A1750" t="str">
            <v>6020800</v>
          </cell>
          <cell r="B1750" t="str">
            <v>Benefits - Other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</row>
        <row r="1751">
          <cell r="A1751" t="str">
            <v>6020900</v>
          </cell>
          <cell r="B1751" t="str">
            <v>Employee Incentive Expense</v>
          </cell>
          <cell r="C1751">
            <v>1768447.9138380999</v>
          </cell>
          <cell r="D1751">
            <v>1768447.9138380999</v>
          </cell>
          <cell r="E1751">
            <v>1768447.9138380999</v>
          </cell>
          <cell r="F1751">
            <v>1768447.9138380999</v>
          </cell>
          <cell r="G1751">
            <v>1768447.9138380999</v>
          </cell>
          <cell r="H1751">
            <v>1768447.9138380999</v>
          </cell>
          <cell r="I1751">
            <v>1768447.9138380999</v>
          </cell>
          <cell r="J1751">
            <v>1768447.9138380999</v>
          </cell>
          <cell r="K1751">
            <v>1768447.9138380999</v>
          </cell>
          <cell r="L1751">
            <v>1768447.9138380999</v>
          </cell>
          <cell r="M1751">
            <v>1768447.9138380999</v>
          </cell>
          <cell r="N1751">
            <v>1768447.9138380999</v>
          </cell>
          <cell r="O1751">
            <v>21221374.9660572</v>
          </cell>
        </row>
        <row r="1752">
          <cell r="A1752" t="str">
            <v>6020910</v>
          </cell>
          <cell r="B1752" t="str">
            <v>Annual Bonus (Guatemala)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</row>
        <row r="1753">
          <cell r="A1753" t="str">
            <v>6020920</v>
          </cell>
          <cell r="B1753" t="str">
            <v>Employee Service Awards</v>
          </cell>
          <cell r="C1753">
            <v>12445.833333299999</v>
          </cell>
          <cell r="D1753">
            <v>12445.833333299999</v>
          </cell>
          <cell r="E1753">
            <v>12445.833333299999</v>
          </cell>
          <cell r="F1753">
            <v>12445.833333299999</v>
          </cell>
          <cell r="G1753">
            <v>12445.833333299999</v>
          </cell>
          <cell r="H1753">
            <v>12445.833333299999</v>
          </cell>
          <cell r="I1753">
            <v>12445.833333299999</v>
          </cell>
          <cell r="J1753">
            <v>12445.833333299999</v>
          </cell>
          <cell r="K1753">
            <v>12445.833333299999</v>
          </cell>
          <cell r="L1753">
            <v>12445.833333299999</v>
          </cell>
          <cell r="M1753">
            <v>12445.833333299999</v>
          </cell>
          <cell r="N1753">
            <v>12445.833333299999</v>
          </cell>
          <cell r="O1753">
            <v>149349.9999996</v>
          </cell>
        </row>
        <row r="1754">
          <cell r="A1754" t="str">
            <v>6029000</v>
          </cell>
          <cell r="B1754" t="str">
            <v>Benefits Expense sent to Balance Sheet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</row>
        <row r="1755">
          <cell r="A1755" t="str">
            <v>6030010</v>
          </cell>
          <cell r="B1755" t="str">
            <v>Empl Exp - Professional Dues. Subscriptions. Fees</v>
          </cell>
          <cell r="C1755">
            <v>98697.297630999994</v>
          </cell>
          <cell r="D1755">
            <v>36940.337631000002</v>
          </cell>
          <cell r="E1755">
            <v>38310.6113281</v>
          </cell>
          <cell r="F1755">
            <v>19707.787630999999</v>
          </cell>
          <cell r="G1755">
            <v>15329.737631</v>
          </cell>
          <cell r="H1755">
            <v>22270.4313281</v>
          </cell>
          <cell r="I1755">
            <v>21377.693630999998</v>
          </cell>
          <cell r="J1755">
            <v>10275.195631000001</v>
          </cell>
          <cell r="K1755">
            <v>16157.1213281</v>
          </cell>
          <cell r="L1755">
            <v>15875.827631</v>
          </cell>
          <cell r="M1755">
            <v>11914.983630999999</v>
          </cell>
          <cell r="N1755">
            <v>27958.678788099998</v>
          </cell>
          <cell r="O1755">
            <v>334815.7038204</v>
          </cell>
        </row>
        <row r="1756">
          <cell r="A1756" t="str">
            <v>6030020</v>
          </cell>
          <cell r="B1756" t="str">
            <v>Empl Exp - Social/Civic Dues</v>
          </cell>
          <cell r="C1756">
            <v>2945.17</v>
          </cell>
          <cell r="D1756">
            <v>722.32</v>
          </cell>
          <cell r="E1756">
            <v>1064.69</v>
          </cell>
          <cell r="F1756">
            <v>287.97000000000003</v>
          </cell>
          <cell r="G1756">
            <v>645.66999999999996</v>
          </cell>
          <cell r="H1756">
            <v>6419.97</v>
          </cell>
          <cell r="I1756">
            <v>5397.97</v>
          </cell>
          <cell r="J1756">
            <v>7037.97</v>
          </cell>
          <cell r="K1756">
            <v>287.97000000000003</v>
          </cell>
          <cell r="L1756">
            <v>1718.77</v>
          </cell>
          <cell r="M1756">
            <v>2321.75</v>
          </cell>
          <cell r="N1756">
            <v>492.37</v>
          </cell>
          <cell r="O1756">
            <v>29342.590000000004</v>
          </cell>
        </row>
        <row r="1757">
          <cell r="A1757" t="str">
            <v>6030030</v>
          </cell>
          <cell r="B1757" t="str">
            <v>Empl Exp - Meals &amp; Entertainment 100% Deductible</v>
          </cell>
          <cell r="C1757">
            <v>7739.9226666000004</v>
          </cell>
          <cell r="D1757">
            <v>7101.0226665999999</v>
          </cell>
          <cell r="E1757">
            <v>8458.2466666</v>
          </cell>
          <cell r="F1757">
            <v>7301.0226665999999</v>
          </cell>
          <cell r="G1757">
            <v>10008.722666600001</v>
          </cell>
          <cell r="H1757">
            <v>8998.1826665999997</v>
          </cell>
          <cell r="I1757">
            <v>7505.4226666000004</v>
          </cell>
          <cell r="J1757">
            <v>6999.9226666000004</v>
          </cell>
          <cell r="K1757">
            <v>7663.1226666000002</v>
          </cell>
          <cell r="L1757">
            <v>8043.9466665999998</v>
          </cell>
          <cell r="M1757">
            <v>22984.322666600001</v>
          </cell>
          <cell r="N1757">
            <v>12097.3826666</v>
          </cell>
          <cell r="O1757">
            <v>114901.2399992</v>
          </cell>
        </row>
        <row r="1758">
          <cell r="A1758" t="str">
            <v>6030040</v>
          </cell>
          <cell r="B1758" t="str">
            <v>Empl Exp - Meals &amp; Entertainment 50% Deductible</v>
          </cell>
          <cell r="C1758">
            <v>26994.2113537</v>
          </cell>
          <cell r="D1758">
            <v>31511.575353699998</v>
          </cell>
          <cell r="E1758">
            <v>68499.390676499999</v>
          </cell>
          <cell r="F1758">
            <v>34031.087353700001</v>
          </cell>
          <cell r="G1758">
            <v>35734.015353700001</v>
          </cell>
          <cell r="H1758">
            <v>71608.766676500003</v>
          </cell>
          <cell r="I1758">
            <v>46367.651353699999</v>
          </cell>
          <cell r="J1758">
            <v>53176.0853537</v>
          </cell>
          <cell r="K1758">
            <v>64407.0026765</v>
          </cell>
          <cell r="L1758">
            <v>30727.551353700001</v>
          </cell>
          <cell r="M1758">
            <v>42915.6893537</v>
          </cell>
          <cell r="N1758">
            <v>68605.898676500001</v>
          </cell>
          <cell r="O1758">
            <v>574578.92553559993</v>
          </cell>
        </row>
        <row r="1759">
          <cell r="A1759" t="str">
            <v>6030050</v>
          </cell>
          <cell r="B1759" t="str">
            <v>Empl Exp - Mileage</v>
          </cell>
          <cell r="C1759">
            <v>12923.1138335</v>
          </cell>
          <cell r="D1759">
            <v>12107.7138335</v>
          </cell>
          <cell r="E1759">
            <v>16594.5638335</v>
          </cell>
          <cell r="F1759">
            <v>12933.593833499999</v>
          </cell>
          <cell r="G1759">
            <v>13389.7698335</v>
          </cell>
          <cell r="H1759">
            <v>18572.3638335</v>
          </cell>
          <cell r="I1759">
            <v>12358.8138335</v>
          </cell>
          <cell r="J1759">
            <v>11682.7138335</v>
          </cell>
          <cell r="K1759">
            <v>16904.463833500002</v>
          </cell>
          <cell r="L1759">
            <v>13266.8138335</v>
          </cell>
          <cell r="M1759">
            <v>12028.3138335</v>
          </cell>
          <cell r="N1759">
            <v>20807.1698335</v>
          </cell>
          <cell r="O1759">
            <v>173569.40800200001</v>
          </cell>
        </row>
        <row r="1760">
          <cell r="A1760" t="str">
            <v>6030060</v>
          </cell>
          <cell r="B1760" t="str">
            <v>Empl Exp - Shoes and uniforms</v>
          </cell>
          <cell r="C1760">
            <v>1839.2202049</v>
          </cell>
          <cell r="D1760">
            <v>1839.2202049</v>
          </cell>
          <cell r="E1760">
            <v>1839.2202049</v>
          </cell>
          <cell r="F1760">
            <v>1839.2202049</v>
          </cell>
          <cell r="G1760">
            <v>1839.2202049</v>
          </cell>
          <cell r="H1760">
            <v>1839.2202049</v>
          </cell>
          <cell r="I1760">
            <v>1839.2202049</v>
          </cell>
          <cell r="J1760">
            <v>1839.2202049</v>
          </cell>
          <cell r="K1760">
            <v>1839.2202049</v>
          </cell>
          <cell r="L1760">
            <v>1839.2202049</v>
          </cell>
          <cell r="M1760">
            <v>1839.2202049</v>
          </cell>
          <cell r="N1760">
            <v>1859.6602049000001</v>
          </cell>
          <cell r="O1760">
            <v>22091.082458800003</v>
          </cell>
        </row>
        <row r="1761">
          <cell r="A1761" t="str">
            <v>6030070</v>
          </cell>
          <cell r="B1761" t="str">
            <v>Empl Exp - Training</v>
          </cell>
          <cell r="C1761">
            <v>35225.210656700001</v>
          </cell>
          <cell r="D1761">
            <v>43437.3106567</v>
          </cell>
          <cell r="E1761">
            <v>74756.402534099994</v>
          </cell>
          <cell r="F1761">
            <v>40711.750656700002</v>
          </cell>
          <cell r="G1761">
            <v>64442.1706567</v>
          </cell>
          <cell r="H1761">
            <v>70221.522534100004</v>
          </cell>
          <cell r="I1761">
            <v>34826.510656699997</v>
          </cell>
          <cell r="J1761">
            <v>50099.640656700001</v>
          </cell>
          <cell r="K1761">
            <v>63280.122534100003</v>
          </cell>
          <cell r="L1761">
            <v>48665.410656699998</v>
          </cell>
          <cell r="M1761">
            <v>48440.710656700001</v>
          </cell>
          <cell r="N1761">
            <v>56621.562534099998</v>
          </cell>
          <cell r="O1761">
            <v>630728.32539000001</v>
          </cell>
        </row>
        <row r="1762">
          <cell r="A1762" t="str">
            <v>6030080</v>
          </cell>
          <cell r="B1762" t="str">
            <v>Empl Exp - Travel and Lodging</v>
          </cell>
          <cell r="C1762">
            <v>31934.420255699999</v>
          </cell>
          <cell r="D1762">
            <v>44099.020255700001</v>
          </cell>
          <cell r="E1762">
            <v>79711.018610200001</v>
          </cell>
          <cell r="F1762">
            <v>60271.920255700003</v>
          </cell>
          <cell r="G1762">
            <v>61262.830255699999</v>
          </cell>
          <cell r="H1762">
            <v>101140.66861019999</v>
          </cell>
          <cell r="I1762">
            <v>45319.5842557</v>
          </cell>
          <cell r="J1762">
            <v>45519.130255700002</v>
          </cell>
          <cell r="K1762">
            <v>81126.528610199995</v>
          </cell>
          <cell r="L1762">
            <v>68257.890255699996</v>
          </cell>
          <cell r="M1762">
            <v>59166.970255699998</v>
          </cell>
          <cell r="N1762">
            <v>60563.572610199997</v>
          </cell>
          <cell r="O1762">
            <v>738373.5544864001</v>
          </cell>
        </row>
        <row r="1763">
          <cell r="A1763">
            <v>6030090</v>
          </cell>
          <cell r="B1763" t="str">
            <v>Empl Exp - Relocation Expenses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</row>
        <row r="1764">
          <cell r="A1764">
            <v>6030091</v>
          </cell>
          <cell r="B1764" t="str">
            <v>Empl Exp - Employee Appreciation and Gift Cards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</row>
        <row r="1765">
          <cell r="A1765" t="str">
            <v>6030800</v>
          </cell>
          <cell r="B1765" t="str">
            <v>Empl Exp - Miscellaneous Expense</v>
          </cell>
          <cell r="C1765">
            <v>72765.468387200002</v>
          </cell>
          <cell r="D1765">
            <v>98325.338387199998</v>
          </cell>
          <cell r="E1765">
            <v>81568.365053899994</v>
          </cell>
          <cell r="F1765">
            <v>98155.318387199994</v>
          </cell>
          <cell r="G1765">
            <v>69590.118387199997</v>
          </cell>
          <cell r="H1765">
            <v>86708.235053900004</v>
          </cell>
          <cell r="I1765">
            <v>141065.4983872</v>
          </cell>
          <cell r="J1765">
            <v>74801.118387199997</v>
          </cell>
          <cell r="K1765">
            <v>91109.645053900007</v>
          </cell>
          <cell r="L1765">
            <v>72940.128387200006</v>
          </cell>
          <cell r="M1765">
            <v>75731.734387200006</v>
          </cell>
          <cell r="N1765">
            <v>96853.813933900004</v>
          </cell>
          <cell r="O1765">
            <v>1059614.7821932</v>
          </cell>
        </row>
        <row r="1766">
          <cell r="A1766" t="str">
            <v>6038999</v>
          </cell>
          <cell r="B1766" t="str">
            <v>Employee Expense Reclass</v>
          </cell>
          <cell r="C1766">
            <v>-4178.2825000000003</v>
          </cell>
          <cell r="D1766">
            <v>-4178.2825000000003</v>
          </cell>
          <cell r="E1766">
            <v>-4178.2825000000003</v>
          </cell>
          <cell r="F1766">
            <v>-4178.2825000000003</v>
          </cell>
          <cell r="G1766">
            <v>-4178.2825000000003</v>
          </cell>
          <cell r="H1766">
            <v>-4178.2825000000003</v>
          </cell>
          <cell r="I1766">
            <v>-4178.2825000000003</v>
          </cell>
          <cell r="J1766">
            <v>-4178.2825000000003</v>
          </cell>
          <cell r="K1766">
            <v>-4178.2825000000003</v>
          </cell>
          <cell r="L1766">
            <v>-4178.2825000000003</v>
          </cell>
          <cell r="M1766">
            <v>-4178.2825000000003</v>
          </cell>
          <cell r="N1766">
            <v>-4178.2825000000003</v>
          </cell>
          <cell r="O1766">
            <v>-50139.390000000007</v>
          </cell>
        </row>
        <row r="1767">
          <cell r="A1767" t="str">
            <v>6039000</v>
          </cell>
          <cell r="B1767" t="str">
            <v>Employee Reimb Expense sent to Balance Sheet</v>
          </cell>
          <cell r="C1767">
            <v>3500</v>
          </cell>
          <cell r="D1767">
            <v>3500</v>
          </cell>
          <cell r="E1767">
            <v>3500</v>
          </cell>
          <cell r="F1767">
            <v>3500</v>
          </cell>
          <cell r="G1767">
            <v>3500</v>
          </cell>
          <cell r="H1767">
            <v>3500</v>
          </cell>
          <cell r="I1767">
            <v>3500</v>
          </cell>
          <cell r="J1767">
            <v>3500</v>
          </cell>
          <cell r="K1767">
            <v>3500</v>
          </cell>
          <cell r="L1767">
            <v>3500</v>
          </cell>
          <cell r="M1767">
            <v>3500</v>
          </cell>
          <cell r="N1767">
            <v>3500</v>
          </cell>
          <cell r="O1767">
            <v>42000</v>
          </cell>
        </row>
        <row r="1768">
          <cell r="A1768" t="str">
            <v>6100010</v>
          </cell>
          <cell r="B1768" t="str">
            <v>Advertising</v>
          </cell>
          <cell r="C1768">
            <v>136489</v>
          </cell>
          <cell r="D1768">
            <v>93489</v>
          </cell>
          <cell r="E1768">
            <v>102259</v>
          </cell>
          <cell r="F1768">
            <v>673072</v>
          </cell>
          <cell r="G1768">
            <v>136505</v>
          </cell>
          <cell r="H1768">
            <v>102257</v>
          </cell>
          <cell r="I1768">
            <v>593503</v>
          </cell>
          <cell r="J1768">
            <v>93509</v>
          </cell>
          <cell r="K1768">
            <v>602255</v>
          </cell>
          <cell r="L1768">
            <v>636513</v>
          </cell>
          <cell r="M1768">
            <v>93513</v>
          </cell>
          <cell r="N1768">
            <v>159259</v>
          </cell>
          <cell r="O1768">
            <v>3422623</v>
          </cell>
        </row>
        <row r="1769">
          <cell r="A1769" t="str">
            <v>6100020</v>
          </cell>
          <cell r="B1769" t="str">
            <v>Analytical (Predictive Maint)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</row>
        <row r="1770">
          <cell r="A1770" t="str">
            <v>6100030</v>
          </cell>
          <cell r="B1770" t="str">
            <v>Consultants - Audit</v>
          </cell>
          <cell r="C1770">
            <v>225</v>
          </cell>
          <cell r="D1770">
            <v>30885</v>
          </cell>
          <cell r="E1770">
            <v>92607.918518499995</v>
          </cell>
          <cell r="F1770">
            <v>35769.5</v>
          </cell>
          <cell r="G1770">
            <v>249</v>
          </cell>
          <cell r="H1770">
            <v>118410.4185185</v>
          </cell>
          <cell r="I1770">
            <v>246</v>
          </cell>
          <cell r="J1770">
            <v>57935</v>
          </cell>
          <cell r="K1770">
            <v>118407.4185185</v>
          </cell>
          <cell r="L1770">
            <v>15591</v>
          </cell>
          <cell r="M1770">
            <v>30921</v>
          </cell>
          <cell r="N1770">
            <v>91965.418518499995</v>
          </cell>
          <cell r="O1770">
            <v>593212.67407399998</v>
          </cell>
        </row>
        <row r="1771">
          <cell r="A1771" t="str">
            <v>6100040</v>
          </cell>
          <cell r="B1771" t="str">
            <v>Consultants - Engineering</v>
          </cell>
          <cell r="C1771">
            <v>23113.87</v>
          </cell>
          <cell r="D1771">
            <v>23113.87</v>
          </cell>
          <cell r="E1771">
            <v>54263.87</v>
          </cell>
          <cell r="F1771">
            <v>24263.87</v>
          </cell>
          <cell r="G1771">
            <v>24033.87</v>
          </cell>
          <cell r="H1771">
            <v>24148.87</v>
          </cell>
          <cell r="I1771">
            <v>23918.87</v>
          </cell>
          <cell r="J1771">
            <v>24263.87</v>
          </cell>
          <cell r="K1771">
            <v>24033.87</v>
          </cell>
          <cell r="L1771">
            <v>24493.87</v>
          </cell>
          <cell r="M1771">
            <v>19383.87</v>
          </cell>
          <cell r="N1771">
            <v>19613.87</v>
          </cell>
          <cell r="O1771">
            <v>308646.44</v>
          </cell>
        </row>
        <row r="1772">
          <cell r="A1772" t="str">
            <v>6100050</v>
          </cell>
          <cell r="B1772" t="str">
            <v>Consultants - Environmental</v>
          </cell>
          <cell r="C1772">
            <v>18125</v>
          </cell>
          <cell r="D1772">
            <v>18125</v>
          </cell>
          <cell r="E1772">
            <v>19581.599999999999</v>
          </cell>
          <cell r="F1772">
            <v>19275</v>
          </cell>
          <cell r="G1772">
            <v>19045</v>
          </cell>
          <cell r="H1772">
            <v>23966.6</v>
          </cell>
          <cell r="I1772">
            <v>18930</v>
          </cell>
          <cell r="J1772">
            <v>19275</v>
          </cell>
          <cell r="K1772">
            <v>19351.599999999999</v>
          </cell>
          <cell r="L1772">
            <v>19505</v>
          </cell>
          <cell r="M1772">
            <v>19505</v>
          </cell>
          <cell r="N1772">
            <v>20240.89</v>
          </cell>
          <cell r="O1772">
            <v>234925.69</v>
          </cell>
        </row>
        <row r="1773">
          <cell r="A1773" t="str">
            <v>6100060</v>
          </cell>
          <cell r="B1773" t="str">
            <v>Consultants - Legal</v>
          </cell>
          <cell r="C1773">
            <v>69842.077260000005</v>
          </cell>
          <cell r="D1773">
            <v>233426.07725999999</v>
          </cell>
          <cell r="E1773">
            <v>339139.07725999999</v>
          </cell>
          <cell r="F1773">
            <v>236492.07725999999</v>
          </cell>
          <cell r="G1773">
            <v>233426.07725999999</v>
          </cell>
          <cell r="H1773">
            <v>342323.07725999999</v>
          </cell>
          <cell r="I1773">
            <v>233426.07725999999</v>
          </cell>
          <cell r="J1773">
            <v>233426.07725999999</v>
          </cell>
          <cell r="K1773">
            <v>334973.07725999999</v>
          </cell>
          <cell r="L1773">
            <v>236492.07725999999</v>
          </cell>
          <cell r="M1773">
            <v>236471.63725999999</v>
          </cell>
          <cell r="N1773">
            <v>484974.63725999999</v>
          </cell>
          <cell r="O1773">
            <v>3214412.0471200002</v>
          </cell>
        </row>
        <row r="1774">
          <cell r="A1774" t="str">
            <v>6100070</v>
          </cell>
          <cell r="B1774" t="str">
            <v>Consultants - Management</v>
          </cell>
          <cell r="C1774">
            <v>157948.74566670001</v>
          </cell>
          <cell r="D1774">
            <v>91166.666666699995</v>
          </cell>
          <cell r="E1774">
            <v>91166.666666699995</v>
          </cell>
          <cell r="F1774">
            <v>101166.6666667</v>
          </cell>
          <cell r="G1774">
            <v>111166.6666667</v>
          </cell>
          <cell r="H1774">
            <v>111166.6666667</v>
          </cell>
          <cell r="I1774">
            <v>177948.74566670001</v>
          </cell>
          <cell r="J1774">
            <v>111166.6666667</v>
          </cell>
          <cell r="K1774">
            <v>101166.6666667</v>
          </cell>
          <cell r="L1774">
            <v>91166.666666699995</v>
          </cell>
          <cell r="M1774">
            <v>91166.666666699995</v>
          </cell>
          <cell r="N1774">
            <v>91166.666666699995</v>
          </cell>
          <cell r="O1774">
            <v>1327564.1580004003</v>
          </cell>
        </row>
        <row r="1775">
          <cell r="A1775" t="str">
            <v>6100080</v>
          </cell>
          <cell r="B1775" t="str">
            <v>Consultants - Other</v>
          </cell>
          <cell r="C1775">
            <v>433817.20658499998</v>
          </cell>
          <cell r="D1775">
            <v>213422.20658500001</v>
          </cell>
          <cell r="E1775">
            <v>238823.06658499999</v>
          </cell>
          <cell r="F1775">
            <v>328726.73658500001</v>
          </cell>
          <cell r="G1775">
            <v>205459.73658500001</v>
          </cell>
          <cell r="H1775">
            <v>407494.7332517</v>
          </cell>
          <cell r="I1775">
            <v>627924.73658499995</v>
          </cell>
          <cell r="J1775">
            <v>205529.73658500001</v>
          </cell>
          <cell r="K1775">
            <v>220589.73658500001</v>
          </cell>
          <cell r="L1775">
            <v>265505.73658500001</v>
          </cell>
          <cell r="M1775">
            <v>213363.73658500001</v>
          </cell>
          <cell r="N1775">
            <v>377015.6632517</v>
          </cell>
          <cell r="O1775">
            <v>3737673.0323534003</v>
          </cell>
        </row>
        <row r="1776">
          <cell r="A1776" t="str">
            <v>6100090</v>
          </cell>
          <cell r="B1776" t="str">
            <v>Consultants - Taxes</v>
          </cell>
          <cell r="C1776">
            <v>0</v>
          </cell>
          <cell r="D1776">
            <v>0</v>
          </cell>
          <cell r="E1776">
            <v>35000</v>
          </cell>
          <cell r="F1776">
            <v>80000</v>
          </cell>
          <cell r="G1776">
            <v>60000</v>
          </cell>
          <cell r="H1776">
            <v>20000</v>
          </cell>
          <cell r="I1776">
            <v>50000</v>
          </cell>
          <cell r="J1776">
            <v>0</v>
          </cell>
          <cell r="K1776">
            <v>70000</v>
          </cell>
          <cell r="L1776">
            <v>0</v>
          </cell>
          <cell r="M1776">
            <v>20000</v>
          </cell>
          <cell r="N1776">
            <v>0</v>
          </cell>
          <cell r="O1776">
            <v>335000</v>
          </cell>
        </row>
        <row r="1777">
          <cell r="A1777" t="str">
            <v>6100100</v>
          </cell>
          <cell r="B1777" t="str">
            <v>Subcontracted Services</v>
          </cell>
          <cell r="C1777">
            <v>3515394.4914738</v>
          </cell>
          <cell r="D1777">
            <v>3901383.6792990002</v>
          </cell>
          <cell r="E1777">
            <v>4382676.8633722002</v>
          </cell>
          <cell r="F1777">
            <v>3896459.3686863999</v>
          </cell>
          <cell r="G1777">
            <v>3328507.2660641</v>
          </cell>
          <cell r="H1777">
            <v>3227502.4307630998</v>
          </cell>
          <cell r="I1777">
            <v>3068609.5452512</v>
          </cell>
          <cell r="J1777">
            <v>3084162.3699423</v>
          </cell>
          <cell r="K1777">
            <v>3131517.5926187998</v>
          </cell>
          <cell r="L1777">
            <v>3425173.1364449998</v>
          </cell>
          <cell r="M1777">
            <v>3685365.0816659001</v>
          </cell>
          <cell r="N1777">
            <v>3638739.4138545999</v>
          </cell>
          <cell r="O1777">
            <v>42285491.239436403</v>
          </cell>
        </row>
        <row r="1778">
          <cell r="A1778" t="str">
            <v>6100110</v>
          </cell>
          <cell r="B1778" t="str">
            <v>Instrument Service/Repair</v>
          </cell>
          <cell r="C1778">
            <v>652.75</v>
          </cell>
          <cell r="D1778">
            <v>652.75</v>
          </cell>
          <cell r="E1778">
            <v>722.75</v>
          </cell>
          <cell r="F1778">
            <v>722.75</v>
          </cell>
          <cell r="G1778">
            <v>708.75</v>
          </cell>
          <cell r="H1778">
            <v>715.75</v>
          </cell>
          <cell r="I1778">
            <v>701.75</v>
          </cell>
          <cell r="J1778">
            <v>722.75</v>
          </cell>
          <cell r="K1778">
            <v>708.75</v>
          </cell>
          <cell r="L1778">
            <v>736.75</v>
          </cell>
          <cell r="M1778">
            <v>736.75</v>
          </cell>
          <cell r="N1778">
            <v>750.75</v>
          </cell>
          <cell r="O1778">
            <v>8533</v>
          </cell>
        </row>
        <row r="1779">
          <cell r="A1779" t="str">
            <v>6100120</v>
          </cell>
          <cell r="B1779" t="str">
            <v>Tools Service/Repair</v>
          </cell>
          <cell r="C1779">
            <v>3092.3982599999999</v>
          </cell>
          <cell r="D1779">
            <v>3092.3982599999999</v>
          </cell>
          <cell r="E1779">
            <v>3092.3982599999999</v>
          </cell>
          <cell r="F1779">
            <v>3092.3982599999999</v>
          </cell>
          <cell r="G1779">
            <v>3092.3982599999999</v>
          </cell>
          <cell r="H1779">
            <v>3092.3982599999999</v>
          </cell>
          <cell r="I1779">
            <v>3092.3982599999999</v>
          </cell>
          <cell r="J1779">
            <v>3092.3982599999999</v>
          </cell>
          <cell r="K1779">
            <v>3092.3982599999999</v>
          </cell>
          <cell r="L1779">
            <v>3092.3982599999999</v>
          </cell>
          <cell r="M1779">
            <v>3092.3982599999999</v>
          </cell>
          <cell r="N1779">
            <v>3092.3982599999999</v>
          </cell>
          <cell r="O1779">
            <v>37108.779120000007</v>
          </cell>
        </row>
        <row r="1780">
          <cell r="A1780" t="str">
            <v>6100130</v>
          </cell>
          <cell r="B1780" t="str">
            <v>EHS Monitoring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</row>
        <row r="1781">
          <cell r="A1781" t="str">
            <v>6100140</v>
          </cell>
          <cell r="B1781" t="str">
            <v>Line Clearance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</row>
        <row r="1782">
          <cell r="A1782" t="str">
            <v>6100150</v>
          </cell>
          <cell r="B1782" t="str">
            <v>Printing</v>
          </cell>
          <cell r="C1782">
            <v>-13012.061666699999</v>
          </cell>
          <cell r="D1782">
            <v>-13416.6616667</v>
          </cell>
          <cell r="E1782">
            <v>-12371.311666699999</v>
          </cell>
          <cell r="F1782">
            <v>-13569.291666700001</v>
          </cell>
          <cell r="G1782">
            <v>-14408.131666699999</v>
          </cell>
          <cell r="H1782">
            <v>-12285.1616667</v>
          </cell>
          <cell r="I1782">
            <v>-12563.8516667</v>
          </cell>
          <cell r="J1782">
            <v>-13382.8416667</v>
          </cell>
          <cell r="K1782">
            <v>-11948.721666699999</v>
          </cell>
          <cell r="L1782">
            <v>-12440.381666699999</v>
          </cell>
          <cell r="M1782">
            <v>-12945.5816667</v>
          </cell>
          <cell r="N1782">
            <v>-17636.641666700001</v>
          </cell>
          <cell r="O1782">
            <v>-159980.64000040002</v>
          </cell>
        </row>
        <row r="1783">
          <cell r="A1783" t="str">
            <v>6100160</v>
          </cell>
          <cell r="B1783" t="str">
            <v>Security Services</v>
          </cell>
          <cell r="C1783">
            <v>289555.45666670002</v>
          </cell>
          <cell r="D1783">
            <v>289555.45666670002</v>
          </cell>
          <cell r="E1783">
            <v>290055.45666670002</v>
          </cell>
          <cell r="F1783">
            <v>290055.45666670002</v>
          </cell>
          <cell r="G1783">
            <v>289955.45666670002</v>
          </cell>
          <cell r="H1783">
            <v>290005.45666670002</v>
          </cell>
          <cell r="I1783">
            <v>289905.45666670002</v>
          </cell>
          <cell r="J1783">
            <v>290055.45666670002</v>
          </cell>
          <cell r="K1783">
            <v>289955.45666670002</v>
          </cell>
          <cell r="L1783">
            <v>290155.45666670002</v>
          </cell>
          <cell r="M1783">
            <v>290155.45666670002</v>
          </cell>
          <cell r="N1783">
            <v>290255.45666670002</v>
          </cell>
          <cell r="O1783">
            <v>3479665.4800004005</v>
          </cell>
        </row>
        <row r="1784">
          <cell r="A1784" t="str">
            <v>6100170</v>
          </cell>
          <cell r="B1784" t="str">
            <v>Service/Maintenance-Computers &amp; Communication</v>
          </cell>
          <cell r="C1784">
            <v>95172.273480100004</v>
          </cell>
          <cell r="D1784">
            <v>112875.256805</v>
          </cell>
          <cell r="E1784">
            <v>96660.189950900007</v>
          </cell>
          <cell r="F1784">
            <v>117888.03770630001</v>
          </cell>
          <cell r="G1784">
            <v>98289.753705499999</v>
          </cell>
          <cell r="H1784">
            <v>165410.97446150001</v>
          </cell>
          <cell r="I1784">
            <v>101689.3041298</v>
          </cell>
          <cell r="J1784">
            <v>82455.140506800002</v>
          </cell>
          <cell r="K1784">
            <v>98855.666003100006</v>
          </cell>
          <cell r="L1784">
            <v>78518.945391899993</v>
          </cell>
          <cell r="M1784">
            <v>93551.157069599998</v>
          </cell>
          <cell r="N1784">
            <v>95505.950549700006</v>
          </cell>
          <cell r="O1784">
            <v>1236872.6497602002</v>
          </cell>
        </row>
        <row r="1785">
          <cell r="A1785" t="str">
            <v>6100180</v>
          </cell>
          <cell r="B1785" t="str">
            <v>Site Testing Services</v>
          </cell>
          <cell r="C1785">
            <v>6426.1</v>
          </cell>
          <cell r="D1785">
            <v>6426.1</v>
          </cell>
          <cell r="E1785">
            <v>7276.1</v>
          </cell>
          <cell r="F1785">
            <v>7276.1</v>
          </cell>
          <cell r="G1785">
            <v>7106.1</v>
          </cell>
          <cell r="H1785">
            <v>7191.1</v>
          </cell>
          <cell r="I1785">
            <v>7021.1</v>
          </cell>
          <cell r="J1785">
            <v>7276.1</v>
          </cell>
          <cell r="K1785">
            <v>7106.1</v>
          </cell>
          <cell r="L1785">
            <v>7446.1</v>
          </cell>
          <cell r="M1785">
            <v>7395</v>
          </cell>
          <cell r="N1785">
            <v>7565</v>
          </cell>
          <cell r="O1785">
            <v>85511</v>
          </cell>
        </row>
        <row r="1786">
          <cell r="A1786" t="str">
            <v>6100190</v>
          </cell>
          <cell r="B1786" t="str">
            <v>Software Maintenance</v>
          </cell>
          <cell r="C1786">
            <v>1379853.9897332001</v>
          </cell>
          <cell r="D1786">
            <v>1235354.2443567</v>
          </cell>
          <cell r="E1786">
            <v>1205625.4354906001</v>
          </cell>
          <cell r="F1786">
            <v>1085144.5261466</v>
          </cell>
          <cell r="G1786">
            <v>1107027.7277728999</v>
          </cell>
          <cell r="H1786">
            <v>1240527.0234914001</v>
          </cell>
          <cell r="I1786">
            <v>1101765.3140511001</v>
          </cell>
          <cell r="J1786">
            <v>1091364.2255324</v>
          </cell>
          <cell r="K1786">
            <v>1073265.4975972001</v>
          </cell>
          <cell r="L1786">
            <v>956208.74818790006</v>
          </cell>
          <cell r="M1786">
            <v>1005116.4671967</v>
          </cell>
          <cell r="N1786">
            <v>1281551.0039702</v>
          </cell>
          <cell r="O1786">
            <v>13762804.203526899</v>
          </cell>
        </row>
        <row r="1787">
          <cell r="A1787" t="str">
            <v>6100200</v>
          </cell>
          <cell r="B1787" t="str">
            <v>Trust Fee</v>
          </cell>
          <cell r="C1787">
            <v>3499</v>
          </cell>
          <cell r="D1787">
            <v>0</v>
          </cell>
          <cell r="E1787">
            <v>0</v>
          </cell>
          <cell r="F1787">
            <v>0</v>
          </cell>
          <cell r="G1787">
            <v>7924</v>
          </cell>
          <cell r="H1787">
            <v>17661</v>
          </cell>
          <cell r="I1787">
            <v>4500</v>
          </cell>
          <cell r="J1787">
            <v>0</v>
          </cell>
          <cell r="K1787">
            <v>3780</v>
          </cell>
          <cell r="L1787">
            <v>11499</v>
          </cell>
          <cell r="M1787">
            <v>0</v>
          </cell>
          <cell r="N1787">
            <v>4500</v>
          </cell>
          <cell r="O1787">
            <v>53363</v>
          </cell>
        </row>
        <row r="1788">
          <cell r="A1788" t="str">
            <v>6108999</v>
          </cell>
          <cell r="B1788" t="str">
            <v>Outside Services Expense Reclass</v>
          </cell>
          <cell r="C1788">
            <v>-99345.091716499999</v>
          </cell>
          <cell r="D1788">
            <v>-92351.034528200005</v>
          </cell>
          <cell r="E1788">
            <v>-139116.73603480001</v>
          </cell>
          <cell r="F1788">
            <v>-172252.2037059</v>
          </cell>
          <cell r="G1788">
            <v>-202696.6246098</v>
          </cell>
          <cell r="H1788">
            <v>-192473.48430849999</v>
          </cell>
          <cell r="I1788">
            <v>-173152.2037059</v>
          </cell>
          <cell r="J1788">
            <v>26710.602320599999</v>
          </cell>
          <cell r="K1788">
            <v>26085.602320599999</v>
          </cell>
          <cell r="L1788">
            <v>52310.602320600003</v>
          </cell>
          <cell r="M1788">
            <v>27310.602320599999</v>
          </cell>
          <cell r="N1788">
            <v>52118.402320599998</v>
          </cell>
          <cell r="O1788">
            <v>-886851.56700660021</v>
          </cell>
        </row>
        <row r="1789">
          <cell r="A1789" t="str">
            <v>6109000</v>
          </cell>
          <cell r="B1789" t="str">
            <v>Outside Services Expense sent to Balance Sheet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</row>
        <row r="1790">
          <cell r="A1790" t="str">
            <v>6200010</v>
          </cell>
          <cell r="B1790" t="str">
            <v>Fuel Expense - Coal Recoverable</v>
          </cell>
          <cell r="C1790">
            <v>4403375</v>
          </cell>
          <cell r="D1790">
            <v>4105441</v>
          </cell>
          <cell r="E1790">
            <v>2340175</v>
          </cell>
          <cell r="F1790">
            <v>3162584</v>
          </cell>
          <cell r="G1790">
            <v>6032681</v>
          </cell>
          <cell r="H1790">
            <v>5792999</v>
          </cell>
          <cell r="I1790">
            <v>5543987</v>
          </cell>
          <cell r="J1790">
            <v>5777585</v>
          </cell>
          <cell r="K1790">
            <v>5448364</v>
          </cell>
          <cell r="L1790">
            <v>3093615</v>
          </cell>
          <cell r="M1790">
            <v>0</v>
          </cell>
          <cell r="N1790">
            <v>1858234</v>
          </cell>
          <cell r="O1790">
            <v>47559040</v>
          </cell>
        </row>
        <row r="1791">
          <cell r="A1791" t="str">
            <v>6200011</v>
          </cell>
          <cell r="B1791" t="str">
            <v>Fuel Expense - Non-recoverable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12264</v>
          </cell>
          <cell r="N1791">
            <v>0</v>
          </cell>
          <cell r="O1791">
            <v>12264</v>
          </cell>
        </row>
        <row r="1792">
          <cell r="A1792" t="str">
            <v>6200015</v>
          </cell>
          <cell r="B1792" t="str">
            <v>Fuel additive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</row>
        <row r="1793">
          <cell r="A1793" t="str">
            <v>6200020</v>
          </cell>
          <cell r="B1793" t="str">
            <v>Fuel Expense - Coal Warehousing &amp; Custody Fee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</row>
        <row r="1794">
          <cell r="A1794" t="str">
            <v>6200030</v>
          </cell>
          <cell r="B1794" t="str">
            <v>Fuel Expense - Natural Gas</v>
          </cell>
          <cell r="C1794">
            <v>37627734</v>
          </cell>
          <cell r="D1794">
            <v>35731995</v>
          </cell>
          <cell r="E1794">
            <v>40133289</v>
          </cell>
          <cell r="F1794">
            <v>38131973</v>
          </cell>
          <cell r="G1794">
            <v>42991357</v>
          </cell>
          <cell r="H1794">
            <v>47877600</v>
          </cell>
          <cell r="I1794">
            <v>50425840</v>
          </cell>
          <cell r="J1794">
            <v>50950395</v>
          </cell>
          <cell r="K1794">
            <v>48771663</v>
          </cell>
          <cell r="L1794">
            <v>47591283</v>
          </cell>
          <cell r="M1794">
            <v>39771005</v>
          </cell>
          <cell r="N1794">
            <v>43279420</v>
          </cell>
          <cell r="O1794">
            <v>523283554</v>
          </cell>
        </row>
        <row r="1795">
          <cell r="A1795" t="str">
            <v>6200040</v>
          </cell>
          <cell r="B1795" t="str">
            <v>Fuel Expense - Oil burned for generation</v>
          </cell>
          <cell r="C1795">
            <v>524346</v>
          </cell>
          <cell r="D1795">
            <v>0</v>
          </cell>
          <cell r="E1795">
            <v>502582</v>
          </cell>
          <cell r="F1795">
            <v>361928</v>
          </cell>
          <cell r="G1795">
            <v>470288</v>
          </cell>
          <cell r="H1795">
            <v>440682</v>
          </cell>
          <cell r="I1795">
            <v>442052</v>
          </cell>
          <cell r="J1795">
            <v>430546</v>
          </cell>
          <cell r="K1795">
            <v>407314</v>
          </cell>
          <cell r="L1795">
            <v>392716</v>
          </cell>
          <cell r="M1795">
            <v>321408</v>
          </cell>
          <cell r="N1795">
            <v>400117</v>
          </cell>
          <cell r="O1795">
            <v>4693979</v>
          </cell>
        </row>
        <row r="1796">
          <cell r="A1796" t="str">
            <v>6200050</v>
          </cell>
          <cell r="B1796" t="str">
            <v>Fuel Expense - Propane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</row>
        <row r="1797">
          <cell r="A1797" t="str">
            <v>6200060</v>
          </cell>
          <cell r="B1797" t="str">
            <v>Fuel Expense - SO2 credits. Nox</v>
          </cell>
          <cell r="C1797">
            <v>-8</v>
          </cell>
          <cell r="D1797">
            <v>0</v>
          </cell>
          <cell r="E1797">
            <v>0</v>
          </cell>
          <cell r="F1797">
            <v>-8</v>
          </cell>
          <cell r="G1797">
            <v>0</v>
          </cell>
          <cell r="H1797">
            <v>0</v>
          </cell>
          <cell r="I1797">
            <v>-9</v>
          </cell>
          <cell r="J1797">
            <v>0</v>
          </cell>
          <cell r="K1797">
            <v>0</v>
          </cell>
          <cell r="L1797">
            <v>-8</v>
          </cell>
          <cell r="M1797">
            <v>0</v>
          </cell>
          <cell r="N1797">
            <v>0</v>
          </cell>
          <cell r="O1797">
            <v>-33</v>
          </cell>
        </row>
        <row r="1798">
          <cell r="A1798" t="str">
            <v>6200070</v>
          </cell>
          <cell r="B1798" t="str">
            <v>Fuel Expense - Transportation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</row>
        <row r="1799">
          <cell r="A1799" t="str">
            <v>6200700</v>
          </cell>
          <cell r="B1799" t="str">
            <v>Fuel Expense - Intercompany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</row>
        <row r="1800">
          <cell r="A1800" t="str">
            <v>6209000</v>
          </cell>
          <cell r="B1800" t="str">
            <v>Fuel Expense sent to Balance Sheet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</row>
        <row r="1801">
          <cell r="A1801" t="str">
            <v>6250100</v>
          </cell>
          <cell r="B1801" t="str">
            <v>Purchased Power</v>
          </cell>
          <cell r="C1801">
            <v>4605650.0991439996</v>
          </cell>
          <cell r="D1801">
            <v>3241410.0991440001</v>
          </cell>
          <cell r="E1801">
            <v>658540.09638999996</v>
          </cell>
          <cell r="F1801">
            <v>559930.10310980002</v>
          </cell>
          <cell r="G1801">
            <v>831450.09683060006</v>
          </cell>
          <cell r="H1801">
            <v>991380.09991510003</v>
          </cell>
          <cell r="I1801">
            <v>625670.09947450005</v>
          </cell>
          <cell r="J1801">
            <v>713430.10046590003</v>
          </cell>
          <cell r="K1801">
            <v>451010.09837289999</v>
          </cell>
          <cell r="L1801">
            <v>3612740.0988134998</v>
          </cell>
          <cell r="M1801">
            <v>382070.09694080002</v>
          </cell>
          <cell r="N1801">
            <v>246940.10134719999</v>
          </cell>
          <cell r="O1801">
            <v>16920221.189948302</v>
          </cell>
        </row>
        <row r="1802">
          <cell r="A1802" t="str">
            <v>6250110</v>
          </cell>
          <cell r="B1802" t="str">
            <v>Non-recoverable Purchase Power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</row>
        <row r="1803">
          <cell r="A1803" t="str">
            <v>6250120</v>
          </cell>
          <cell r="B1803" t="str">
            <v>Non-recoverable Purchase Power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</row>
        <row r="1804">
          <cell r="A1804" t="str">
            <v>6259000</v>
          </cell>
          <cell r="B1804" t="str">
            <v>Purchased Power Expense sent to Balance Sheet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</row>
        <row r="1805">
          <cell r="A1805" t="str">
            <v>6300010</v>
          </cell>
          <cell r="B1805" t="str">
            <v>Cost of Natural Gas Netted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</row>
        <row r="1806">
          <cell r="A1806" t="str">
            <v>6300100</v>
          </cell>
          <cell r="B1806" t="str">
            <v>Cost of Natural Gas Sold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</row>
        <row r="1807">
          <cell r="A1807" t="str">
            <v>6300110</v>
          </cell>
          <cell r="B1807" t="str">
            <v>Cost of Exchange Gas Sold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</row>
        <row r="1808">
          <cell r="A1808" t="str">
            <v>6300700</v>
          </cell>
          <cell r="B1808" t="str">
            <v>Cost of Natural Gas Sold - Intercompany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</row>
        <row r="1809">
          <cell r="A1809" t="str">
            <v>6309000</v>
          </cell>
          <cell r="B1809" t="str">
            <v>Cost of Natural Gas Sold sent to Balance Sheet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</row>
        <row r="1810">
          <cell r="A1810" t="str">
            <v>6350100</v>
          </cell>
          <cell r="B1810" t="str">
            <v>Cost of Goods Sold - TPI Program Costs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</row>
        <row r="1811">
          <cell r="A1811" t="str">
            <v>6359000</v>
          </cell>
          <cell r="B1811" t="str">
            <v>Cost of Goods Sold sent to Balance Sheet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</row>
        <row r="1812">
          <cell r="A1812" t="str">
            <v>6400010</v>
          </cell>
          <cell r="B1812" t="str">
            <v>Mat &amp; Supp - Furniture &amp; Computer/Office Equipment</v>
          </cell>
          <cell r="C1812">
            <v>33901.166740000001</v>
          </cell>
          <cell r="D1812">
            <v>29424.766739999999</v>
          </cell>
          <cell r="E1812">
            <v>49179.833406700003</v>
          </cell>
          <cell r="F1812">
            <v>32567.066739999998</v>
          </cell>
          <cell r="G1812">
            <v>37208.366739999998</v>
          </cell>
          <cell r="H1812">
            <v>52098.763406700004</v>
          </cell>
          <cell r="I1812">
            <v>37878.176740000003</v>
          </cell>
          <cell r="J1812">
            <v>36881.466740000003</v>
          </cell>
          <cell r="K1812">
            <v>52718.933406700002</v>
          </cell>
          <cell r="L1812">
            <v>34128.066740000002</v>
          </cell>
          <cell r="M1812">
            <v>35939.066740000002</v>
          </cell>
          <cell r="N1812">
            <v>44792.573406700001</v>
          </cell>
          <cell r="O1812">
            <v>476718.2475468</v>
          </cell>
        </row>
        <row r="1813">
          <cell r="A1813" t="str">
            <v>6400020</v>
          </cell>
          <cell r="B1813" t="str">
            <v>Mat &amp; Supp - General and Office Supplies</v>
          </cell>
          <cell r="C1813">
            <v>82075.0668095</v>
          </cell>
          <cell r="D1813">
            <v>74985.256809500002</v>
          </cell>
          <cell r="E1813">
            <v>79869.910142799999</v>
          </cell>
          <cell r="F1813">
            <v>77252.410809499997</v>
          </cell>
          <cell r="G1813">
            <v>77267.586809500004</v>
          </cell>
          <cell r="H1813">
            <v>83418.096142800001</v>
          </cell>
          <cell r="I1813">
            <v>77168.686809499995</v>
          </cell>
          <cell r="J1813">
            <v>77644.372809499997</v>
          </cell>
          <cell r="K1813">
            <v>82900.9141428</v>
          </cell>
          <cell r="L1813">
            <v>79152.626809499998</v>
          </cell>
          <cell r="M1813">
            <v>79093.190809499996</v>
          </cell>
          <cell r="N1813">
            <v>86811.761022799998</v>
          </cell>
          <cell r="O1813">
            <v>957639.87992720015</v>
          </cell>
        </row>
        <row r="1814">
          <cell r="A1814" t="str">
            <v>6400030</v>
          </cell>
          <cell r="B1814" t="str">
            <v>Mat &amp; Supp - Chemicals</v>
          </cell>
          <cell r="C1814">
            <v>580369.25699999998</v>
          </cell>
          <cell r="D1814">
            <v>583946.25699999998</v>
          </cell>
          <cell r="E1814">
            <v>636931.08900000004</v>
          </cell>
          <cell r="F1814">
            <v>631799.08900000004</v>
          </cell>
          <cell r="G1814">
            <v>626665.08900000004</v>
          </cell>
          <cell r="H1814">
            <v>641826.92099999997</v>
          </cell>
          <cell r="I1814">
            <v>625983.92099999997</v>
          </cell>
          <cell r="J1814">
            <v>639783.92099999997</v>
          </cell>
          <cell r="K1814">
            <v>636226.92099999997</v>
          </cell>
          <cell r="L1814">
            <v>644065.08900000004</v>
          </cell>
          <cell r="M1814">
            <v>636080.25699999998</v>
          </cell>
          <cell r="N1814">
            <v>647835.25699999998</v>
          </cell>
          <cell r="O1814">
            <v>7531513.0680000009</v>
          </cell>
        </row>
        <row r="1815">
          <cell r="A1815" t="str">
            <v>6400040</v>
          </cell>
          <cell r="B1815" t="str">
            <v>Mat &amp; Supp - Laboratory materials and supplies</v>
          </cell>
          <cell r="C1815">
            <v>18477.900000000001</v>
          </cell>
          <cell r="D1815">
            <v>18477.900000000001</v>
          </cell>
          <cell r="E1815">
            <v>19127.900000000001</v>
          </cell>
          <cell r="F1815">
            <v>19127.900000000001</v>
          </cell>
          <cell r="G1815">
            <v>18997.900000000001</v>
          </cell>
          <cell r="H1815">
            <v>19062.900000000001</v>
          </cell>
          <cell r="I1815">
            <v>18932.900000000001</v>
          </cell>
          <cell r="J1815">
            <v>19127.900000000001</v>
          </cell>
          <cell r="K1815">
            <v>18997.900000000001</v>
          </cell>
          <cell r="L1815">
            <v>19257.900000000001</v>
          </cell>
          <cell r="M1815">
            <v>19257.900000000001</v>
          </cell>
          <cell r="N1815">
            <v>19387.900000000001</v>
          </cell>
          <cell r="O1815">
            <v>228234.79999999996</v>
          </cell>
        </row>
        <row r="1816">
          <cell r="A1816" t="str">
            <v>6400050</v>
          </cell>
          <cell r="B1816" t="str">
            <v>Mat &amp; Supp - Lubricants</v>
          </cell>
          <cell r="C1816">
            <v>8750</v>
          </cell>
          <cell r="D1816">
            <v>8750</v>
          </cell>
          <cell r="E1816">
            <v>9650</v>
          </cell>
          <cell r="F1816">
            <v>9650</v>
          </cell>
          <cell r="G1816">
            <v>9470</v>
          </cell>
          <cell r="H1816">
            <v>9560</v>
          </cell>
          <cell r="I1816">
            <v>9380</v>
          </cell>
          <cell r="J1816">
            <v>9650</v>
          </cell>
          <cell r="K1816">
            <v>9470</v>
          </cell>
          <cell r="L1816">
            <v>9830</v>
          </cell>
          <cell r="M1816">
            <v>9830</v>
          </cell>
          <cell r="N1816">
            <v>10010</v>
          </cell>
          <cell r="O1816">
            <v>114000</v>
          </cell>
        </row>
        <row r="1817">
          <cell r="A1817" t="str">
            <v>6400060</v>
          </cell>
          <cell r="B1817" t="str">
            <v>Mat &amp; Supp - Operations Consumables</v>
          </cell>
          <cell r="C1817">
            <v>33757.417166300002</v>
          </cell>
          <cell r="D1817">
            <v>33757.417166300002</v>
          </cell>
          <cell r="E1817">
            <v>33757.417166300002</v>
          </cell>
          <cell r="F1817">
            <v>33757.417166300002</v>
          </cell>
          <cell r="G1817">
            <v>33757.417166300002</v>
          </cell>
          <cell r="H1817">
            <v>33757.417166300002</v>
          </cell>
          <cell r="I1817">
            <v>33757.417166300002</v>
          </cell>
          <cell r="J1817">
            <v>33757.417166300002</v>
          </cell>
          <cell r="K1817">
            <v>33757.417166300002</v>
          </cell>
          <cell r="L1817">
            <v>33757.417166300002</v>
          </cell>
          <cell r="M1817">
            <v>33757.417166300002</v>
          </cell>
          <cell r="N1817">
            <v>33757.417166300002</v>
          </cell>
          <cell r="O1817">
            <v>405089.00599560002</v>
          </cell>
        </row>
        <row r="1818">
          <cell r="A1818" t="str">
            <v>6400070</v>
          </cell>
          <cell r="B1818" t="str">
            <v>Mat &amp; Supp - Safety/First Aid Supplies &amp; Equipment</v>
          </cell>
          <cell r="C1818">
            <v>7963.652</v>
          </cell>
          <cell r="D1818">
            <v>9292.2520000000004</v>
          </cell>
          <cell r="E1818">
            <v>8163.652</v>
          </cell>
          <cell r="F1818">
            <v>8163.652</v>
          </cell>
          <cell r="G1818">
            <v>9452.2520000000004</v>
          </cell>
          <cell r="H1818">
            <v>8654.652</v>
          </cell>
          <cell r="I1818">
            <v>8103.652</v>
          </cell>
          <cell r="J1818">
            <v>9492.2520000000004</v>
          </cell>
          <cell r="K1818">
            <v>8123.652</v>
          </cell>
          <cell r="L1818">
            <v>9532.2520000000004</v>
          </cell>
          <cell r="M1818">
            <v>8203.652</v>
          </cell>
          <cell r="N1818">
            <v>8762.8279999999995</v>
          </cell>
          <cell r="O1818">
            <v>103908.40000000001</v>
          </cell>
        </row>
        <row r="1819">
          <cell r="A1819" t="str">
            <v>6400080</v>
          </cell>
          <cell r="B1819" t="str">
            <v>Mat &amp; Supp - Vehicle Fuel</v>
          </cell>
          <cell r="C1819">
            <v>25888</v>
          </cell>
          <cell r="D1819">
            <v>25888</v>
          </cell>
          <cell r="E1819">
            <v>28788</v>
          </cell>
          <cell r="F1819">
            <v>28788</v>
          </cell>
          <cell r="G1819">
            <v>28208</v>
          </cell>
          <cell r="H1819">
            <v>28498</v>
          </cell>
          <cell r="I1819">
            <v>27918</v>
          </cell>
          <cell r="J1819">
            <v>28788</v>
          </cell>
          <cell r="K1819">
            <v>28208</v>
          </cell>
          <cell r="L1819">
            <v>29368</v>
          </cell>
          <cell r="M1819">
            <v>29368</v>
          </cell>
          <cell r="N1819">
            <v>29948</v>
          </cell>
          <cell r="O1819">
            <v>339656</v>
          </cell>
        </row>
        <row r="1820">
          <cell r="A1820" t="str">
            <v>6400100</v>
          </cell>
          <cell r="B1820" t="str">
            <v>Mat &amp; Supp - Outside Material Purchases</v>
          </cell>
          <cell r="C1820">
            <v>480192.82993120002</v>
          </cell>
          <cell r="D1820">
            <v>620038.4839312</v>
          </cell>
          <cell r="E1820">
            <v>772804.47993120004</v>
          </cell>
          <cell r="F1820">
            <v>520799.44993120001</v>
          </cell>
          <cell r="G1820">
            <v>469771.19993120001</v>
          </cell>
          <cell r="H1820">
            <v>440429.01993120002</v>
          </cell>
          <cell r="I1820">
            <v>431783.17993119999</v>
          </cell>
          <cell r="J1820">
            <v>436342.07993120002</v>
          </cell>
          <cell r="K1820">
            <v>517877.43593119999</v>
          </cell>
          <cell r="L1820">
            <v>507320.79993119999</v>
          </cell>
          <cell r="M1820">
            <v>560619.59993120003</v>
          </cell>
          <cell r="N1820">
            <v>533601.63793119998</v>
          </cell>
          <cell r="O1820">
            <v>6291580.1971744001</v>
          </cell>
        </row>
        <row r="1821">
          <cell r="A1821" t="str">
            <v>6400500</v>
          </cell>
          <cell r="B1821" t="str">
            <v>Mat &amp; Supp - Parts</v>
          </cell>
          <cell r="C1821">
            <v>6750</v>
          </cell>
          <cell r="D1821">
            <v>6750</v>
          </cell>
          <cell r="E1821">
            <v>7650</v>
          </cell>
          <cell r="F1821">
            <v>7650</v>
          </cell>
          <cell r="G1821">
            <v>7470</v>
          </cell>
          <cell r="H1821">
            <v>7560</v>
          </cell>
          <cell r="I1821">
            <v>7380</v>
          </cell>
          <cell r="J1821">
            <v>7650</v>
          </cell>
          <cell r="K1821">
            <v>7470</v>
          </cell>
          <cell r="L1821">
            <v>7830</v>
          </cell>
          <cell r="M1821">
            <v>7830</v>
          </cell>
          <cell r="N1821">
            <v>8010</v>
          </cell>
          <cell r="O1821">
            <v>90000</v>
          </cell>
        </row>
        <row r="1822">
          <cell r="A1822" t="str">
            <v>6400505</v>
          </cell>
          <cell r="B1822" t="str">
            <v>Mat &amp; Supp - Part Repairs</v>
          </cell>
          <cell r="C1822">
            <v>600</v>
          </cell>
          <cell r="D1822">
            <v>600</v>
          </cell>
          <cell r="E1822">
            <v>680</v>
          </cell>
          <cell r="F1822">
            <v>680</v>
          </cell>
          <cell r="G1822">
            <v>664</v>
          </cell>
          <cell r="H1822">
            <v>672</v>
          </cell>
          <cell r="I1822">
            <v>656</v>
          </cell>
          <cell r="J1822">
            <v>680</v>
          </cell>
          <cell r="K1822">
            <v>664</v>
          </cell>
          <cell r="L1822">
            <v>696</v>
          </cell>
          <cell r="M1822">
            <v>696</v>
          </cell>
          <cell r="N1822">
            <v>712</v>
          </cell>
          <cell r="O1822">
            <v>8000</v>
          </cell>
        </row>
        <row r="1823">
          <cell r="A1823" t="str">
            <v>6400510</v>
          </cell>
          <cell r="B1823" t="str">
            <v>Mat &amp; Supp - Small Tools</v>
          </cell>
          <cell r="C1823">
            <v>2875</v>
          </cell>
          <cell r="D1823">
            <v>2875</v>
          </cell>
          <cell r="E1823">
            <v>2925</v>
          </cell>
          <cell r="F1823">
            <v>2925</v>
          </cell>
          <cell r="G1823">
            <v>2915</v>
          </cell>
          <cell r="H1823">
            <v>2920</v>
          </cell>
          <cell r="I1823">
            <v>2910</v>
          </cell>
          <cell r="J1823">
            <v>2925</v>
          </cell>
          <cell r="K1823">
            <v>2915</v>
          </cell>
          <cell r="L1823">
            <v>2935</v>
          </cell>
          <cell r="M1823">
            <v>2935</v>
          </cell>
          <cell r="N1823">
            <v>2945</v>
          </cell>
          <cell r="O1823">
            <v>35000</v>
          </cell>
        </row>
        <row r="1824">
          <cell r="A1824" t="str">
            <v>6400520</v>
          </cell>
          <cell r="B1824" t="str">
            <v>Mat &amp; Supp - Obsolete Inventory</v>
          </cell>
          <cell r="C1824">
            <v>1022</v>
          </cell>
          <cell r="D1824">
            <v>1022</v>
          </cell>
          <cell r="E1824">
            <v>51022</v>
          </cell>
          <cell r="F1824">
            <v>1022</v>
          </cell>
          <cell r="G1824">
            <v>1022</v>
          </cell>
          <cell r="H1824">
            <v>51022</v>
          </cell>
          <cell r="I1824">
            <v>52122</v>
          </cell>
          <cell r="J1824">
            <v>1022</v>
          </cell>
          <cell r="K1824">
            <v>95990</v>
          </cell>
          <cell r="L1824">
            <v>1022</v>
          </cell>
          <cell r="M1824">
            <v>31682</v>
          </cell>
          <cell r="N1824">
            <v>81682</v>
          </cell>
          <cell r="O1824">
            <v>369652</v>
          </cell>
        </row>
        <row r="1825">
          <cell r="A1825" t="str">
            <v>6400521</v>
          </cell>
          <cell r="B1825" t="str">
            <v>Mat &amp; Supp - Defective Inventory Scrap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</row>
        <row r="1826">
          <cell r="A1826" t="str">
            <v>6400530</v>
          </cell>
          <cell r="B1826" t="str">
            <v>Mat &amp; Supp - Inventory Other</v>
          </cell>
          <cell r="C1826">
            <v>23275</v>
          </cell>
          <cell r="D1826">
            <v>10725</v>
          </cell>
          <cell r="E1826">
            <v>10525</v>
          </cell>
          <cell r="F1826">
            <v>11375</v>
          </cell>
          <cell r="G1826">
            <v>6925</v>
          </cell>
          <cell r="H1826">
            <v>6925</v>
          </cell>
          <cell r="I1826">
            <v>7375</v>
          </cell>
          <cell r="J1826">
            <v>7925</v>
          </cell>
          <cell r="K1826">
            <v>7125</v>
          </cell>
          <cell r="L1826">
            <v>7475</v>
          </cell>
          <cell r="M1826">
            <v>10425</v>
          </cell>
          <cell r="N1826">
            <v>6925</v>
          </cell>
          <cell r="O1826">
            <v>117000</v>
          </cell>
        </row>
        <row r="1827">
          <cell r="A1827" t="str">
            <v>6401000</v>
          </cell>
          <cell r="B1827" t="str">
            <v>Mat &amp; Supp - Inventory Issue</v>
          </cell>
          <cell r="C1827">
            <v>332671.56115919998</v>
          </cell>
          <cell r="D1827">
            <v>401486.35715920001</v>
          </cell>
          <cell r="E1827">
            <v>394072.98115920002</v>
          </cell>
          <cell r="F1827">
            <v>381214.9611592</v>
          </cell>
          <cell r="G1827">
            <v>356675.9611592</v>
          </cell>
          <cell r="H1827">
            <v>347861.56115919998</v>
          </cell>
          <cell r="I1827">
            <v>342861.56115919998</v>
          </cell>
          <cell r="J1827">
            <v>350565.64915920002</v>
          </cell>
          <cell r="K1827">
            <v>395306.75515919999</v>
          </cell>
          <cell r="L1827">
            <v>402125.16115920001</v>
          </cell>
          <cell r="M1827">
            <v>407137.26115919999</v>
          </cell>
          <cell r="N1827">
            <v>403230.66515920003</v>
          </cell>
          <cell r="O1827">
            <v>4515210.4359104</v>
          </cell>
        </row>
        <row r="1828">
          <cell r="A1828" t="str">
            <v>6401100</v>
          </cell>
          <cell r="B1828" t="str">
            <v>Physical Inventory Differences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</row>
        <row r="1829">
          <cell r="A1829" t="str">
            <v>6401200</v>
          </cell>
          <cell r="B1829" t="str">
            <v>Materials Price Differences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</row>
        <row r="1830">
          <cell r="A1830" t="str">
            <v>6401300</v>
          </cell>
          <cell r="B1830" t="str">
            <v>Re-Stock Salvage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</row>
        <row r="1831">
          <cell r="A1831" t="str">
            <v>6408999</v>
          </cell>
          <cell r="B1831" t="str">
            <v>Materials &amp; Supplies Expense Reclass</v>
          </cell>
          <cell r="C1831">
            <v>-1223.8335651</v>
          </cell>
          <cell r="D1831">
            <v>3073.6840456999998</v>
          </cell>
          <cell r="E1831">
            <v>3462.4042316</v>
          </cell>
          <cell r="F1831">
            <v>3433.1172661000001</v>
          </cell>
          <cell r="G1831">
            <v>2673.1844602000001</v>
          </cell>
          <cell r="H1831">
            <v>3303.3823373</v>
          </cell>
          <cell r="I1831">
            <v>-491.54755829999999</v>
          </cell>
          <cell r="J1831">
            <v>2304.0966069000001</v>
          </cell>
          <cell r="K1831">
            <v>-644.67975269999999</v>
          </cell>
          <cell r="L1831">
            <v>2196.1187774999999</v>
          </cell>
          <cell r="M1831">
            <v>1075.1125849</v>
          </cell>
          <cell r="N1831">
            <v>2410.1112030999998</v>
          </cell>
          <cell r="O1831">
            <v>21571.1506372</v>
          </cell>
        </row>
        <row r="1832">
          <cell r="A1832" t="str">
            <v>6409000</v>
          </cell>
          <cell r="B1832" t="str">
            <v>Materials &amp; Supplies Expense sent to Balance Sheet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</row>
        <row r="1833">
          <cell r="A1833" t="str">
            <v>6500010</v>
          </cell>
          <cell r="B1833" t="str">
            <v>Transportation - Vehicle expense</v>
          </cell>
          <cell r="C1833">
            <v>17810.2</v>
          </cell>
          <cell r="D1833">
            <v>17685.2</v>
          </cell>
          <cell r="E1833">
            <v>17765.2</v>
          </cell>
          <cell r="F1833">
            <v>17810.2</v>
          </cell>
          <cell r="G1833">
            <v>17840.2</v>
          </cell>
          <cell r="H1833">
            <v>17635.2</v>
          </cell>
          <cell r="I1833">
            <v>17760.2</v>
          </cell>
          <cell r="J1833">
            <v>17815.2</v>
          </cell>
          <cell r="K1833">
            <v>17685.2</v>
          </cell>
          <cell r="L1833">
            <v>17760.2</v>
          </cell>
          <cell r="M1833">
            <v>17740.2</v>
          </cell>
          <cell r="N1833">
            <v>18891.16</v>
          </cell>
          <cell r="O1833">
            <v>214198.36000000004</v>
          </cell>
        </row>
        <row r="1834">
          <cell r="A1834" t="str">
            <v>6500015</v>
          </cell>
          <cell r="B1834" t="str">
            <v>Transportation - Vehicle Gas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</row>
        <row r="1835">
          <cell r="A1835" t="str">
            <v>6500020</v>
          </cell>
          <cell r="B1835" t="str">
            <v>Transportation - Trailers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</row>
        <row r="1836">
          <cell r="A1836" t="str">
            <v>6500030</v>
          </cell>
          <cell r="B1836" t="str">
            <v>Transportation - Off-Road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</row>
        <row r="1837">
          <cell r="A1837" t="str">
            <v>6500040</v>
          </cell>
          <cell r="B1837" t="str">
            <v>Transportation - Coal Handling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</row>
        <row r="1838">
          <cell r="A1838" t="str">
            <v>6500050</v>
          </cell>
          <cell r="B1838" t="str">
            <v>Transportation - Personnel Transport</v>
          </cell>
          <cell r="C1838">
            <v>1533</v>
          </cell>
          <cell r="D1838">
            <v>1533</v>
          </cell>
          <cell r="E1838">
            <v>1533</v>
          </cell>
          <cell r="F1838">
            <v>1533</v>
          </cell>
          <cell r="G1838">
            <v>1533</v>
          </cell>
          <cell r="H1838">
            <v>1533</v>
          </cell>
          <cell r="I1838">
            <v>1533</v>
          </cell>
          <cell r="J1838">
            <v>1533</v>
          </cell>
          <cell r="K1838">
            <v>1533</v>
          </cell>
          <cell r="L1838">
            <v>1533</v>
          </cell>
          <cell r="M1838">
            <v>1533</v>
          </cell>
          <cell r="N1838">
            <v>1533</v>
          </cell>
          <cell r="O1838">
            <v>18396</v>
          </cell>
        </row>
        <row r="1839">
          <cell r="A1839" t="str">
            <v>6500810</v>
          </cell>
          <cell r="B1839" t="str">
            <v>Transportation - Vehicle Depreciation Other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</row>
        <row r="1840">
          <cell r="A1840" t="str">
            <v>6508999</v>
          </cell>
          <cell r="B1840" t="str">
            <v>Transportation Expense Reclass</v>
          </cell>
          <cell r="C1840">
            <v>-6152.7730433999996</v>
          </cell>
          <cell r="D1840">
            <v>-3973.5841224000001</v>
          </cell>
          <cell r="E1840">
            <v>-3196.1437507000001</v>
          </cell>
          <cell r="F1840">
            <v>-3262.8936816</v>
          </cell>
          <cell r="G1840">
            <v>-4774.5832934</v>
          </cell>
          <cell r="H1840">
            <v>-3514.1875390999999</v>
          </cell>
          <cell r="I1840">
            <v>-11104.0473303</v>
          </cell>
          <cell r="J1840">
            <v>-5512.7589999000002</v>
          </cell>
          <cell r="K1840">
            <v>-11410.311719200001</v>
          </cell>
          <cell r="L1840">
            <v>-5728.7146586999997</v>
          </cell>
          <cell r="M1840">
            <v>-7970.7270440000002</v>
          </cell>
          <cell r="N1840">
            <v>-5300.7298075999997</v>
          </cell>
          <cell r="O1840">
            <v>-71901.454990300001</v>
          </cell>
        </row>
        <row r="1841">
          <cell r="A1841" t="str">
            <v>6509000</v>
          </cell>
          <cell r="B1841" t="str">
            <v>Transportation Expense sent to Balance Sheet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</row>
        <row r="1842">
          <cell r="A1842" t="str">
            <v>6700400</v>
          </cell>
          <cell r="B1842" t="str">
            <v>Insurance - FPSC Storm Reserve Expense Accrual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</row>
        <row r="1843">
          <cell r="A1843" t="str">
            <v>6700500</v>
          </cell>
          <cell r="B1843" t="str">
            <v>Insurance - Automobile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</row>
        <row r="1844">
          <cell r="A1844" t="str">
            <v>6700501</v>
          </cell>
          <cell r="B1844" t="str">
            <v>Insurance - Blanket Accident</v>
          </cell>
          <cell r="C1844">
            <v>40.69</v>
          </cell>
          <cell r="D1844">
            <v>40.69</v>
          </cell>
          <cell r="E1844">
            <v>40.69</v>
          </cell>
          <cell r="F1844">
            <v>40.69</v>
          </cell>
          <cell r="G1844">
            <v>40.69</v>
          </cell>
          <cell r="H1844">
            <v>40.69</v>
          </cell>
          <cell r="I1844">
            <v>40.69</v>
          </cell>
          <cell r="J1844">
            <v>40.69</v>
          </cell>
          <cell r="K1844">
            <v>40.69</v>
          </cell>
          <cell r="L1844">
            <v>40.69</v>
          </cell>
          <cell r="M1844">
            <v>40.69</v>
          </cell>
          <cell r="N1844">
            <v>40.69</v>
          </cell>
          <cell r="O1844">
            <v>488.28</v>
          </cell>
        </row>
        <row r="1845">
          <cell r="A1845" t="str">
            <v>6700502</v>
          </cell>
          <cell r="B1845" t="str">
            <v>Insurance - Brokerage Fees</v>
          </cell>
          <cell r="C1845">
            <v>6137.91</v>
          </cell>
          <cell r="D1845">
            <v>6137.91</v>
          </cell>
          <cell r="E1845">
            <v>6137.91</v>
          </cell>
          <cell r="F1845">
            <v>6137.91</v>
          </cell>
          <cell r="G1845">
            <v>6137.91</v>
          </cell>
          <cell r="H1845">
            <v>6137.91</v>
          </cell>
          <cell r="I1845">
            <v>6137.91</v>
          </cell>
          <cell r="J1845">
            <v>6137.91</v>
          </cell>
          <cell r="K1845">
            <v>6137.91</v>
          </cell>
          <cell r="L1845">
            <v>6137.91</v>
          </cell>
          <cell r="M1845">
            <v>6137.91</v>
          </cell>
          <cell r="N1845">
            <v>437294.64</v>
          </cell>
          <cell r="O1845">
            <v>504811.65</v>
          </cell>
        </row>
        <row r="1846">
          <cell r="A1846" t="str">
            <v>6700503</v>
          </cell>
          <cell r="B1846" t="str">
            <v>Insurance - Crime &amp; Fidelity</v>
          </cell>
          <cell r="C1846">
            <v>2418.5700000000002</v>
          </cell>
          <cell r="D1846">
            <v>2418.59</v>
          </cell>
          <cell r="E1846">
            <v>2418.59</v>
          </cell>
          <cell r="F1846">
            <v>2418.59</v>
          </cell>
          <cell r="G1846">
            <v>2418.59</v>
          </cell>
          <cell r="H1846">
            <v>2418.59</v>
          </cell>
          <cell r="I1846">
            <v>2418.59</v>
          </cell>
          <cell r="J1846">
            <v>2418.59</v>
          </cell>
          <cell r="K1846">
            <v>2418.59</v>
          </cell>
          <cell r="L1846">
            <v>2418.59</v>
          </cell>
          <cell r="M1846">
            <v>2418.59</v>
          </cell>
          <cell r="N1846">
            <v>2418.59</v>
          </cell>
          <cell r="O1846">
            <v>29023.06</v>
          </cell>
        </row>
        <row r="1847">
          <cell r="A1847" t="str">
            <v>6700504</v>
          </cell>
          <cell r="B1847" t="str">
            <v>Insurance - Directors &amp; Officers</v>
          </cell>
          <cell r="C1847">
            <v>26975.57</v>
          </cell>
          <cell r="D1847">
            <v>26975.53</v>
          </cell>
          <cell r="E1847">
            <v>26975.53</v>
          </cell>
          <cell r="F1847">
            <v>26975.53</v>
          </cell>
          <cell r="G1847">
            <v>26975.53</v>
          </cell>
          <cell r="H1847">
            <v>26975.53</v>
          </cell>
          <cell r="I1847">
            <v>26975.53</v>
          </cell>
          <cell r="J1847">
            <v>26975.53</v>
          </cell>
          <cell r="K1847">
            <v>26975.53</v>
          </cell>
          <cell r="L1847">
            <v>26975.53</v>
          </cell>
          <cell r="M1847">
            <v>26975.53</v>
          </cell>
          <cell r="N1847">
            <v>26975.53</v>
          </cell>
          <cell r="O1847">
            <v>323706.40000000002</v>
          </cell>
        </row>
        <row r="1848">
          <cell r="A1848" t="str">
            <v>6700505</v>
          </cell>
          <cell r="B1848" t="str">
            <v>Insurance - Errors and Omissions</v>
          </cell>
          <cell r="C1848">
            <v>3900.99</v>
          </cell>
          <cell r="D1848">
            <v>3900.99</v>
          </cell>
          <cell r="E1848">
            <v>3900.99</v>
          </cell>
          <cell r="F1848">
            <v>3900.99</v>
          </cell>
          <cell r="G1848">
            <v>3900.99</v>
          </cell>
          <cell r="H1848">
            <v>3900.99</v>
          </cell>
          <cell r="I1848">
            <v>3900.99</v>
          </cell>
          <cell r="J1848">
            <v>3900.99</v>
          </cell>
          <cell r="K1848">
            <v>3900.99</v>
          </cell>
          <cell r="L1848">
            <v>3900.99</v>
          </cell>
          <cell r="M1848">
            <v>3900.99</v>
          </cell>
          <cell r="N1848">
            <v>3900.99</v>
          </cell>
          <cell r="O1848">
            <v>46811.879999999983</v>
          </cell>
        </row>
        <row r="1849">
          <cell r="A1849" t="str">
            <v>6700506</v>
          </cell>
          <cell r="B1849" t="str">
            <v>Insurance - Excess Automobile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</row>
        <row r="1850">
          <cell r="A1850" t="str">
            <v>6700507</v>
          </cell>
          <cell r="B1850" t="str">
            <v>Insurance - Excess General Liability</v>
          </cell>
          <cell r="C1850">
            <v>845703.49</v>
          </cell>
          <cell r="D1850">
            <v>845703.49</v>
          </cell>
          <cell r="E1850">
            <v>845703.49</v>
          </cell>
          <cell r="F1850">
            <v>845703.49</v>
          </cell>
          <cell r="G1850">
            <v>845703.49</v>
          </cell>
          <cell r="H1850">
            <v>1050141.8400000001</v>
          </cell>
          <cell r="I1850">
            <v>1050141.78</v>
          </cell>
          <cell r="J1850">
            <v>1050141.78</v>
          </cell>
          <cell r="K1850">
            <v>1050141.78</v>
          </cell>
          <cell r="L1850">
            <v>1050141.78</v>
          </cell>
          <cell r="M1850">
            <v>1050141.78</v>
          </cell>
          <cell r="N1850">
            <v>1050141.78</v>
          </cell>
          <cell r="O1850">
            <v>11579509.969999999</v>
          </cell>
        </row>
        <row r="1851">
          <cell r="A1851" t="str">
            <v>6700508</v>
          </cell>
          <cell r="B1851" t="str">
            <v>Insurance - Fiduciary</v>
          </cell>
          <cell r="C1851">
            <v>3235.36</v>
          </cell>
          <cell r="D1851">
            <v>3235.33</v>
          </cell>
          <cell r="E1851">
            <v>3235.33</v>
          </cell>
          <cell r="F1851">
            <v>3235.33</v>
          </cell>
          <cell r="G1851">
            <v>3235.33</v>
          </cell>
          <cell r="H1851">
            <v>3235.33</v>
          </cell>
          <cell r="I1851">
            <v>3235.33</v>
          </cell>
          <cell r="J1851">
            <v>3235.33</v>
          </cell>
          <cell r="K1851">
            <v>3235.33</v>
          </cell>
          <cell r="L1851">
            <v>3235.33</v>
          </cell>
          <cell r="M1851">
            <v>3235.33</v>
          </cell>
          <cell r="N1851">
            <v>3235.33</v>
          </cell>
          <cell r="O1851">
            <v>38823.990000000013</v>
          </cell>
        </row>
        <row r="1852">
          <cell r="A1852" t="str">
            <v>6700509</v>
          </cell>
          <cell r="B1852" t="str">
            <v>Insurance - I&amp;D Reserves</v>
          </cell>
          <cell r="C1852">
            <v>324084.75</v>
          </cell>
          <cell r="D1852">
            <v>324084.75</v>
          </cell>
          <cell r="E1852">
            <v>324084.75</v>
          </cell>
          <cell r="F1852">
            <v>324084.75</v>
          </cell>
          <cell r="G1852">
            <v>324084.75</v>
          </cell>
          <cell r="H1852">
            <v>324084.75</v>
          </cell>
          <cell r="I1852">
            <v>324084.75</v>
          </cell>
          <cell r="J1852">
            <v>324084.75</v>
          </cell>
          <cell r="K1852">
            <v>324084.75</v>
          </cell>
          <cell r="L1852">
            <v>324084.75</v>
          </cell>
          <cell r="M1852">
            <v>324084.75</v>
          </cell>
          <cell r="N1852">
            <v>324084.75</v>
          </cell>
          <cell r="O1852">
            <v>3889017</v>
          </cell>
        </row>
        <row r="1853">
          <cell r="A1853" t="str">
            <v>6700510</v>
          </cell>
          <cell r="B1853" t="str">
            <v>Insurance - Longshoremen's Compensation</v>
          </cell>
          <cell r="C1853">
            <v>1716.6666667</v>
          </cell>
          <cell r="D1853">
            <v>1716.6666667</v>
          </cell>
          <cell r="E1853">
            <v>1716.6666667</v>
          </cell>
          <cell r="F1853">
            <v>1716.6666667</v>
          </cell>
          <cell r="G1853">
            <v>1716.6666667</v>
          </cell>
          <cell r="H1853">
            <v>1716.6666667</v>
          </cell>
          <cell r="I1853">
            <v>1716.6666667</v>
          </cell>
          <cell r="J1853">
            <v>1716.6666667</v>
          </cell>
          <cell r="K1853">
            <v>1716.6666667</v>
          </cell>
          <cell r="L1853">
            <v>1716.6666667</v>
          </cell>
          <cell r="M1853">
            <v>1716.6666667</v>
          </cell>
          <cell r="N1853">
            <v>1716.6666667</v>
          </cell>
          <cell r="O1853">
            <v>20600.000000399992</v>
          </cell>
        </row>
        <row r="1854">
          <cell r="A1854" t="str">
            <v>6700511</v>
          </cell>
          <cell r="B1854" t="str">
            <v>Insurance - Mobile Equipment Rental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</row>
        <row r="1855">
          <cell r="A1855" t="str">
            <v>6700512</v>
          </cell>
          <cell r="B1855" t="str">
            <v>Insurance - Political Risk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</row>
        <row r="1856">
          <cell r="A1856" t="str">
            <v>6700513</v>
          </cell>
          <cell r="B1856" t="str">
            <v>Insurance - Practices Liability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</row>
        <row r="1857">
          <cell r="A1857" t="str">
            <v>6700514</v>
          </cell>
          <cell r="B1857" t="str">
            <v>Insurance - Property</v>
          </cell>
          <cell r="C1857">
            <v>827272.22</v>
          </cell>
          <cell r="D1857">
            <v>827272.22</v>
          </cell>
          <cell r="E1857">
            <v>1185962.3600000001</v>
          </cell>
          <cell r="F1857">
            <v>1185962.3899999999</v>
          </cell>
          <cell r="G1857">
            <v>1185962.3899999999</v>
          </cell>
          <cell r="H1857">
            <v>1185962.3899999999</v>
          </cell>
          <cell r="I1857">
            <v>1185962.3899999999</v>
          </cell>
          <cell r="J1857">
            <v>1185962.3899999999</v>
          </cell>
          <cell r="K1857">
            <v>1186556.46</v>
          </cell>
          <cell r="L1857">
            <v>1186556.46</v>
          </cell>
          <cell r="M1857">
            <v>1186556.46</v>
          </cell>
          <cell r="N1857">
            <v>1186556.46</v>
          </cell>
          <cell r="O1857">
            <v>13516544.59</v>
          </cell>
        </row>
        <row r="1858">
          <cell r="A1858" t="str">
            <v>6700515</v>
          </cell>
          <cell r="B1858" t="str">
            <v>Insurance - Punitive Damages</v>
          </cell>
          <cell r="C1858">
            <v>20612.830000000002</v>
          </cell>
          <cell r="D1858">
            <v>20612.830000000002</v>
          </cell>
          <cell r="E1858">
            <v>20612.830000000002</v>
          </cell>
          <cell r="F1858">
            <v>20612.830000000002</v>
          </cell>
          <cell r="G1858">
            <v>20612.830000000002</v>
          </cell>
          <cell r="H1858">
            <v>27426.240000000002</v>
          </cell>
          <cell r="I1858">
            <v>27426.25</v>
          </cell>
          <cell r="J1858">
            <v>27426.25</v>
          </cell>
          <cell r="K1858">
            <v>27426.25</v>
          </cell>
          <cell r="L1858">
            <v>27426.25</v>
          </cell>
          <cell r="M1858">
            <v>27426.25</v>
          </cell>
          <cell r="N1858">
            <v>27426.23</v>
          </cell>
          <cell r="O1858">
            <v>295047.87</v>
          </cell>
        </row>
        <row r="1859">
          <cell r="A1859" t="str">
            <v>6700516</v>
          </cell>
          <cell r="B1859" t="str">
            <v>Insurance - Special Risk</v>
          </cell>
          <cell r="C1859">
            <v>1346.54</v>
          </cell>
          <cell r="D1859">
            <v>1346.54</v>
          </cell>
          <cell r="E1859">
            <v>1346.54</v>
          </cell>
          <cell r="F1859">
            <v>1346.54</v>
          </cell>
          <cell r="G1859">
            <v>1346.54</v>
          </cell>
          <cell r="H1859">
            <v>1346.54</v>
          </cell>
          <cell r="I1859">
            <v>1346.54</v>
          </cell>
          <cell r="J1859">
            <v>1346.54</v>
          </cell>
          <cell r="K1859">
            <v>1346.54</v>
          </cell>
          <cell r="L1859">
            <v>1346.54</v>
          </cell>
          <cell r="M1859">
            <v>1346.54</v>
          </cell>
          <cell r="N1859">
            <v>1346.54</v>
          </cell>
          <cell r="O1859">
            <v>16158.480000000003</v>
          </cell>
        </row>
        <row r="1860">
          <cell r="A1860" t="str">
            <v>6700517</v>
          </cell>
          <cell r="B1860" t="str">
            <v>Insurance - Surety Bonds</v>
          </cell>
          <cell r="C1860">
            <v>202.2</v>
          </cell>
          <cell r="D1860">
            <v>202.2</v>
          </cell>
          <cell r="E1860">
            <v>202.2</v>
          </cell>
          <cell r="F1860">
            <v>202.2</v>
          </cell>
          <cell r="G1860">
            <v>202.2</v>
          </cell>
          <cell r="H1860">
            <v>202.2</v>
          </cell>
          <cell r="I1860">
            <v>202.2</v>
          </cell>
          <cell r="J1860">
            <v>202.2</v>
          </cell>
          <cell r="K1860">
            <v>202.2</v>
          </cell>
          <cell r="L1860">
            <v>202.2</v>
          </cell>
          <cell r="M1860">
            <v>202.2</v>
          </cell>
          <cell r="N1860">
            <v>202.2</v>
          </cell>
          <cell r="O1860">
            <v>2426.4</v>
          </cell>
        </row>
        <row r="1861">
          <cell r="A1861" t="str">
            <v>6700518</v>
          </cell>
          <cell r="B1861" t="str">
            <v>Insurance - Travel Accident</v>
          </cell>
          <cell r="C1861">
            <v>237.75</v>
          </cell>
          <cell r="D1861">
            <v>237.75</v>
          </cell>
          <cell r="E1861">
            <v>237.75</v>
          </cell>
          <cell r="F1861">
            <v>237.75</v>
          </cell>
          <cell r="G1861">
            <v>237.75</v>
          </cell>
          <cell r="H1861">
            <v>237.75</v>
          </cell>
          <cell r="I1861">
            <v>237.75</v>
          </cell>
          <cell r="J1861">
            <v>237.75</v>
          </cell>
          <cell r="K1861">
            <v>237.75</v>
          </cell>
          <cell r="L1861">
            <v>237.75</v>
          </cell>
          <cell r="M1861">
            <v>237.75</v>
          </cell>
          <cell r="N1861">
            <v>237.75</v>
          </cell>
          <cell r="O1861">
            <v>2853</v>
          </cell>
        </row>
        <row r="1862">
          <cell r="A1862" t="str">
            <v>6700519</v>
          </cell>
          <cell r="B1862" t="str">
            <v>Insurance - Workers Compensation - Excess</v>
          </cell>
          <cell r="C1862">
            <v>39451.231666699998</v>
          </cell>
          <cell r="D1862">
            <v>39451.231666699998</v>
          </cell>
          <cell r="E1862">
            <v>39451.231666699998</v>
          </cell>
          <cell r="F1862">
            <v>39451.231666699998</v>
          </cell>
          <cell r="G1862">
            <v>39451.231666699998</v>
          </cell>
          <cell r="H1862">
            <v>39451.231666699998</v>
          </cell>
          <cell r="I1862">
            <v>39451.231666699998</v>
          </cell>
          <cell r="J1862">
            <v>39451.231666699998</v>
          </cell>
          <cell r="K1862">
            <v>39451.231666699998</v>
          </cell>
          <cell r="L1862">
            <v>39451.231666699998</v>
          </cell>
          <cell r="M1862">
            <v>39451.231666699998</v>
          </cell>
          <cell r="N1862">
            <v>39451.231666699998</v>
          </cell>
          <cell r="O1862">
            <v>473414.78000039986</v>
          </cell>
        </row>
        <row r="1863">
          <cell r="A1863" t="str">
            <v>6700520</v>
          </cell>
          <cell r="B1863" t="str">
            <v>Insurance - Workers Compensation - States</v>
          </cell>
          <cell r="C1863">
            <v>7982.5</v>
          </cell>
          <cell r="D1863">
            <v>7982.5</v>
          </cell>
          <cell r="E1863">
            <v>7982.5</v>
          </cell>
          <cell r="F1863">
            <v>7982.5</v>
          </cell>
          <cell r="G1863">
            <v>7982.5</v>
          </cell>
          <cell r="H1863">
            <v>7982.5</v>
          </cell>
          <cell r="I1863">
            <v>7982.5</v>
          </cell>
          <cell r="J1863">
            <v>7982.5</v>
          </cell>
          <cell r="K1863">
            <v>7982.5</v>
          </cell>
          <cell r="L1863">
            <v>7982.5</v>
          </cell>
          <cell r="M1863">
            <v>7982.5</v>
          </cell>
          <cell r="N1863">
            <v>7982.5</v>
          </cell>
          <cell r="O1863">
            <v>95790</v>
          </cell>
        </row>
        <row r="1864">
          <cell r="A1864" t="str">
            <v>6700599</v>
          </cell>
          <cell r="B1864" t="str">
            <v>Insurance - Other</v>
          </cell>
          <cell r="C1864">
            <v>28342.0116667</v>
          </cell>
          <cell r="D1864">
            <v>28342.071666700002</v>
          </cell>
          <cell r="E1864">
            <v>28342.071666700002</v>
          </cell>
          <cell r="F1864">
            <v>28342.071666700002</v>
          </cell>
          <cell r="G1864">
            <v>28425.1516667</v>
          </cell>
          <cell r="H1864">
            <v>28425.1516667</v>
          </cell>
          <cell r="I1864">
            <v>28425.1516667</v>
          </cell>
          <cell r="J1864">
            <v>34377.971666700003</v>
          </cell>
          <cell r="K1864">
            <v>34377.9916667</v>
          </cell>
          <cell r="L1864">
            <v>34377.9916667</v>
          </cell>
          <cell r="M1864">
            <v>34377.9916667</v>
          </cell>
          <cell r="N1864">
            <v>34377.961666700001</v>
          </cell>
          <cell r="O1864">
            <v>370533.59000040003</v>
          </cell>
        </row>
        <row r="1865">
          <cell r="A1865" t="str">
            <v>6709000</v>
          </cell>
          <cell r="B1865" t="str">
            <v>Insurance Expense sent to Balance Sheet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</row>
        <row r="1866">
          <cell r="A1866" t="str">
            <v>6710020</v>
          </cell>
          <cell r="B1866" t="str">
            <v>Rent - Non-Office Equipment</v>
          </cell>
          <cell r="C1866">
            <v>100</v>
          </cell>
          <cell r="D1866">
            <v>100</v>
          </cell>
          <cell r="E1866">
            <v>100</v>
          </cell>
          <cell r="F1866">
            <v>100</v>
          </cell>
          <cell r="G1866">
            <v>100</v>
          </cell>
          <cell r="H1866">
            <v>33100</v>
          </cell>
          <cell r="I1866">
            <v>100</v>
          </cell>
          <cell r="J1866">
            <v>100</v>
          </cell>
          <cell r="K1866">
            <v>16600</v>
          </cell>
          <cell r="L1866">
            <v>100</v>
          </cell>
          <cell r="M1866">
            <v>100</v>
          </cell>
          <cell r="N1866">
            <v>100</v>
          </cell>
          <cell r="O1866">
            <v>50700</v>
          </cell>
        </row>
        <row r="1867">
          <cell r="A1867" t="str">
            <v>6710030</v>
          </cell>
          <cell r="B1867" t="str">
            <v>Rent - Office Equipment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</row>
        <row r="1868">
          <cell r="A1868" t="str">
            <v>6710040</v>
          </cell>
          <cell r="B1868" t="str">
            <v>Rent - Office Space</v>
          </cell>
          <cell r="C1868">
            <v>-272673</v>
          </cell>
          <cell r="D1868">
            <v>-272673</v>
          </cell>
          <cell r="E1868">
            <v>-272673</v>
          </cell>
          <cell r="F1868">
            <v>-272673</v>
          </cell>
          <cell r="G1868">
            <v>-272673</v>
          </cell>
          <cell r="H1868">
            <v>-272673</v>
          </cell>
          <cell r="I1868">
            <v>-272673</v>
          </cell>
          <cell r="J1868">
            <v>-272673</v>
          </cell>
          <cell r="K1868">
            <v>-272673</v>
          </cell>
          <cell r="L1868">
            <v>-272673</v>
          </cell>
          <cell r="M1868">
            <v>-272673</v>
          </cell>
          <cell r="N1868">
            <v>-272673</v>
          </cell>
          <cell r="O1868">
            <v>-3272076</v>
          </cell>
        </row>
        <row r="1869">
          <cell r="A1869" t="str">
            <v>6710050</v>
          </cell>
          <cell r="B1869" t="str">
            <v>Rent - Right of way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</row>
        <row r="1870">
          <cell r="A1870" t="str">
            <v>6710060</v>
          </cell>
          <cell r="B1870" t="str">
            <v>Rent - Vehicle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</row>
        <row r="1871">
          <cell r="A1871" t="str">
            <v>6710700</v>
          </cell>
          <cell r="B1871" t="str">
            <v>Rent - Intercompany</v>
          </cell>
          <cell r="C1871">
            <v>272836</v>
          </cell>
          <cell r="D1871">
            <v>272836</v>
          </cell>
          <cell r="E1871">
            <v>272836</v>
          </cell>
          <cell r="F1871">
            <v>272836</v>
          </cell>
          <cell r="G1871">
            <v>272836</v>
          </cell>
          <cell r="H1871">
            <v>272836</v>
          </cell>
          <cell r="I1871">
            <v>272836</v>
          </cell>
          <cell r="J1871">
            <v>272836</v>
          </cell>
          <cell r="K1871">
            <v>272836</v>
          </cell>
          <cell r="L1871">
            <v>272836</v>
          </cell>
          <cell r="M1871">
            <v>272836</v>
          </cell>
          <cell r="N1871">
            <v>272836</v>
          </cell>
          <cell r="O1871">
            <v>3274032</v>
          </cell>
        </row>
        <row r="1872">
          <cell r="A1872" t="str">
            <v>6710800</v>
          </cell>
          <cell r="B1872" t="str">
            <v>Rent - Other</v>
          </cell>
          <cell r="C1872">
            <v>31658.62874</v>
          </cell>
          <cell r="D1872">
            <v>31657.606739999999</v>
          </cell>
          <cell r="E1872">
            <v>31657.606739999999</v>
          </cell>
          <cell r="F1872">
            <v>31657.606739999999</v>
          </cell>
          <cell r="G1872">
            <v>31657.606739999999</v>
          </cell>
          <cell r="H1872">
            <v>31657.606739999999</v>
          </cell>
          <cell r="I1872">
            <v>31657.606739999999</v>
          </cell>
          <cell r="J1872">
            <v>31657.606739999999</v>
          </cell>
          <cell r="K1872">
            <v>31657.606739999999</v>
          </cell>
          <cell r="L1872">
            <v>31657.606739999999</v>
          </cell>
          <cell r="M1872">
            <v>31657.606739999999</v>
          </cell>
          <cell r="N1872">
            <v>31657.606739999999</v>
          </cell>
          <cell r="O1872">
            <v>379892.30288000003</v>
          </cell>
        </row>
        <row r="1873">
          <cell r="A1873" t="str">
            <v>6719000</v>
          </cell>
          <cell r="B1873" t="str">
            <v>Rent Expense sent to Balance Sheet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</row>
        <row r="1874">
          <cell r="A1874" t="str">
            <v>6720010</v>
          </cell>
          <cell r="B1874" t="str">
            <v>Lease - Building</v>
          </cell>
          <cell r="C1874">
            <v>118529</v>
          </cell>
          <cell r="D1874">
            <v>118529</v>
          </cell>
          <cell r="E1874">
            <v>118529</v>
          </cell>
          <cell r="F1874">
            <v>118529</v>
          </cell>
          <cell r="G1874">
            <v>118529</v>
          </cell>
          <cell r="H1874">
            <v>118529</v>
          </cell>
          <cell r="I1874">
            <v>118529</v>
          </cell>
          <cell r="J1874">
            <v>118529</v>
          </cell>
          <cell r="K1874">
            <v>118529</v>
          </cell>
          <cell r="L1874">
            <v>118529</v>
          </cell>
          <cell r="M1874">
            <v>118529</v>
          </cell>
          <cell r="N1874">
            <v>118529</v>
          </cell>
          <cell r="O1874">
            <v>1422348</v>
          </cell>
        </row>
        <row r="1875">
          <cell r="A1875" t="str">
            <v>6720020</v>
          </cell>
          <cell r="B1875" t="str">
            <v>Lease - Non-Office Equipment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</row>
        <row r="1876">
          <cell r="A1876" t="str">
            <v>6720030</v>
          </cell>
          <cell r="B1876" t="str">
            <v>Lease - Office Equipment</v>
          </cell>
          <cell r="C1876">
            <v>1.022</v>
          </cell>
          <cell r="D1876">
            <v>4292.3999999999996</v>
          </cell>
          <cell r="E1876">
            <v>0</v>
          </cell>
          <cell r="F1876">
            <v>0</v>
          </cell>
          <cell r="G1876">
            <v>0</v>
          </cell>
          <cell r="H1876">
            <v>4292.3999999999996</v>
          </cell>
          <cell r="I1876">
            <v>0</v>
          </cell>
          <cell r="J1876">
            <v>0</v>
          </cell>
          <cell r="K1876">
            <v>4292.3999999999996</v>
          </cell>
          <cell r="L1876">
            <v>0</v>
          </cell>
          <cell r="M1876">
            <v>0</v>
          </cell>
          <cell r="N1876">
            <v>4510.8</v>
          </cell>
          <cell r="O1876">
            <v>17389.022000000001</v>
          </cell>
        </row>
        <row r="1877">
          <cell r="A1877" t="str">
            <v>6720040</v>
          </cell>
          <cell r="B1877" t="str">
            <v>Lease - Port Services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</row>
        <row r="1878">
          <cell r="A1878" t="str">
            <v>6720050</v>
          </cell>
          <cell r="B1878" t="str">
            <v>Lease - Vehicle</v>
          </cell>
          <cell r="C1878">
            <v>16227.2</v>
          </cell>
          <cell r="D1878">
            <v>16227.2</v>
          </cell>
          <cell r="E1878">
            <v>18377.2</v>
          </cell>
          <cell r="F1878">
            <v>18377.2</v>
          </cell>
          <cell r="G1878">
            <v>17947.2</v>
          </cell>
          <cell r="H1878">
            <v>18162.2</v>
          </cell>
          <cell r="I1878">
            <v>17732.2</v>
          </cell>
          <cell r="J1878">
            <v>18377.2</v>
          </cell>
          <cell r="K1878">
            <v>17947.2</v>
          </cell>
          <cell r="L1878">
            <v>18807.2</v>
          </cell>
          <cell r="M1878">
            <v>18807.2</v>
          </cell>
          <cell r="N1878">
            <v>19237.2</v>
          </cell>
          <cell r="O1878">
            <v>216226.40000000005</v>
          </cell>
        </row>
        <row r="1879">
          <cell r="A1879">
            <v>6720060</v>
          </cell>
          <cell r="B1879" t="str">
            <v>Lease - Variable Lease</v>
          </cell>
          <cell r="C1879">
            <v>10536</v>
          </cell>
          <cell r="D1879">
            <v>10536</v>
          </cell>
          <cell r="E1879">
            <v>10536</v>
          </cell>
          <cell r="F1879">
            <v>10536</v>
          </cell>
          <cell r="G1879">
            <v>10536</v>
          </cell>
          <cell r="H1879">
            <v>10536</v>
          </cell>
          <cell r="I1879">
            <v>10536</v>
          </cell>
          <cell r="J1879">
            <v>10536</v>
          </cell>
          <cell r="K1879">
            <v>10536</v>
          </cell>
          <cell r="L1879">
            <v>10536</v>
          </cell>
          <cell r="M1879">
            <v>10536</v>
          </cell>
          <cell r="N1879">
            <v>10536</v>
          </cell>
          <cell r="O1879">
            <v>126432</v>
          </cell>
        </row>
        <row r="1880">
          <cell r="A1880" t="str">
            <v>6720800</v>
          </cell>
          <cell r="B1880" t="str">
            <v>Lease - Other</v>
          </cell>
          <cell r="C1880">
            <v>48896.4</v>
          </cell>
          <cell r="D1880">
            <v>13370.4</v>
          </cell>
          <cell r="E1880">
            <v>13370.4</v>
          </cell>
          <cell r="F1880">
            <v>13370.4</v>
          </cell>
          <cell r="G1880">
            <v>13370.4</v>
          </cell>
          <cell r="H1880">
            <v>13370.4</v>
          </cell>
          <cell r="I1880">
            <v>13370.4</v>
          </cell>
          <cell r="J1880">
            <v>13370.4</v>
          </cell>
          <cell r="K1880">
            <v>13370.4</v>
          </cell>
          <cell r="L1880">
            <v>13370.4</v>
          </cell>
          <cell r="M1880">
            <v>13370.4</v>
          </cell>
          <cell r="N1880">
            <v>13370.4</v>
          </cell>
          <cell r="O1880">
            <v>195970.79999999996</v>
          </cell>
        </row>
        <row r="1881">
          <cell r="A1881" t="str">
            <v>6729000</v>
          </cell>
          <cell r="B1881" t="str">
            <v>Lease Expense sent to Balance Sheet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</row>
        <row r="1882">
          <cell r="A1882" t="str">
            <v>6730010</v>
          </cell>
          <cell r="B1882" t="str">
            <v>Utilities - Electricity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</row>
        <row r="1883">
          <cell r="A1883" t="str">
            <v>6730020</v>
          </cell>
          <cell r="B1883" t="str">
            <v>Utilities - Gas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</row>
        <row r="1884">
          <cell r="A1884" t="str">
            <v>6730030</v>
          </cell>
          <cell r="B1884" t="str">
            <v>Utilities - Telecom</v>
          </cell>
          <cell r="C1884">
            <v>129368.03149389999</v>
          </cell>
          <cell r="D1884">
            <v>126408.1603066</v>
          </cell>
          <cell r="E1884">
            <v>125298.6933264</v>
          </cell>
          <cell r="F1884">
            <v>128501.8363528</v>
          </cell>
          <cell r="G1884">
            <v>126851.7856716</v>
          </cell>
          <cell r="H1884">
            <v>128446.752658</v>
          </cell>
          <cell r="I1884">
            <v>126551.57852530001</v>
          </cell>
          <cell r="J1884">
            <v>126188.78031279999</v>
          </cell>
          <cell r="K1884">
            <v>126550.4700597</v>
          </cell>
          <cell r="L1884">
            <v>132692.81500880001</v>
          </cell>
          <cell r="M1884">
            <v>125833.6748699</v>
          </cell>
          <cell r="N1884">
            <v>127622.81165430001</v>
          </cell>
          <cell r="O1884">
            <v>1530315.3902401</v>
          </cell>
        </row>
        <row r="1885">
          <cell r="A1885" t="str">
            <v>6730050</v>
          </cell>
          <cell r="B1885" t="str">
            <v>Utilities - Waste &amp; Trash Management</v>
          </cell>
          <cell r="C1885">
            <v>67500</v>
          </cell>
          <cell r="D1885">
            <v>67500</v>
          </cell>
          <cell r="E1885">
            <v>75500</v>
          </cell>
          <cell r="F1885">
            <v>75500</v>
          </cell>
          <cell r="G1885">
            <v>73900</v>
          </cell>
          <cell r="H1885">
            <v>74700</v>
          </cell>
          <cell r="I1885">
            <v>73100</v>
          </cell>
          <cell r="J1885">
            <v>75500</v>
          </cell>
          <cell r="K1885">
            <v>73900</v>
          </cell>
          <cell r="L1885">
            <v>77100</v>
          </cell>
          <cell r="M1885">
            <v>77100</v>
          </cell>
          <cell r="N1885">
            <v>78700</v>
          </cell>
          <cell r="O1885">
            <v>890000</v>
          </cell>
        </row>
        <row r="1886">
          <cell r="A1886" t="str">
            <v>6730060</v>
          </cell>
          <cell r="B1886" t="str">
            <v>Utilities - Water</v>
          </cell>
          <cell r="C1886">
            <v>87342.37</v>
          </cell>
          <cell r="D1886">
            <v>87342.37</v>
          </cell>
          <cell r="E1886">
            <v>95942.37</v>
          </cell>
          <cell r="F1886">
            <v>100942.37</v>
          </cell>
          <cell r="G1886">
            <v>110222.37</v>
          </cell>
          <cell r="H1886">
            <v>120582.37</v>
          </cell>
          <cell r="I1886">
            <v>119882.81</v>
          </cell>
          <cell r="J1886">
            <v>120942.37</v>
          </cell>
          <cell r="K1886">
            <v>115222.37</v>
          </cell>
          <cell r="L1886">
            <v>106662.37</v>
          </cell>
          <cell r="M1886">
            <v>91662.37</v>
          </cell>
          <cell r="N1886">
            <v>92382.37</v>
          </cell>
          <cell r="O1886">
            <v>1249128.8800000004</v>
          </cell>
        </row>
        <row r="1887">
          <cell r="A1887" t="str">
            <v>6730800</v>
          </cell>
          <cell r="B1887" t="str">
            <v>Utilities - Other</v>
          </cell>
          <cell r="C1887">
            <v>39337.101999999999</v>
          </cell>
          <cell r="D1887">
            <v>39337.101999999999</v>
          </cell>
          <cell r="E1887">
            <v>39337.101999999999</v>
          </cell>
          <cell r="F1887">
            <v>39337.101999999999</v>
          </cell>
          <cell r="G1887">
            <v>39337.101999999999</v>
          </cell>
          <cell r="H1887">
            <v>39337.101999999999</v>
          </cell>
          <cell r="I1887">
            <v>39337.101999999999</v>
          </cell>
          <cell r="J1887">
            <v>39337.101999999999</v>
          </cell>
          <cell r="K1887">
            <v>39337.101999999999</v>
          </cell>
          <cell r="L1887">
            <v>39337.101999999999</v>
          </cell>
          <cell r="M1887">
            <v>39337.101999999999</v>
          </cell>
          <cell r="N1887">
            <v>38683.67</v>
          </cell>
          <cell r="O1887">
            <v>471391.79200000007</v>
          </cell>
        </row>
        <row r="1888">
          <cell r="A1888" t="str">
            <v>6739000</v>
          </cell>
          <cell r="B1888" t="str">
            <v>Utilities Expense sent to Balance Sheet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</row>
        <row r="1889">
          <cell r="A1889" t="str">
            <v>6780020</v>
          </cell>
          <cell r="B1889" t="str">
            <v>Miscellaneous Billing Exp Material Sales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</row>
        <row r="1890">
          <cell r="A1890" t="str">
            <v>6780030</v>
          </cell>
          <cell r="B1890" t="str">
            <v>Miscellaneous Billing Exp Chargeable Projects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</row>
        <row r="1891">
          <cell r="A1891" t="str">
            <v>6780040</v>
          </cell>
          <cell r="B1891" t="str">
            <v>Miscellaneous Billing Exp Damaged Facilities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</row>
        <row r="1892">
          <cell r="A1892" t="str">
            <v>6780800</v>
          </cell>
          <cell r="B1892" t="str">
            <v>Miscellaneous Billing Exp General</v>
          </cell>
          <cell r="C1892">
            <v>-31262.716666699998</v>
          </cell>
          <cell r="D1892">
            <v>116545.2833333</v>
          </cell>
          <cell r="E1892">
            <v>-33262.716666699998</v>
          </cell>
          <cell r="F1892">
            <v>-33262.716666699998</v>
          </cell>
          <cell r="G1892">
            <v>-32862.716666699998</v>
          </cell>
          <cell r="H1892">
            <v>-33062.716666699998</v>
          </cell>
          <cell r="I1892">
            <v>-32662.716666699998</v>
          </cell>
          <cell r="J1892">
            <v>-33262.716666699998</v>
          </cell>
          <cell r="K1892">
            <v>-32862.716666699998</v>
          </cell>
          <cell r="L1892">
            <v>-33662.716666699998</v>
          </cell>
          <cell r="M1892">
            <v>-33662.716666699998</v>
          </cell>
          <cell r="N1892">
            <v>-34002.076666699999</v>
          </cell>
          <cell r="O1892">
            <v>-247283.96000039997</v>
          </cell>
        </row>
        <row r="1893">
          <cell r="A1893" t="str">
            <v>6789000</v>
          </cell>
          <cell r="B1893" t="str">
            <v>Miscellaneous Billing Exp to Balance Sheet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</row>
        <row r="1894">
          <cell r="A1894" t="str">
            <v>6790010</v>
          </cell>
          <cell r="B1894" t="str">
            <v>Bad Debt Expense</v>
          </cell>
          <cell r="C1894">
            <v>782150.26017879997</v>
          </cell>
          <cell r="D1894">
            <v>598075.05636020005</v>
          </cell>
          <cell r="E1894">
            <v>608262.31456960004</v>
          </cell>
          <cell r="F1894">
            <v>416579.1470075</v>
          </cell>
          <cell r="G1894">
            <v>419284.11074490001</v>
          </cell>
          <cell r="H1894">
            <v>486348.27922839997</v>
          </cell>
          <cell r="I1894">
            <v>397206.11291810003</v>
          </cell>
          <cell r="J1894">
            <v>-330458.4572142</v>
          </cell>
          <cell r="K1894">
            <v>396366.9930514</v>
          </cell>
          <cell r="L1894">
            <v>299938.63087529998</v>
          </cell>
          <cell r="M1894">
            <v>234991.16796729999</v>
          </cell>
          <cell r="N1894">
            <v>413603.86960719997</v>
          </cell>
          <cell r="O1894">
            <v>4722347.4852945004</v>
          </cell>
        </row>
        <row r="1895">
          <cell r="A1895" t="str">
            <v>6790020</v>
          </cell>
          <cell r="B1895" t="str">
            <v>Bad Debt Expense ARM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</row>
        <row r="1896">
          <cell r="A1896" t="str">
            <v>6790030</v>
          </cell>
          <cell r="B1896" t="str">
            <v>Director's Expenses</v>
          </cell>
          <cell r="C1896">
            <v>0</v>
          </cell>
          <cell r="D1896">
            <v>0</v>
          </cell>
          <cell r="E1896">
            <v>141783.86123529999</v>
          </cell>
          <cell r="F1896">
            <v>0</v>
          </cell>
          <cell r="G1896">
            <v>0</v>
          </cell>
          <cell r="H1896">
            <v>141783.86123529999</v>
          </cell>
          <cell r="I1896">
            <v>0</v>
          </cell>
          <cell r="J1896">
            <v>0</v>
          </cell>
          <cell r="K1896">
            <v>141783.86123529999</v>
          </cell>
          <cell r="L1896">
            <v>0</v>
          </cell>
          <cell r="M1896">
            <v>0</v>
          </cell>
          <cell r="N1896">
            <v>178480.8606138</v>
          </cell>
          <cell r="O1896">
            <v>603832.44431970001</v>
          </cell>
        </row>
        <row r="1897">
          <cell r="A1897" t="str">
            <v>6790040</v>
          </cell>
          <cell r="B1897" t="str">
            <v>Director's Restricted Stock Expense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</row>
        <row r="1898">
          <cell r="A1898" t="str">
            <v>6790050</v>
          </cell>
          <cell r="B1898" t="str">
            <v>Deferred Compensation</v>
          </cell>
          <cell r="C1898">
            <v>0</v>
          </cell>
          <cell r="D1898">
            <v>0</v>
          </cell>
          <cell r="E1898">
            <v>26569.25</v>
          </cell>
          <cell r="F1898">
            <v>0</v>
          </cell>
          <cell r="G1898">
            <v>0</v>
          </cell>
          <cell r="H1898">
            <v>26569.25</v>
          </cell>
          <cell r="I1898">
            <v>0</v>
          </cell>
          <cell r="J1898">
            <v>0</v>
          </cell>
          <cell r="K1898">
            <v>26569.25</v>
          </cell>
          <cell r="L1898">
            <v>0</v>
          </cell>
          <cell r="M1898">
            <v>0</v>
          </cell>
          <cell r="N1898">
            <v>26569.25</v>
          </cell>
          <cell r="O1898">
            <v>106277</v>
          </cell>
        </row>
        <row r="1899">
          <cell r="A1899" t="str">
            <v>6790055</v>
          </cell>
          <cell r="B1899" t="str">
            <v>Economic Development</v>
          </cell>
          <cell r="C1899">
            <v>32029.48</v>
          </cell>
          <cell r="D1899">
            <v>30110</v>
          </cell>
          <cell r="E1899">
            <v>13286</v>
          </cell>
          <cell r="F1899">
            <v>9198</v>
          </cell>
          <cell r="G1899">
            <v>31288.53</v>
          </cell>
          <cell r="H1899">
            <v>47012</v>
          </cell>
          <cell r="I1899">
            <v>35153.300000000003</v>
          </cell>
          <cell r="J1899">
            <v>31796.3</v>
          </cell>
          <cell r="K1899">
            <v>26251.95</v>
          </cell>
          <cell r="L1899">
            <v>72996.350000000006</v>
          </cell>
          <cell r="M1899">
            <v>10731</v>
          </cell>
          <cell r="N1899">
            <v>1890.7</v>
          </cell>
          <cell r="O1899">
            <v>341743.61000000004</v>
          </cell>
        </row>
        <row r="1900">
          <cell r="A1900" t="str">
            <v>6790060</v>
          </cell>
          <cell r="B1900" t="str">
            <v>Industry Dues</v>
          </cell>
          <cell r="C1900">
            <v>532310.80892029998</v>
          </cell>
          <cell r="D1900">
            <v>66150</v>
          </cell>
          <cell r="E1900">
            <v>731758.30892029998</v>
          </cell>
          <cell r="F1900">
            <v>2127.5</v>
          </cell>
          <cell r="G1900">
            <v>830</v>
          </cell>
          <cell r="H1900">
            <v>656078.30892029998</v>
          </cell>
          <cell r="I1900">
            <v>23097.5</v>
          </cell>
          <cell r="J1900">
            <v>24189.8</v>
          </cell>
          <cell r="K1900">
            <v>664818.30892029998</v>
          </cell>
          <cell r="L1900">
            <v>2147.5</v>
          </cell>
          <cell r="M1900">
            <v>870</v>
          </cell>
          <cell r="N1900">
            <v>200990</v>
          </cell>
          <cell r="O1900">
            <v>2905368.0356811997</v>
          </cell>
        </row>
        <row r="1901">
          <cell r="A1901" t="str">
            <v>6790090</v>
          </cell>
          <cell r="B1901" t="str">
            <v>Donations - Charitable (501c)</v>
          </cell>
          <cell r="C1901">
            <v>666938.65</v>
          </cell>
          <cell r="D1901">
            <v>192207.54</v>
          </cell>
          <cell r="E1901">
            <v>98183.54</v>
          </cell>
          <cell r="F1901">
            <v>111465.452</v>
          </cell>
          <cell r="G1901">
            <v>190194.2</v>
          </cell>
          <cell r="H1901">
            <v>215212.76</v>
          </cell>
          <cell r="I1901">
            <v>241396.4</v>
          </cell>
          <cell r="J1901">
            <v>85236.79</v>
          </cell>
          <cell r="K1901">
            <v>70799.05</v>
          </cell>
          <cell r="L1901">
            <v>97457.919999999998</v>
          </cell>
          <cell r="M1901">
            <v>100299.08</v>
          </cell>
          <cell r="N1901">
            <v>58186.548000000003</v>
          </cell>
          <cell r="O1901">
            <v>2127577.9300000002</v>
          </cell>
        </row>
        <row r="1902">
          <cell r="A1902" t="str">
            <v>6790091</v>
          </cell>
          <cell r="B1902" t="str">
            <v>Donations - Non deductible</v>
          </cell>
          <cell r="C1902">
            <v>14629.93</v>
          </cell>
          <cell r="D1902">
            <v>7314.4539999999997</v>
          </cell>
          <cell r="E1902">
            <v>19598.894</v>
          </cell>
          <cell r="F1902">
            <v>22414.45</v>
          </cell>
          <cell r="G1902">
            <v>9581.25</v>
          </cell>
          <cell r="H1902">
            <v>7312.41</v>
          </cell>
          <cell r="I1902">
            <v>1808.94</v>
          </cell>
          <cell r="J1902">
            <v>8738.1</v>
          </cell>
          <cell r="K1902">
            <v>2770.6419999999998</v>
          </cell>
          <cell r="L1902">
            <v>24017</v>
          </cell>
          <cell r="M1902">
            <v>2417.0300000000002</v>
          </cell>
          <cell r="N1902">
            <v>388.36</v>
          </cell>
          <cell r="O1902">
            <v>120991.46</v>
          </cell>
        </row>
        <row r="1903">
          <cell r="A1903" t="str">
            <v>6790092</v>
          </cell>
          <cell r="B1903" t="str">
            <v>Donations - Other</v>
          </cell>
          <cell r="C1903">
            <v>58105.81</v>
          </cell>
          <cell r="D1903">
            <v>67411.12</v>
          </cell>
          <cell r="E1903">
            <v>57743</v>
          </cell>
          <cell r="F1903">
            <v>36510.949999999997</v>
          </cell>
          <cell r="G1903">
            <v>6924.05</v>
          </cell>
          <cell r="H1903">
            <v>26725.3</v>
          </cell>
          <cell r="I1903">
            <v>23454.9</v>
          </cell>
          <cell r="J1903">
            <v>4701.2</v>
          </cell>
          <cell r="K1903">
            <v>7690.55</v>
          </cell>
          <cell r="L1903">
            <v>19673.5</v>
          </cell>
          <cell r="M1903">
            <v>11599.7</v>
          </cell>
          <cell r="N1903">
            <v>1941.8</v>
          </cell>
          <cell r="O1903">
            <v>322481.88</v>
          </cell>
        </row>
        <row r="1904">
          <cell r="A1904" t="str">
            <v>6790099</v>
          </cell>
          <cell r="B1904" t="str">
            <v>In-Kind Donations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</row>
        <row r="1905">
          <cell r="A1905" t="str">
            <v>6790100</v>
          </cell>
          <cell r="B1905" t="str">
            <v>Fees - AMM (Guatemala)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</row>
        <row r="1906">
          <cell r="A1906" t="str">
            <v>6790101</v>
          </cell>
          <cell r="B1906" t="str">
            <v>Fees - Bank</v>
          </cell>
          <cell r="C1906">
            <v>152455.63333330001</v>
          </cell>
          <cell r="D1906">
            <v>69032.513333299998</v>
          </cell>
          <cell r="E1906">
            <v>88471.253333300003</v>
          </cell>
          <cell r="F1906">
            <v>152111.26333330001</v>
          </cell>
          <cell r="G1906">
            <v>69721.253333300003</v>
          </cell>
          <cell r="H1906">
            <v>69376.883333299993</v>
          </cell>
          <cell r="I1906">
            <v>152455.63333330001</v>
          </cell>
          <cell r="J1906">
            <v>69721.253333300003</v>
          </cell>
          <cell r="K1906">
            <v>69376.883333299993</v>
          </cell>
          <cell r="L1906">
            <v>152455.63333330001</v>
          </cell>
          <cell r="M1906">
            <v>65349.103333300001</v>
          </cell>
          <cell r="N1906">
            <v>65415.693333299998</v>
          </cell>
          <cell r="O1906">
            <v>1175942.9999996002</v>
          </cell>
        </row>
        <row r="1907">
          <cell r="A1907" t="str">
            <v>6790102</v>
          </cell>
          <cell r="B1907" t="str">
            <v>Fees - Report Filing</v>
          </cell>
          <cell r="C1907">
            <v>1100</v>
          </cell>
          <cell r="D1907">
            <v>1000</v>
          </cell>
          <cell r="E1907">
            <v>1000</v>
          </cell>
          <cell r="F1907">
            <v>1000</v>
          </cell>
          <cell r="G1907">
            <v>1000</v>
          </cell>
          <cell r="H1907">
            <v>1355.5</v>
          </cell>
          <cell r="I1907">
            <v>1000</v>
          </cell>
          <cell r="J1907">
            <v>1000</v>
          </cell>
          <cell r="K1907">
            <v>1000</v>
          </cell>
          <cell r="L1907">
            <v>1000</v>
          </cell>
          <cell r="M1907">
            <v>1000</v>
          </cell>
          <cell r="N1907">
            <v>1344.5</v>
          </cell>
          <cell r="O1907">
            <v>12800</v>
          </cell>
        </row>
        <row r="1908">
          <cell r="A1908" t="str">
            <v>6790103</v>
          </cell>
          <cell r="B1908" t="str">
            <v>Fees - Registration</v>
          </cell>
          <cell r="C1908">
            <v>16219.554</v>
          </cell>
          <cell r="D1908">
            <v>4719.5540000000001</v>
          </cell>
          <cell r="E1908">
            <v>7084.9759999999997</v>
          </cell>
          <cell r="F1908">
            <v>4879.5540000000001</v>
          </cell>
          <cell r="G1908">
            <v>5844.0039999999999</v>
          </cell>
          <cell r="H1908">
            <v>6864.576</v>
          </cell>
          <cell r="I1908">
            <v>4831.5540000000001</v>
          </cell>
          <cell r="J1908">
            <v>4879.5540000000001</v>
          </cell>
          <cell r="K1908">
            <v>6848.576</v>
          </cell>
          <cell r="L1908">
            <v>4911.5540000000001</v>
          </cell>
          <cell r="M1908">
            <v>5013.7539999999999</v>
          </cell>
          <cell r="N1908">
            <v>5297.1660000000002</v>
          </cell>
          <cell r="O1908">
            <v>77394.376000000004</v>
          </cell>
        </row>
        <row r="1909">
          <cell r="A1909" t="str">
            <v>6790104</v>
          </cell>
          <cell r="B1909" t="str">
            <v>Fees - Stock Exchange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</row>
        <row r="1910">
          <cell r="A1910" t="str">
            <v>6790105</v>
          </cell>
          <cell r="B1910" t="str">
            <v>Fees - Transmission Line - Spot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</row>
        <row r="1911">
          <cell r="A1911" t="str">
            <v>6790198</v>
          </cell>
          <cell r="B1911" t="str">
            <v>Fees - Miscellaneous - Above the line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</row>
        <row r="1912">
          <cell r="A1912" t="str">
            <v>6790199</v>
          </cell>
          <cell r="B1912" t="str">
            <v>Fees - Miscellaneous - Below the line</v>
          </cell>
          <cell r="C1912">
            <v>5000</v>
          </cell>
          <cell r="D1912">
            <v>5000</v>
          </cell>
          <cell r="E1912">
            <v>5000</v>
          </cell>
          <cell r="F1912">
            <v>5000</v>
          </cell>
          <cell r="G1912">
            <v>5000</v>
          </cell>
          <cell r="H1912">
            <v>5000</v>
          </cell>
          <cell r="I1912">
            <v>5000</v>
          </cell>
          <cell r="J1912">
            <v>5204.3999999999996</v>
          </cell>
          <cell r="K1912">
            <v>5000</v>
          </cell>
          <cell r="L1912">
            <v>5000</v>
          </cell>
          <cell r="M1912">
            <v>5000</v>
          </cell>
          <cell r="N1912">
            <v>5000</v>
          </cell>
          <cell r="O1912">
            <v>60204.4</v>
          </cell>
        </row>
        <row r="1913">
          <cell r="A1913" t="str">
            <v>6790200</v>
          </cell>
          <cell r="B1913" t="str">
            <v>Penalties</v>
          </cell>
          <cell r="C1913">
            <v>0</v>
          </cell>
          <cell r="D1913">
            <v>0</v>
          </cell>
          <cell r="E1913">
            <v>20600</v>
          </cell>
          <cell r="F1913">
            <v>0</v>
          </cell>
          <cell r="G1913">
            <v>0</v>
          </cell>
          <cell r="H1913">
            <v>20600</v>
          </cell>
          <cell r="I1913">
            <v>0</v>
          </cell>
          <cell r="J1913">
            <v>0</v>
          </cell>
          <cell r="K1913">
            <v>20600</v>
          </cell>
          <cell r="L1913">
            <v>0</v>
          </cell>
          <cell r="M1913">
            <v>0</v>
          </cell>
          <cell r="N1913">
            <v>41200</v>
          </cell>
          <cell r="O1913">
            <v>103000</v>
          </cell>
        </row>
        <row r="1914">
          <cell r="A1914" t="str">
            <v>6790210</v>
          </cell>
          <cell r="B1914" t="str">
            <v>Permitting</v>
          </cell>
          <cell r="C1914">
            <v>28732</v>
          </cell>
          <cell r="D1914">
            <v>21132</v>
          </cell>
          <cell r="E1914">
            <v>38132</v>
          </cell>
          <cell r="F1914">
            <v>23132</v>
          </cell>
          <cell r="G1914">
            <v>22732</v>
          </cell>
          <cell r="H1914">
            <v>22932</v>
          </cell>
          <cell r="I1914">
            <v>22532</v>
          </cell>
          <cell r="J1914">
            <v>23132</v>
          </cell>
          <cell r="K1914">
            <v>22732</v>
          </cell>
          <cell r="L1914">
            <v>26352.720000000001</v>
          </cell>
          <cell r="M1914">
            <v>23532</v>
          </cell>
          <cell r="N1914">
            <v>23932</v>
          </cell>
          <cell r="O1914">
            <v>299004.71999999997</v>
          </cell>
        </row>
        <row r="1915">
          <cell r="A1915" t="str">
            <v>6790220</v>
          </cell>
          <cell r="B1915" t="str">
            <v>Political Contributions</v>
          </cell>
          <cell r="C1915">
            <v>31534.1753188</v>
          </cell>
          <cell r="D1915">
            <v>4167</v>
          </cell>
          <cell r="E1915">
            <v>32734.1753188</v>
          </cell>
          <cell r="F1915">
            <v>4167</v>
          </cell>
          <cell r="G1915">
            <v>5367</v>
          </cell>
          <cell r="H1915">
            <v>31534.1753188</v>
          </cell>
          <cell r="I1915">
            <v>5367</v>
          </cell>
          <cell r="J1915">
            <v>4167</v>
          </cell>
          <cell r="K1915">
            <v>32734.1753188</v>
          </cell>
          <cell r="L1915">
            <v>4167</v>
          </cell>
          <cell r="M1915">
            <v>5367</v>
          </cell>
          <cell r="N1915">
            <v>4163</v>
          </cell>
          <cell r="O1915">
            <v>165468.7012752</v>
          </cell>
        </row>
        <row r="1916">
          <cell r="A1916" t="str">
            <v>6790230</v>
          </cell>
          <cell r="B1916" t="str">
            <v>Postage. Shipping and Courier</v>
          </cell>
          <cell r="C1916">
            <v>210379.35507220001</v>
          </cell>
          <cell r="D1916">
            <v>210039.97307219999</v>
          </cell>
          <cell r="E1916">
            <v>211010.40907220001</v>
          </cell>
          <cell r="F1916">
            <v>210319.85107219999</v>
          </cell>
          <cell r="G1916">
            <v>210189.9830722</v>
          </cell>
          <cell r="H1916">
            <v>210674.41707220001</v>
          </cell>
          <cell r="I1916">
            <v>210914.9830722</v>
          </cell>
          <cell r="J1916">
            <v>210330.86307220001</v>
          </cell>
          <cell r="K1916">
            <v>210600.41707220001</v>
          </cell>
          <cell r="L1916">
            <v>210339.9830722</v>
          </cell>
          <cell r="M1916">
            <v>210278.9810722</v>
          </cell>
          <cell r="N1916">
            <v>216570.56707220001</v>
          </cell>
          <cell r="O1916">
            <v>2531649.7828664002</v>
          </cell>
        </row>
        <row r="1917">
          <cell r="A1917" t="str">
            <v>6790250</v>
          </cell>
          <cell r="B1917" t="str">
            <v>Energy Conservation Allowances</v>
          </cell>
          <cell r="C1917">
            <v>2511141</v>
          </cell>
          <cell r="D1917">
            <v>2595221</v>
          </cell>
          <cell r="E1917">
            <v>2511451</v>
          </cell>
          <cell r="F1917">
            <v>2551761</v>
          </cell>
          <cell r="G1917">
            <v>2557696</v>
          </cell>
          <cell r="H1917">
            <v>2509726</v>
          </cell>
          <cell r="I1917">
            <v>2521266</v>
          </cell>
          <cell r="J1917">
            <v>2541546</v>
          </cell>
          <cell r="K1917">
            <v>2672701</v>
          </cell>
          <cell r="L1917">
            <v>2569571</v>
          </cell>
          <cell r="M1917">
            <v>2544846</v>
          </cell>
          <cell r="N1917">
            <v>2538526</v>
          </cell>
          <cell r="O1917">
            <v>30625452</v>
          </cell>
        </row>
        <row r="1918">
          <cell r="A1918" t="str">
            <v>6790255</v>
          </cell>
          <cell r="B1918" t="str">
            <v>Selling and Marketing Expense</v>
          </cell>
          <cell r="C1918">
            <v>333.33</v>
          </cell>
          <cell r="D1918">
            <v>333.33</v>
          </cell>
          <cell r="E1918">
            <v>333.33</v>
          </cell>
          <cell r="F1918">
            <v>333.33</v>
          </cell>
          <cell r="G1918">
            <v>333.33</v>
          </cell>
          <cell r="H1918">
            <v>333.33</v>
          </cell>
          <cell r="I1918">
            <v>333.33</v>
          </cell>
          <cell r="J1918">
            <v>333.33</v>
          </cell>
          <cell r="K1918">
            <v>333.33</v>
          </cell>
          <cell r="L1918">
            <v>333.33</v>
          </cell>
          <cell r="M1918">
            <v>333.33</v>
          </cell>
          <cell r="N1918">
            <v>333.33</v>
          </cell>
          <cell r="O1918">
            <v>3999.9599999999996</v>
          </cell>
        </row>
        <row r="1919">
          <cell r="A1919" t="str">
            <v>6790260</v>
          </cell>
          <cell r="B1919" t="str">
            <v>Settlements/Claims Expense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</row>
        <row r="1920">
          <cell r="A1920" t="str">
            <v>6790270</v>
          </cell>
          <cell r="B1920" t="str">
            <v>Transfer Agent</v>
          </cell>
          <cell r="C1920">
            <v>6500</v>
          </cell>
          <cell r="D1920">
            <v>6500</v>
          </cell>
          <cell r="E1920">
            <v>6500</v>
          </cell>
          <cell r="F1920">
            <v>6500</v>
          </cell>
          <cell r="G1920">
            <v>6500</v>
          </cell>
          <cell r="H1920">
            <v>6500</v>
          </cell>
          <cell r="I1920">
            <v>6500</v>
          </cell>
          <cell r="J1920">
            <v>6500</v>
          </cell>
          <cell r="K1920">
            <v>6500</v>
          </cell>
          <cell r="L1920">
            <v>6500</v>
          </cell>
          <cell r="M1920">
            <v>6500</v>
          </cell>
          <cell r="N1920">
            <v>6500</v>
          </cell>
          <cell r="O1920">
            <v>78000</v>
          </cell>
        </row>
        <row r="1921">
          <cell r="A1921" t="str">
            <v>6790280</v>
          </cell>
          <cell r="B1921" t="str">
            <v>Stadium - Food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</row>
        <row r="1922">
          <cell r="A1922" t="str">
            <v>6790281</v>
          </cell>
          <cell r="B1922" t="str">
            <v>Stadium - Other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</row>
        <row r="1923">
          <cell r="A1923" t="str">
            <v>6790300</v>
          </cell>
          <cell r="B1923" t="str">
            <v>Cash Discount Taken</v>
          </cell>
          <cell r="C1923">
            <v>-2500</v>
          </cell>
          <cell r="D1923">
            <v>-2500</v>
          </cell>
          <cell r="E1923">
            <v>-2500</v>
          </cell>
          <cell r="F1923">
            <v>-2500</v>
          </cell>
          <cell r="G1923">
            <v>-2500</v>
          </cell>
          <cell r="H1923">
            <v>-2500</v>
          </cell>
          <cell r="I1923">
            <v>-2500</v>
          </cell>
          <cell r="J1923">
            <v>-2500</v>
          </cell>
          <cell r="K1923">
            <v>-2500</v>
          </cell>
          <cell r="L1923">
            <v>-2500</v>
          </cell>
          <cell r="M1923">
            <v>-2500</v>
          </cell>
          <cell r="N1923">
            <v>-2500</v>
          </cell>
          <cell r="O1923">
            <v>-30000</v>
          </cell>
        </row>
        <row r="1924">
          <cell r="A1924" t="str">
            <v>6790305</v>
          </cell>
          <cell r="B1924" t="str">
            <v>A&amp;G Allocation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</row>
        <row r="1925">
          <cell r="A1925" t="str">
            <v>6790310</v>
          </cell>
          <cell r="B1925" t="str">
            <v>A&amp;G Allocated to Capital</v>
          </cell>
          <cell r="C1925">
            <v>-2083333.33</v>
          </cell>
          <cell r="D1925">
            <v>-2083333.33</v>
          </cell>
          <cell r="E1925">
            <v>-2083333.33</v>
          </cell>
          <cell r="F1925">
            <v>-2083333.33</v>
          </cell>
          <cell r="G1925">
            <v>-2083333.33</v>
          </cell>
          <cell r="H1925">
            <v>-2083333.33</v>
          </cell>
          <cell r="I1925">
            <v>-2083333.33</v>
          </cell>
          <cell r="J1925">
            <v>-2083333.33</v>
          </cell>
          <cell r="K1925">
            <v>-2083333.33</v>
          </cell>
          <cell r="L1925">
            <v>-2083333.33</v>
          </cell>
          <cell r="M1925">
            <v>-2083333.33</v>
          </cell>
          <cell r="N1925">
            <v>-2083333.37</v>
          </cell>
          <cell r="O1925">
            <v>-24999999.999999996</v>
          </cell>
        </row>
        <row r="1926">
          <cell r="A1926" t="str">
            <v>6790315</v>
          </cell>
          <cell r="B1926" t="str">
            <v>I&amp;D Allocated to Capital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</row>
        <row r="1927">
          <cell r="A1927" t="str">
            <v>6790320</v>
          </cell>
          <cell r="B1927" t="str">
            <v>Fleet Allocation</v>
          </cell>
          <cell r="C1927">
            <v>127500</v>
          </cell>
          <cell r="D1927">
            <v>127500</v>
          </cell>
          <cell r="E1927">
            <v>144500</v>
          </cell>
          <cell r="F1927">
            <v>144500</v>
          </cell>
          <cell r="G1927">
            <v>141100</v>
          </cell>
          <cell r="H1927">
            <v>142800</v>
          </cell>
          <cell r="I1927">
            <v>139400</v>
          </cell>
          <cell r="J1927">
            <v>144500</v>
          </cell>
          <cell r="K1927">
            <v>141100</v>
          </cell>
          <cell r="L1927">
            <v>147900</v>
          </cell>
          <cell r="M1927">
            <v>147900</v>
          </cell>
          <cell r="N1927">
            <v>151300</v>
          </cell>
          <cell r="O1927">
            <v>1700000</v>
          </cell>
        </row>
        <row r="1928">
          <cell r="A1928" t="str">
            <v>6790321</v>
          </cell>
          <cell r="B1928" t="str">
            <v>Stores Allocation</v>
          </cell>
          <cell r="C1928">
            <v>20227.2</v>
          </cell>
          <cell r="D1928">
            <v>35227.199999999997</v>
          </cell>
          <cell r="E1928">
            <v>37377.199999999997</v>
          </cell>
          <cell r="F1928">
            <v>22377.200000000001</v>
          </cell>
          <cell r="G1928">
            <v>21947.200000000001</v>
          </cell>
          <cell r="H1928">
            <v>22162.2</v>
          </cell>
          <cell r="I1928">
            <v>21732.2</v>
          </cell>
          <cell r="J1928">
            <v>22377.200000000001</v>
          </cell>
          <cell r="K1928">
            <v>21947.200000000001</v>
          </cell>
          <cell r="L1928">
            <v>22807.200000000001</v>
          </cell>
          <cell r="M1928">
            <v>37807.199999999997</v>
          </cell>
          <cell r="N1928">
            <v>38237.199999999997</v>
          </cell>
          <cell r="O1928">
            <v>324226.40000000008</v>
          </cell>
        </row>
        <row r="1929">
          <cell r="A1929" t="str">
            <v>6790322</v>
          </cell>
          <cell r="B1929" t="str">
            <v>Small Tools Alloc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</row>
        <row r="1930">
          <cell r="A1930" t="str">
            <v>6790323</v>
          </cell>
          <cell r="B1930" t="str">
            <v>Self Help Alloc</v>
          </cell>
          <cell r="C1930">
            <v>3000</v>
          </cell>
          <cell r="D1930">
            <v>8000</v>
          </cell>
          <cell r="E1930">
            <v>8000</v>
          </cell>
          <cell r="F1930">
            <v>3000</v>
          </cell>
          <cell r="G1930">
            <v>3000</v>
          </cell>
          <cell r="H1930">
            <v>3000</v>
          </cell>
          <cell r="I1930">
            <v>3000</v>
          </cell>
          <cell r="J1930">
            <v>3000</v>
          </cell>
          <cell r="K1930">
            <v>3000</v>
          </cell>
          <cell r="L1930">
            <v>3000</v>
          </cell>
          <cell r="M1930">
            <v>8000</v>
          </cell>
          <cell r="N1930">
            <v>8000</v>
          </cell>
          <cell r="O1930">
            <v>56000</v>
          </cell>
        </row>
        <row r="1931">
          <cell r="A1931" t="str">
            <v>6790324</v>
          </cell>
          <cell r="B1931" t="str">
            <v>E&amp;S Allocation</v>
          </cell>
          <cell r="C1931">
            <v>150</v>
          </cell>
          <cell r="D1931">
            <v>150</v>
          </cell>
          <cell r="E1931">
            <v>170</v>
          </cell>
          <cell r="F1931">
            <v>170</v>
          </cell>
          <cell r="G1931">
            <v>166</v>
          </cell>
          <cell r="H1931">
            <v>168</v>
          </cell>
          <cell r="I1931">
            <v>164</v>
          </cell>
          <cell r="J1931">
            <v>170</v>
          </cell>
          <cell r="K1931">
            <v>166</v>
          </cell>
          <cell r="L1931">
            <v>174</v>
          </cell>
          <cell r="M1931">
            <v>174</v>
          </cell>
          <cell r="N1931">
            <v>178</v>
          </cell>
          <cell r="O1931">
            <v>2000</v>
          </cell>
        </row>
        <row r="1932">
          <cell r="A1932" t="str">
            <v>6790325</v>
          </cell>
          <cell r="B1932" t="str">
            <v>T&amp;I Allocation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</row>
        <row r="1933">
          <cell r="A1933" t="str">
            <v>6790326</v>
          </cell>
          <cell r="B1933" t="str">
            <v>Facilities Alloc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</row>
        <row r="1934">
          <cell r="A1934">
            <v>6790327</v>
          </cell>
          <cell r="B1934" t="str">
            <v>Engineering&amp;Supervisory Contractor Allocation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</row>
        <row r="1935">
          <cell r="A1935" t="str">
            <v>6790700</v>
          </cell>
          <cell r="B1935" t="str">
            <v>Intercompany Overhead Allocations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</row>
        <row r="1936">
          <cell r="A1936" t="str">
            <v>6790701</v>
          </cell>
          <cell r="B1936" t="str">
            <v>Intercompany Subsidiary Credit - Allocated A&amp;G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</row>
        <row r="1937">
          <cell r="A1937" t="str">
            <v>6790702</v>
          </cell>
          <cell r="B1937" t="str">
            <v>Intercompany Fee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</row>
        <row r="1938">
          <cell r="A1938" t="str">
            <v>6790703</v>
          </cell>
          <cell r="B1938" t="str">
            <v>Intercompany Standard Labor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250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250</v>
          </cell>
          <cell r="O1938">
            <v>500</v>
          </cell>
        </row>
        <row r="1939">
          <cell r="A1939" t="str">
            <v>6790704</v>
          </cell>
          <cell r="B1939" t="str">
            <v>Intercompany Support Services</v>
          </cell>
          <cell r="C1939">
            <v>903218.70705500001</v>
          </cell>
          <cell r="D1939">
            <v>903218.70705500001</v>
          </cell>
          <cell r="E1939">
            <v>1470865.6255735001</v>
          </cell>
          <cell r="F1939">
            <v>903218.70705500001</v>
          </cell>
          <cell r="G1939">
            <v>903218.70705500001</v>
          </cell>
          <cell r="H1939">
            <v>1470865.6255735001</v>
          </cell>
          <cell r="I1939">
            <v>903218.70705500001</v>
          </cell>
          <cell r="J1939">
            <v>903218.70705500001</v>
          </cell>
          <cell r="K1939">
            <v>1470865.6255735001</v>
          </cell>
          <cell r="L1939">
            <v>903218.70705500001</v>
          </cell>
          <cell r="M1939">
            <v>903218.70705500001</v>
          </cell>
          <cell r="N1939">
            <v>1470865.6255735001</v>
          </cell>
          <cell r="O1939">
            <v>13109212.158734001</v>
          </cell>
        </row>
        <row r="1940">
          <cell r="A1940" t="str">
            <v>6790705</v>
          </cell>
          <cell r="B1940" t="str">
            <v>Intercompany Print Shop Charges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51.1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48.9</v>
          </cell>
          <cell r="O1940">
            <v>100</v>
          </cell>
        </row>
        <row r="1941">
          <cell r="A1941" t="str">
            <v>6790706</v>
          </cell>
          <cell r="B1941" t="str">
            <v>Intercompany Record Retention and Mail Services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</row>
        <row r="1942">
          <cell r="A1942" t="str">
            <v>6790707</v>
          </cell>
          <cell r="B1942" t="str">
            <v>IC Direct fr Svc Co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</row>
        <row r="1943">
          <cell r="A1943" t="str">
            <v>6790708</v>
          </cell>
          <cell r="B1943" t="str">
            <v>IC Indirect fr Svc Co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</row>
        <row r="1944">
          <cell r="A1944" t="str">
            <v>6790709</v>
          </cell>
          <cell r="B1944" t="str">
            <v>Intercompany - Asset Usage Fee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</row>
        <row r="1945">
          <cell r="A1945" t="str">
            <v>6790800</v>
          </cell>
          <cell r="B1945" t="str">
            <v>Other Operational Expense - Miscellaneous</v>
          </cell>
          <cell r="C1945">
            <v>185944.7519954</v>
          </cell>
          <cell r="D1945">
            <v>104852.6970711</v>
          </cell>
          <cell r="E1945">
            <v>146294.285462</v>
          </cell>
          <cell r="F1945">
            <v>95476.003802699997</v>
          </cell>
          <cell r="G1945">
            <v>99833.394486399993</v>
          </cell>
          <cell r="H1945">
            <v>-20751.0465305</v>
          </cell>
          <cell r="I1945">
            <v>182859.31919839999</v>
          </cell>
          <cell r="J1945">
            <v>160284.10771750001</v>
          </cell>
          <cell r="K1945">
            <v>192170.3225712</v>
          </cell>
          <cell r="L1945">
            <v>187343.86704720001</v>
          </cell>
          <cell r="M1945">
            <v>177499.21484510001</v>
          </cell>
          <cell r="N1945">
            <v>182823.60610850001</v>
          </cell>
          <cell r="O1945">
            <v>1694630.5237749999</v>
          </cell>
        </row>
        <row r="1946">
          <cell r="A1946" t="str">
            <v>6790801</v>
          </cell>
          <cell r="B1946" t="str">
            <v>Other Operational Expense - GAAP Adjustment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</row>
        <row r="1947">
          <cell r="A1947" t="str">
            <v>6790802</v>
          </cell>
          <cell r="B1947" t="str">
            <v>Other Miscellaneous Expense - Below the Line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</row>
        <row r="1948">
          <cell r="A1948" t="str">
            <v>6791000</v>
          </cell>
          <cell r="B1948" t="str">
            <v>Rate Case Expense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</row>
        <row r="1949">
          <cell r="A1949" t="str">
            <v>6798000</v>
          </cell>
          <cell r="B1949" t="str">
            <v>Restructuring Charges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</row>
        <row r="1950">
          <cell r="A1950" t="str">
            <v>6798999</v>
          </cell>
          <cell r="B1950" t="str">
            <v>Other Operational Expense Reclass</v>
          </cell>
          <cell r="C1950">
            <v>-22479.8236192</v>
          </cell>
          <cell r="D1950">
            <v>-25601.198961499998</v>
          </cell>
          <cell r="E1950">
            <v>-25579.835924200001</v>
          </cell>
          <cell r="F1950">
            <v>-25558.375338900001</v>
          </cell>
          <cell r="G1950">
            <v>-25537.1098499</v>
          </cell>
          <cell r="H1950">
            <v>-25515.7468128</v>
          </cell>
          <cell r="I1950">
            <v>-25494.383775499999</v>
          </cell>
          <cell r="J1950">
            <v>-25472.9231903</v>
          </cell>
          <cell r="K1950">
            <v>-25363.8643978</v>
          </cell>
          <cell r="L1950">
            <v>-25103.606027000002</v>
          </cell>
          <cell r="M1950">
            <v>-24219.5274613</v>
          </cell>
          <cell r="N1950">
            <v>-21964.738602900001</v>
          </cell>
          <cell r="O1950">
            <v>-297891.13396130002</v>
          </cell>
        </row>
        <row r="1951">
          <cell r="A1951" t="str">
            <v>6799000</v>
          </cell>
          <cell r="B1951" t="str">
            <v>Other Operational Expense sent to Balance Sheet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</row>
        <row r="1952">
          <cell r="A1952" t="str">
            <v>6799100</v>
          </cell>
          <cell r="B1952" t="str">
            <v>IT Charges to the Balance Sheet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</row>
        <row r="1953">
          <cell r="A1953" t="str">
            <v>6799101</v>
          </cell>
          <cell r="B1953" t="str">
            <v>Facility Charges to the Balance Sheet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</row>
        <row r="1954">
          <cell r="A1954" t="str">
            <v>6799102</v>
          </cell>
          <cell r="B1954" t="str">
            <v>Telecom Charges to the Balance Sheet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</row>
        <row r="1955">
          <cell r="A1955" t="str">
            <v>6799103</v>
          </cell>
          <cell r="B1955" t="str">
            <v>Corporate Overhead Allocation to the Balance Sheet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</row>
        <row r="1956">
          <cell r="A1956" t="str">
            <v>6799104</v>
          </cell>
          <cell r="B1956" t="str">
            <v>Make Ready Changes to the Balance Sheet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</row>
        <row r="1957">
          <cell r="A1957" t="str">
            <v>6799105</v>
          </cell>
          <cell r="B1957" t="str">
            <v>Fleet Charges to the Balance Sheet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</row>
        <row r="1958">
          <cell r="A1958" t="str">
            <v>6799106</v>
          </cell>
          <cell r="B1958" t="str">
            <v>Small Tools Charges to the Balance Sheet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</row>
        <row r="1959">
          <cell r="A1959" t="str">
            <v>6799107</v>
          </cell>
          <cell r="B1959" t="str">
            <v>Stores Clearing Charges to the Balance Sheet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</row>
        <row r="1960">
          <cell r="A1960" t="str">
            <v>6799108</v>
          </cell>
          <cell r="B1960" t="str">
            <v>Self Help Charges to the Balance Sheet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</row>
        <row r="1961">
          <cell r="A1961" t="str">
            <v>6799109</v>
          </cell>
          <cell r="B1961" t="str">
            <v>Supervisory &amp; Management Cghs to the Balance Sheet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</row>
        <row r="1962">
          <cell r="A1962" t="str">
            <v>6799110</v>
          </cell>
          <cell r="B1962" t="str">
            <v>HR Charges to the Balance Sheet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</row>
        <row r="1963">
          <cell r="A1963" t="str">
            <v>6799111</v>
          </cell>
          <cell r="B1963" t="str">
            <v>TSI Services Charges to the Balance Sheet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</row>
        <row r="1964">
          <cell r="A1964" t="str">
            <v>6799112</v>
          </cell>
          <cell r="B1964" t="str">
            <v>Procurement Charges to the Balance Sheet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</row>
        <row r="1965">
          <cell r="A1965" t="str">
            <v>6799113</v>
          </cell>
          <cell r="B1965" t="str">
            <v>T&amp;I Chgs to BalSht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</row>
        <row r="1966">
          <cell r="A1966" t="str">
            <v>6799200</v>
          </cell>
          <cell r="B1966" t="str">
            <v>TSI Capital Charges to the Balance Sheet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</row>
        <row r="1967">
          <cell r="A1967" t="str">
            <v>6800010</v>
          </cell>
          <cell r="B1967" t="str">
            <v>Amortization - Utility Plant</v>
          </cell>
          <cell r="C1967">
            <v>1398851.3740171001</v>
          </cell>
          <cell r="D1967">
            <v>1403604.4085689001</v>
          </cell>
          <cell r="E1967">
            <v>1407706.1526937999</v>
          </cell>
          <cell r="F1967">
            <v>1417942.3527361001</v>
          </cell>
          <cell r="G1967">
            <v>1504560.7526256</v>
          </cell>
          <cell r="H1967">
            <v>1508961.3295923001</v>
          </cell>
          <cell r="I1967">
            <v>1528631.0696584</v>
          </cell>
          <cell r="J1967">
            <v>1532743.2413834</v>
          </cell>
          <cell r="K1967">
            <v>1540943.8897696</v>
          </cell>
          <cell r="L1967">
            <v>1559616.8418019</v>
          </cell>
          <cell r="M1967">
            <v>1591130.7029691001</v>
          </cell>
          <cell r="N1967">
            <v>1623617.9912177001</v>
          </cell>
          <cell r="O1967">
            <v>18018310.107033901</v>
          </cell>
        </row>
        <row r="1968">
          <cell r="A1968" t="str">
            <v>6800020</v>
          </cell>
          <cell r="B1968" t="str">
            <v>Amortization - Non-Utility Property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</row>
        <row r="1969">
          <cell r="A1969" t="str">
            <v>6800030</v>
          </cell>
          <cell r="B1969" t="str">
            <v>Amortization - Viability Study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</row>
        <row r="1970">
          <cell r="A1970" t="str">
            <v>6800040</v>
          </cell>
          <cell r="B1970" t="str">
            <v>Amortization - Acquisition Adjustments</v>
          </cell>
          <cell r="C1970">
            <v>15479.11</v>
          </cell>
          <cell r="D1970">
            <v>15479.11</v>
          </cell>
          <cell r="E1970">
            <v>15479.11</v>
          </cell>
          <cell r="F1970">
            <v>15479.11</v>
          </cell>
          <cell r="G1970">
            <v>15479.11</v>
          </cell>
          <cell r="H1970">
            <v>15479.11</v>
          </cell>
          <cell r="I1970">
            <v>15479.11</v>
          </cell>
          <cell r="J1970">
            <v>15479.11</v>
          </cell>
          <cell r="K1970">
            <v>15479.11</v>
          </cell>
          <cell r="L1970">
            <v>15479.11</v>
          </cell>
          <cell r="M1970">
            <v>15479.11</v>
          </cell>
          <cell r="N1970">
            <v>15479.11</v>
          </cell>
          <cell r="O1970">
            <v>185749.31999999995</v>
          </cell>
        </row>
        <row r="1971">
          <cell r="A1971" t="str">
            <v>6800045</v>
          </cell>
          <cell r="B1971" t="str">
            <v>Amortization - Acquisition Adjustments BTL</v>
          </cell>
          <cell r="C1971">
            <v>4246.62</v>
          </cell>
          <cell r="D1971">
            <v>4246.62</v>
          </cell>
          <cell r="E1971">
            <v>4246.62</v>
          </cell>
          <cell r="F1971">
            <v>4246.62</v>
          </cell>
          <cell r="G1971">
            <v>4246.62</v>
          </cell>
          <cell r="H1971">
            <v>4246.62</v>
          </cell>
          <cell r="I1971">
            <v>4246.62</v>
          </cell>
          <cell r="J1971">
            <v>4246.62</v>
          </cell>
          <cell r="K1971">
            <v>4246.62</v>
          </cell>
          <cell r="L1971">
            <v>4246.62</v>
          </cell>
          <cell r="M1971">
            <v>4246.62</v>
          </cell>
          <cell r="N1971">
            <v>4246.62</v>
          </cell>
          <cell r="O1971">
            <v>50959.44000000001</v>
          </cell>
        </row>
        <row r="1972">
          <cell r="A1972" t="str">
            <v>6800050</v>
          </cell>
          <cell r="B1972" t="str">
            <v>Amortization - Environmental Remediation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</row>
        <row r="1973">
          <cell r="A1973" t="str">
            <v>6800060</v>
          </cell>
          <cell r="B1973" t="str">
            <v>Amortization - Intangible Asset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</row>
        <row r="1974">
          <cell r="A1974" t="str">
            <v>6800070</v>
          </cell>
          <cell r="B1974" t="str">
            <v>Amortization - PPA Option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</row>
        <row r="1975">
          <cell r="A1975" t="str">
            <v>6800080</v>
          </cell>
          <cell r="B1975" t="str">
            <v>Amortization - Start up Costs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</row>
        <row r="1976">
          <cell r="A1976" t="str">
            <v>6800090</v>
          </cell>
          <cell r="B1976" t="str">
            <v>Amortization - Regulatory Debits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</row>
        <row r="1977">
          <cell r="A1977" t="str">
            <v>6800100</v>
          </cell>
          <cell r="B1977" t="str">
            <v>Amortization - Regulatory Credit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</row>
        <row r="1978">
          <cell r="A1978" t="str">
            <v>6800110</v>
          </cell>
          <cell r="B1978" t="str">
            <v>Amortization - OUC Trans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</row>
        <row r="1979">
          <cell r="A1979" t="str">
            <v>6800280</v>
          </cell>
          <cell r="B1979" t="str">
            <v>Amortization - ROW Transmission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</row>
        <row r="1980">
          <cell r="A1980" t="str">
            <v>6800281</v>
          </cell>
          <cell r="B1980" t="str">
            <v>Amortization - ROW Distribution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</row>
        <row r="1981">
          <cell r="A1981" t="str">
            <v>6800800</v>
          </cell>
          <cell r="B1981" t="str">
            <v>Amortization - Other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</row>
        <row r="1982">
          <cell r="A1982" t="str">
            <v>6809000</v>
          </cell>
          <cell r="B1982" t="str">
            <v>Amortization Expense sent to Balance Sheet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</row>
        <row r="1983">
          <cell r="A1983" t="str">
            <v>6810010</v>
          </cell>
          <cell r="B1983" t="str">
            <v>Depreciation - Utility Plant</v>
          </cell>
          <cell r="C1983">
            <v>26548535.060503401</v>
          </cell>
          <cell r="D1983">
            <v>26905337.697345302</v>
          </cell>
          <cell r="E1983">
            <v>26973551.620070402</v>
          </cell>
          <cell r="F1983">
            <v>27096723.401028801</v>
          </cell>
          <cell r="G1983">
            <v>27248544.056254402</v>
          </cell>
          <cell r="H1983">
            <v>27367213.937829401</v>
          </cell>
          <cell r="I1983">
            <v>27566636.037117701</v>
          </cell>
          <cell r="J1983">
            <v>27614016.026051302</v>
          </cell>
          <cell r="K1983">
            <v>27687250.1443897</v>
          </cell>
          <cell r="L1983">
            <v>27751226.594214302</v>
          </cell>
          <cell r="M1983">
            <v>27817231.671175599</v>
          </cell>
          <cell r="N1983">
            <v>27946494.223831899</v>
          </cell>
          <cell r="O1983">
            <v>328522760.46981221</v>
          </cell>
        </row>
        <row r="1984">
          <cell r="A1984" t="str">
            <v>6810020</v>
          </cell>
          <cell r="B1984" t="str">
            <v>Depreciation - Non-Utility Property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</row>
        <row r="1985">
          <cell r="A1985" t="str">
            <v>6810025</v>
          </cell>
          <cell r="B1985" t="str">
            <v>Depreciation - Non-Utility Property BTL</v>
          </cell>
          <cell r="C1985">
            <v>71930.128055599998</v>
          </cell>
          <cell r="D1985">
            <v>72514.267833299993</v>
          </cell>
          <cell r="E1985">
            <v>73117.729833300007</v>
          </cell>
          <cell r="F1985">
            <v>73721.191833300007</v>
          </cell>
          <cell r="G1985">
            <v>74324.653833300006</v>
          </cell>
          <cell r="H1985">
            <v>74928.115833300006</v>
          </cell>
          <cell r="I1985">
            <v>75531.577833300005</v>
          </cell>
          <cell r="J1985">
            <v>76135.039833300005</v>
          </cell>
          <cell r="K1985">
            <v>76738.501833300004</v>
          </cell>
          <cell r="L1985">
            <v>77341.963833300004</v>
          </cell>
          <cell r="M1985">
            <v>77945.425833300003</v>
          </cell>
          <cell r="N1985">
            <v>78548.887833300003</v>
          </cell>
          <cell r="O1985">
            <v>902777.4842219</v>
          </cell>
        </row>
        <row r="1986">
          <cell r="A1986" t="str">
            <v>6810030</v>
          </cell>
          <cell r="B1986" t="str">
            <v>Depreciation - ARO Asset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</row>
        <row r="1987">
          <cell r="A1987" t="str">
            <v>6810040</v>
          </cell>
          <cell r="B1987" t="str">
            <v>Depreciation - ARO Accretion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</row>
        <row r="1988">
          <cell r="A1988" t="str">
            <v>6810050</v>
          </cell>
          <cell r="B1988" t="str">
            <v>Depreciation - Environmental</v>
          </cell>
          <cell r="C1988">
            <v>1672470</v>
          </cell>
          <cell r="D1988">
            <v>1672470</v>
          </cell>
          <cell r="E1988">
            <v>1672470</v>
          </cell>
          <cell r="F1988">
            <v>1672470</v>
          </cell>
          <cell r="G1988">
            <v>1672470</v>
          </cell>
          <cell r="H1988">
            <v>1672470</v>
          </cell>
          <cell r="I1988">
            <v>1672470</v>
          </cell>
          <cell r="J1988">
            <v>1672470</v>
          </cell>
          <cell r="K1988">
            <v>1673845</v>
          </cell>
          <cell r="L1988">
            <v>1674345</v>
          </cell>
          <cell r="M1988">
            <v>1679031</v>
          </cell>
          <cell r="N1988">
            <v>1674556</v>
          </cell>
          <cell r="O1988">
            <v>20081537</v>
          </cell>
        </row>
        <row r="1989">
          <cell r="A1989" t="str">
            <v>6810060</v>
          </cell>
          <cell r="B1989" t="str">
            <v>Depreciation - Dismantling Accrual</v>
          </cell>
          <cell r="C1989">
            <v>98841.17</v>
          </cell>
          <cell r="D1989">
            <v>98841.17</v>
          </cell>
          <cell r="E1989">
            <v>98841.17</v>
          </cell>
          <cell r="F1989">
            <v>98841.17</v>
          </cell>
          <cell r="G1989">
            <v>98841.17</v>
          </cell>
          <cell r="H1989">
            <v>98841.17</v>
          </cell>
          <cell r="I1989">
            <v>98841.17</v>
          </cell>
          <cell r="J1989">
            <v>98841.17</v>
          </cell>
          <cell r="K1989">
            <v>98841.17</v>
          </cell>
          <cell r="L1989">
            <v>98841.17</v>
          </cell>
          <cell r="M1989">
            <v>98841.17</v>
          </cell>
          <cell r="N1989">
            <v>98841.17</v>
          </cell>
          <cell r="O1989">
            <v>1186094.04</v>
          </cell>
        </row>
        <row r="1990">
          <cell r="A1990" t="str">
            <v>6810071</v>
          </cell>
          <cell r="B1990" t="str">
            <v>Depreciation - CI/BSR Rider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</row>
        <row r="1991">
          <cell r="A1991" t="str">
            <v>6810090</v>
          </cell>
          <cell r="B1991" t="str">
            <v>Depreciation – SPPCRC</v>
          </cell>
          <cell r="C1991">
            <v>1024.6683608000001</v>
          </cell>
          <cell r="D1991">
            <v>23222.903039299999</v>
          </cell>
          <cell r="E1991">
            <v>47488.2477115</v>
          </cell>
          <cell r="F1991">
            <v>65748.814639000004</v>
          </cell>
          <cell r="G1991">
            <v>85247.372738799997</v>
          </cell>
          <cell r="H1991">
            <v>101588.54191479999</v>
          </cell>
          <cell r="I1991">
            <v>117269.99715539999</v>
          </cell>
          <cell r="J1991">
            <v>130586.6669458</v>
          </cell>
          <cell r="K1991">
            <v>146232.9653173</v>
          </cell>
          <cell r="L1991">
            <v>160105.31633939999</v>
          </cell>
          <cell r="M1991">
            <v>178068.45301339999</v>
          </cell>
          <cell r="N1991">
            <v>190584.84142429999</v>
          </cell>
          <cell r="O1991">
            <v>1247168.7885997999</v>
          </cell>
        </row>
        <row r="1992">
          <cell r="A1992" t="str">
            <v>6810120</v>
          </cell>
          <cell r="B1992" t="str">
            <v>Depreciation - Fuel Clause Assets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</row>
        <row r="1993">
          <cell r="A1993">
            <v>6810140</v>
          </cell>
          <cell r="B1993" t="str">
            <v>Depreciation - Conservation</v>
          </cell>
          <cell r="C1993">
            <v>458125</v>
          </cell>
          <cell r="D1993">
            <v>458125</v>
          </cell>
          <cell r="E1993">
            <v>458125</v>
          </cell>
          <cell r="F1993">
            <v>458125</v>
          </cell>
          <cell r="G1993">
            <v>458125</v>
          </cell>
          <cell r="H1993">
            <v>458125</v>
          </cell>
          <cell r="I1993">
            <v>458125</v>
          </cell>
          <cell r="J1993">
            <v>458125</v>
          </cell>
          <cell r="K1993">
            <v>458125</v>
          </cell>
          <cell r="L1993">
            <v>458125</v>
          </cell>
          <cell r="M1993">
            <v>458125</v>
          </cell>
          <cell r="N1993">
            <v>458125</v>
          </cell>
          <cell r="O1993">
            <v>5497500</v>
          </cell>
        </row>
        <row r="1994">
          <cell r="A1994" t="str">
            <v>6810200</v>
          </cell>
          <cell r="B1994" t="str">
            <v>Depreciation - Non-Refundable CIAC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</row>
        <row r="1995">
          <cell r="A1995" t="str">
            <v>6810800</v>
          </cell>
          <cell r="B1995" t="str">
            <v>Depreciation - Other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</row>
        <row r="1996">
          <cell r="A1996" t="str">
            <v>6810801</v>
          </cell>
          <cell r="B1996" t="str">
            <v>Depreciation - Other - GAAP adjustment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</row>
        <row r="1997">
          <cell r="A1997" t="str">
            <v>6810802</v>
          </cell>
          <cell r="B1997" t="str">
            <v>Depreciation - Other - Leased Assets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</row>
        <row r="1998">
          <cell r="A1998" t="str">
            <v>6819000</v>
          </cell>
          <cell r="B1998" t="str">
            <v>Depreciation Expense sent to Balance Sheet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</row>
        <row r="1999">
          <cell r="A1999" t="str">
            <v>6820000</v>
          </cell>
          <cell r="B1999" t="str">
            <v>Asset Impairment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</row>
        <row r="2000">
          <cell r="A2000" t="str">
            <v>6820100</v>
          </cell>
          <cell r="B2000" t="str">
            <v>Goodwill Impairment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</row>
        <row r="2001">
          <cell r="A2001" t="str">
            <v>6900010</v>
          </cell>
          <cell r="B2001" t="str">
            <v>TOTI - Franchise Fees</v>
          </cell>
          <cell r="C2001">
            <v>3665000</v>
          </cell>
          <cell r="D2001">
            <v>3412000</v>
          </cell>
          <cell r="E2001">
            <v>3353000</v>
          </cell>
          <cell r="F2001">
            <v>3525000</v>
          </cell>
          <cell r="G2001">
            <v>3899000</v>
          </cell>
          <cell r="H2001">
            <v>4514000</v>
          </cell>
          <cell r="I2001">
            <v>4707000</v>
          </cell>
          <cell r="J2001">
            <v>4676000</v>
          </cell>
          <cell r="K2001">
            <v>4877000</v>
          </cell>
          <cell r="L2001">
            <v>4430000</v>
          </cell>
          <cell r="M2001">
            <v>3742000</v>
          </cell>
          <cell r="N2001">
            <v>3561000</v>
          </cell>
          <cell r="O2001">
            <v>48361000</v>
          </cell>
        </row>
        <row r="2002">
          <cell r="A2002" t="str">
            <v>6900020</v>
          </cell>
          <cell r="B2002" t="str">
            <v>TOTI - Foreign Withholding Tax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</row>
        <row r="2003">
          <cell r="A2003" t="str">
            <v>6900030</v>
          </cell>
          <cell r="B2003" t="str">
            <v>TOTI - Gross Receipts</v>
          </cell>
          <cell r="C2003">
            <v>3614000</v>
          </cell>
          <cell r="D2003">
            <v>3354000</v>
          </cell>
          <cell r="E2003">
            <v>3292000</v>
          </cell>
          <cell r="F2003">
            <v>3468000</v>
          </cell>
          <cell r="G2003">
            <v>3853000</v>
          </cell>
          <cell r="H2003">
            <v>4484000</v>
          </cell>
          <cell r="I2003">
            <v>4682000</v>
          </cell>
          <cell r="J2003">
            <v>4650000</v>
          </cell>
          <cell r="K2003">
            <v>4856000</v>
          </cell>
          <cell r="L2003">
            <v>4397000</v>
          </cell>
          <cell r="M2003">
            <v>3689000</v>
          </cell>
          <cell r="N2003">
            <v>3503000</v>
          </cell>
          <cell r="O2003">
            <v>47842000</v>
          </cell>
        </row>
        <row r="2004">
          <cell r="A2004" t="str">
            <v>6900040</v>
          </cell>
          <cell r="B2004" t="str">
            <v>TOTI - Payroll Tax</v>
          </cell>
          <cell r="C2004">
            <v>2256139.8716666</v>
          </cell>
          <cell r="D2004">
            <v>1519947.8716666</v>
          </cell>
          <cell r="E2004">
            <v>1641433.8733333</v>
          </cell>
          <cell r="F2004">
            <v>1578139.8716666</v>
          </cell>
          <cell r="G2004">
            <v>1463139.8716666</v>
          </cell>
          <cell r="H2004">
            <v>1644433.8733333</v>
          </cell>
          <cell r="I2004">
            <v>1573139.8716666</v>
          </cell>
          <cell r="J2004">
            <v>1526139.8716666</v>
          </cell>
          <cell r="K2004">
            <v>1664433.8733333</v>
          </cell>
          <cell r="L2004">
            <v>1509139.8716666</v>
          </cell>
          <cell r="M2004">
            <v>1513139.8716666</v>
          </cell>
          <cell r="N2004">
            <v>2454433.8733333</v>
          </cell>
          <cell r="O2004">
            <v>20343662.466665998</v>
          </cell>
        </row>
        <row r="2005">
          <cell r="A2005" t="str">
            <v>6900045</v>
          </cell>
          <cell r="B2005" t="str">
            <v>TOTI - Payroll Tax - Capitalized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</row>
        <row r="2006">
          <cell r="A2006" t="str">
            <v>6900050</v>
          </cell>
          <cell r="B2006" t="str">
            <v>TOTI - Social Security - IGSS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</row>
        <row r="2007">
          <cell r="A2007" t="str">
            <v>6900060</v>
          </cell>
          <cell r="B2007" t="str">
            <v>TOTI - Property Tax - Above the line</v>
          </cell>
          <cell r="C2007">
            <v>5790000</v>
          </cell>
          <cell r="D2007">
            <v>5790000</v>
          </cell>
          <cell r="E2007">
            <v>5790000</v>
          </cell>
          <cell r="F2007">
            <v>5790000</v>
          </cell>
          <cell r="G2007">
            <v>5790000</v>
          </cell>
          <cell r="H2007">
            <v>5790000</v>
          </cell>
          <cell r="I2007">
            <v>5790000</v>
          </cell>
          <cell r="J2007">
            <v>5790000</v>
          </cell>
          <cell r="K2007">
            <v>5790000</v>
          </cell>
          <cell r="L2007">
            <v>5790000</v>
          </cell>
          <cell r="M2007">
            <v>5790000</v>
          </cell>
          <cell r="N2007">
            <v>5790000</v>
          </cell>
          <cell r="O2007">
            <v>69480000</v>
          </cell>
        </row>
        <row r="2008">
          <cell r="A2008" t="str">
            <v>6900061</v>
          </cell>
          <cell r="B2008" t="str">
            <v>TOTI - Property Tax - Above the line - GAAP Adj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</row>
        <row r="2009">
          <cell r="A2009" t="str">
            <v>6900065</v>
          </cell>
          <cell r="B2009" t="str">
            <v>TOTI - Property Tax - Below the line</v>
          </cell>
          <cell r="C2009">
            <v>9000</v>
          </cell>
          <cell r="D2009">
            <v>9000</v>
          </cell>
          <cell r="E2009">
            <v>9000</v>
          </cell>
          <cell r="F2009">
            <v>9000</v>
          </cell>
          <cell r="G2009">
            <v>9000</v>
          </cell>
          <cell r="H2009">
            <v>9000</v>
          </cell>
          <cell r="I2009">
            <v>9000</v>
          </cell>
          <cell r="J2009">
            <v>9000</v>
          </cell>
          <cell r="K2009">
            <v>9000</v>
          </cell>
          <cell r="L2009">
            <v>9000</v>
          </cell>
          <cell r="M2009">
            <v>9000</v>
          </cell>
          <cell r="N2009">
            <v>9000</v>
          </cell>
          <cell r="O2009">
            <v>108000</v>
          </cell>
        </row>
        <row r="2010">
          <cell r="A2010" t="str">
            <v>6900070</v>
          </cell>
          <cell r="B2010" t="str">
            <v>TOTI - Regulatory Assessment Fee</v>
          </cell>
          <cell r="C2010">
            <v>107000</v>
          </cell>
          <cell r="D2010">
            <v>100000</v>
          </cell>
          <cell r="E2010">
            <v>98000</v>
          </cell>
          <cell r="F2010">
            <v>103000</v>
          </cell>
          <cell r="G2010">
            <v>114000</v>
          </cell>
          <cell r="H2010">
            <v>132000</v>
          </cell>
          <cell r="I2010">
            <v>138000</v>
          </cell>
          <cell r="J2010">
            <v>137000</v>
          </cell>
          <cell r="K2010">
            <v>143000</v>
          </cell>
          <cell r="L2010">
            <v>130000</v>
          </cell>
          <cell r="M2010">
            <v>109000</v>
          </cell>
          <cell r="N2010">
            <v>104000</v>
          </cell>
          <cell r="O2010">
            <v>1415000</v>
          </cell>
        </row>
        <row r="2011">
          <cell r="A2011" t="str">
            <v>6900080</v>
          </cell>
          <cell r="B2011" t="str">
            <v>TOTI - Sales and Use</v>
          </cell>
          <cell r="C2011">
            <v>15000</v>
          </cell>
          <cell r="D2011">
            <v>15000</v>
          </cell>
          <cell r="E2011">
            <v>15000</v>
          </cell>
          <cell r="F2011">
            <v>15000</v>
          </cell>
          <cell r="G2011">
            <v>15000</v>
          </cell>
          <cell r="H2011">
            <v>15000</v>
          </cell>
          <cell r="I2011">
            <v>15000</v>
          </cell>
          <cell r="J2011">
            <v>15000</v>
          </cell>
          <cell r="K2011">
            <v>15000</v>
          </cell>
          <cell r="L2011">
            <v>15000</v>
          </cell>
          <cell r="M2011">
            <v>15000</v>
          </cell>
          <cell r="N2011">
            <v>15000</v>
          </cell>
          <cell r="O2011">
            <v>180000</v>
          </cell>
        </row>
        <row r="2012">
          <cell r="A2012" t="str">
            <v>6900090</v>
          </cell>
          <cell r="B2012" t="str">
            <v>TOTI - Stamp Tax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</row>
        <row r="2013">
          <cell r="A2013" t="str">
            <v>6900100</v>
          </cell>
          <cell r="B2013" t="str">
            <v>TOTI - State Intangible Gov't Leasehold Tax</v>
          </cell>
          <cell r="C2013">
            <v>0</v>
          </cell>
          <cell r="D2013">
            <v>3000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3000</v>
          </cell>
        </row>
        <row r="2014">
          <cell r="A2014" t="str">
            <v>6900110</v>
          </cell>
          <cell r="B2014" t="str">
            <v>TOTI - Federal Excise Tax</v>
          </cell>
          <cell r="C2014">
            <v>1703.3333333999999</v>
          </cell>
          <cell r="D2014">
            <v>3703.3333333999999</v>
          </cell>
          <cell r="E2014">
            <v>1703.3333333999999</v>
          </cell>
          <cell r="F2014">
            <v>1703.3333333999999</v>
          </cell>
          <cell r="G2014">
            <v>1703.3333333999999</v>
          </cell>
          <cell r="H2014">
            <v>1703.3333333999999</v>
          </cell>
          <cell r="I2014">
            <v>1703.3333333999999</v>
          </cell>
          <cell r="J2014">
            <v>9703.3333333999999</v>
          </cell>
          <cell r="K2014">
            <v>1703.3333333999999</v>
          </cell>
          <cell r="L2014">
            <v>1703.3333333999999</v>
          </cell>
          <cell r="M2014">
            <v>2703.3333333999999</v>
          </cell>
          <cell r="N2014">
            <v>1703.3333333999999</v>
          </cell>
          <cell r="O2014">
            <v>31440.000000799992</v>
          </cell>
        </row>
        <row r="2015">
          <cell r="A2015" t="str">
            <v>6900120</v>
          </cell>
          <cell r="B2015" t="str">
            <v>TOTI - County/City Business License Tax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9000</v>
          </cell>
          <cell r="L2015">
            <v>0</v>
          </cell>
          <cell r="M2015">
            <v>0</v>
          </cell>
          <cell r="N2015">
            <v>0</v>
          </cell>
          <cell r="O2015">
            <v>9000</v>
          </cell>
        </row>
        <row r="2016">
          <cell r="A2016" t="str">
            <v>6900800</v>
          </cell>
          <cell r="B2016" t="str">
            <v>Taxes other than income - Other</v>
          </cell>
          <cell r="C2016">
            <v>-599000</v>
          </cell>
          <cell r="D2016">
            <v>-372000</v>
          </cell>
          <cell r="E2016">
            <v>-425000</v>
          </cell>
          <cell r="F2016">
            <v>-422000</v>
          </cell>
          <cell r="G2016">
            <v>-408000</v>
          </cell>
          <cell r="H2016">
            <v>-430000</v>
          </cell>
          <cell r="I2016">
            <v>-442000</v>
          </cell>
          <cell r="J2016">
            <v>-426000</v>
          </cell>
          <cell r="K2016">
            <v>-440000</v>
          </cell>
          <cell r="L2016">
            <v>-428000</v>
          </cell>
          <cell r="M2016">
            <v>-425000</v>
          </cell>
          <cell r="N2016">
            <v>-675000</v>
          </cell>
          <cell r="O2016">
            <v>-5492000</v>
          </cell>
        </row>
        <row r="2017">
          <cell r="A2017" t="str">
            <v>6909000</v>
          </cell>
          <cell r="B2017" t="str">
            <v>Taxes other than income Exp sent to Balance Sheet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</row>
        <row r="2018">
          <cell r="A2018" t="str">
            <v>7000070</v>
          </cell>
          <cell r="B2018" t="str">
            <v>Interest Inc - Defd Wholesale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</row>
        <row r="2019">
          <cell r="A2019" t="str">
            <v>7000080</v>
          </cell>
          <cell r="B2019" t="str">
            <v>Interest Inc - Dividends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</row>
        <row r="2020">
          <cell r="A2020" t="str">
            <v>7000090</v>
          </cell>
          <cell r="B2020" t="str">
            <v>Interest Inc - Deferred Cost Recovery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</row>
        <row r="2021">
          <cell r="A2021" t="str">
            <v>7000220</v>
          </cell>
          <cell r="B2021" t="str">
            <v>Interest Inc - Defd Fuel Clause</v>
          </cell>
          <cell r="C2021">
            <v>6891</v>
          </cell>
          <cell r="D2021">
            <v>6778</v>
          </cell>
          <cell r="E2021">
            <v>7081</v>
          </cell>
          <cell r="F2021">
            <v>7152</v>
          </cell>
          <cell r="G2021">
            <v>7010</v>
          </cell>
          <cell r="H2021">
            <v>6645</v>
          </cell>
          <cell r="I2021">
            <v>5475</v>
          </cell>
          <cell r="J2021">
            <v>4372</v>
          </cell>
          <cell r="K2021">
            <v>2537</v>
          </cell>
          <cell r="L2021">
            <v>781</v>
          </cell>
          <cell r="M2021">
            <v>0</v>
          </cell>
          <cell r="N2021">
            <v>0</v>
          </cell>
          <cell r="O2021">
            <v>54722</v>
          </cell>
        </row>
        <row r="2022">
          <cell r="A2022" t="str">
            <v>7000230</v>
          </cell>
          <cell r="B2022" t="str">
            <v>Interest Inc - Defd Capacity Clause</v>
          </cell>
          <cell r="C2022">
            <v>727</v>
          </cell>
          <cell r="D2022">
            <v>1167</v>
          </cell>
          <cell r="E2022">
            <v>1372</v>
          </cell>
          <cell r="F2022">
            <v>1342</v>
          </cell>
          <cell r="G2022">
            <v>1311</v>
          </cell>
          <cell r="H2022">
            <v>1278</v>
          </cell>
          <cell r="I2022">
            <v>1245</v>
          </cell>
          <cell r="J2022">
            <v>1211</v>
          </cell>
          <cell r="K2022">
            <v>1177</v>
          </cell>
          <cell r="L2022">
            <v>1144</v>
          </cell>
          <cell r="M2022">
            <v>1111</v>
          </cell>
          <cell r="N2022">
            <v>1080</v>
          </cell>
          <cell r="O2022">
            <v>14165</v>
          </cell>
        </row>
        <row r="2023">
          <cell r="A2023" t="str">
            <v>7000240</v>
          </cell>
          <cell r="B2023" t="str">
            <v>Interest Inc - Defd Conservation Clause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</row>
        <row r="2024">
          <cell r="A2024" t="str">
            <v>7000250</v>
          </cell>
          <cell r="B2024" t="str">
            <v>Interest Inc - Defd Environmental Clause</v>
          </cell>
          <cell r="C2024">
            <v>0</v>
          </cell>
          <cell r="D2024">
            <v>0</v>
          </cell>
          <cell r="E2024">
            <v>74</v>
          </cell>
          <cell r="F2024">
            <v>176</v>
          </cell>
          <cell r="G2024">
            <v>175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425</v>
          </cell>
        </row>
        <row r="2025">
          <cell r="A2025" t="str">
            <v>7000260</v>
          </cell>
          <cell r="B2025" t="str">
            <v>Interest Inc - Defd Purchased Gas Adj Clause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</row>
        <row r="2026">
          <cell r="A2026" t="str">
            <v>7000270</v>
          </cell>
          <cell r="B2026" t="str">
            <v>Interest Inc - Defd Competitive Rate Adj Clause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</row>
        <row r="2027">
          <cell r="A2027" t="str">
            <v>7000271</v>
          </cell>
          <cell r="B2027" t="str">
            <v>Interest Inc - Defd CI/BSR Rider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</row>
        <row r="2028">
          <cell r="A2028" t="str">
            <v>7000290</v>
          </cell>
          <cell r="B2028" t="str">
            <v xml:space="preserve">Interest Inc - Storm </v>
          </cell>
          <cell r="C2028">
            <v>927</v>
          </cell>
          <cell r="D2028">
            <v>1302</v>
          </cell>
          <cell r="E2028">
            <v>1202</v>
          </cell>
          <cell r="F2028">
            <v>1163</v>
          </cell>
          <cell r="G2028">
            <v>1107</v>
          </cell>
          <cell r="H2028">
            <v>911</v>
          </cell>
          <cell r="I2028">
            <v>607</v>
          </cell>
          <cell r="J2028">
            <v>287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7506</v>
          </cell>
        </row>
        <row r="2029">
          <cell r="A2029" t="str">
            <v>7000700</v>
          </cell>
          <cell r="B2029" t="str">
            <v>Interest Inc - Intercompany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</row>
        <row r="2030">
          <cell r="A2030" t="str">
            <v>7000800</v>
          </cell>
          <cell r="B2030" t="str">
            <v>Interest Inc - Miscellaneous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</row>
        <row r="2031">
          <cell r="A2031" t="str">
            <v>7009000</v>
          </cell>
          <cell r="B2031" t="str">
            <v>Interest Income sent to Balance Sheet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</row>
        <row r="2032">
          <cell r="A2032" t="str">
            <v>7100010</v>
          </cell>
          <cell r="B2032" t="str">
            <v>Allowance for other funds AFUDC Equity</v>
          </cell>
          <cell r="C2032">
            <v>2900257.0541440002</v>
          </cell>
          <cell r="D2032">
            <v>2858727.7415749999</v>
          </cell>
          <cell r="E2032">
            <v>2997683.0613540001</v>
          </cell>
          <cell r="F2032">
            <v>3131957.327486</v>
          </cell>
          <cell r="G2032">
            <v>3289679.6674480001</v>
          </cell>
          <cell r="H2032">
            <v>3513418.7217640001</v>
          </cell>
          <cell r="I2032">
            <v>3705893.5965559999</v>
          </cell>
          <cell r="J2032">
            <v>3854464.1205779999</v>
          </cell>
          <cell r="K2032">
            <v>3981263.6716840002</v>
          </cell>
          <cell r="L2032">
            <v>4092666.8239449998</v>
          </cell>
          <cell r="M2032">
            <v>3252374.9056060002</v>
          </cell>
          <cell r="N2032">
            <v>2048159.1162090001</v>
          </cell>
          <cell r="O2032">
            <v>39626545.808348998</v>
          </cell>
        </row>
        <row r="2033">
          <cell r="A2033" t="str">
            <v>7100015</v>
          </cell>
          <cell r="B2033" t="str">
            <v>Capitalized AFUDC Equity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</row>
        <row r="2034">
          <cell r="A2034" t="str">
            <v>7100020</v>
          </cell>
          <cell r="B2034" t="str">
            <v>Basic Ordering Agreement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</row>
        <row r="2035">
          <cell r="A2035" t="str">
            <v>7100400</v>
          </cell>
          <cell r="B2035" t="str">
            <v>Gain/(Loss) Sale of Non-Utility Property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</row>
        <row r="2036">
          <cell r="A2036" t="str">
            <v>7100410</v>
          </cell>
          <cell r="B2036" t="str">
            <v>Gain/(Loss) Sale of Investments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</row>
        <row r="2037">
          <cell r="A2037" t="str">
            <v>7100420</v>
          </cell>
          <cell r="B2037" t="str">
            <v>Gain/(Loss) Derivative Trading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</row>
        <row r="2038">
          <cell r="A2038" t="str">
            <v>7100430</v>
          </cell>
          <cell r="B2038" t="str">
            <v>Gain/(Loss) Debt Extinguishment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</row>
        <row r="2039">
          <cell r="A2039" t="str">
            <v>7100440</v>
          </cell>
          <cell r="B2039" t="str">
            <v>Gain/(Loss) Translation Adjustment USGAAP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</row>
        <row r="2040">
          <cell r="A2040" t="str">
            <v>7100700</v>
          </cell>
          <cell r="B2040" t="str">
            <v>Oth Inc/Exp - Intercompany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</row>
        <row r="2041">
          <cell r="A2041" t="str">
            <v>7100800</v>
          </cell>
          <cell r="B2041" t="str">
            <v>Oth Inc/Exp - Miscellaneous</v>
          </cell>
          <cell r="C2041">
            <v>4754</v>
          </cell>
          <cell r="D2041">
            <v>4754</v>
          </cell>
          <cell r="E2041">
            <v>4754</v>
          </cell>
          <cell r="F2041">
            <v>4754</v>
          </cell>
          <cell r="G2041">
            <v>4754</v>
          </cell>
          <cell r="H2041">
            <v>4754</v>
          </cell>
          <cell r="I2041">
            <v>4754</v>
          </cell>
          <cell r="J2041">
            <v>4754</v>
          </cell>
          <cell r="K2041">
            <v>4754</v>
          </cell>
          <cell r="L2041">
            <v>4754</v>
          </cell>
          <cell r="M2041">
            <v>4754</v>
          </cell>
          <cell r="N2041">
            <v>4754</v>
          </cell>
          <cell r="O2041">
            <v>57048</v>
          </cell>
        </row>
        <row r="2042">
          <cell r="A2042" t="str">
            <v>7101000</v>
          </cell>
          <cell r="B2042" t="str">
            <v>Gain Sale of Utility Property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</row>
        <row r="2043">
          <cell r="A2043" t="str">
            <v>7101100</v>
          </cell>
          <cell r="B2043" t="str">
            <v>Amortization of gain on Reacquired Debt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</row>
        <row r="2044">
          <cell r="A2044" t="str">
            <v>7102000</v>
          </cell>
          <cell r="B2044" t="str">
            <v>Currency Adjustment - Realized Gain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</row>
        <row r="2045">
          <cell r="A2045" t="str">
            <v>7102100</v>
          </cell>
          <cell r="B2045" t="str">
            <v>Currency Adjustment - Unrealized Gain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</row>
        <row r="2046">
          <cell r="A2046" t="str">
            <v>7103010</v>
          </cell>
          <cell r="B2046" t="str">
            <v>Coal Sales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</row>
        <row r="2047">
          <cell r="A2047" t="str">
            <v>7103020</v>
          </cell>
          <cell r="B2047" t="str">
            <v>Jobbing Revenue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</row>
        <row r="2048">
          <cell r="A2048" t="str">
            <v>7103030</v>
          </cell>
          <cell r="B2048" t="str">
            <v>Commercial Surge Supression Equipment Revenue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</row>
        <row r="2049">
          <cell r="A2049" t="str">
            <v>7103040</v>
          </cell>
          <cell r="B2049" t="str">
            <v>Residential Surge Supression Equipment Revenue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</row>
        <row r="2050">
          <cell r="A2050" t="str">
            <v>7103050</v>
          </cell>
          <cell r="B2050" t="str">
            <v>Tree Trimming Revenue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</row>
        <row r="2051">
          <cell r="A2051" t="str">
            <v>7103060</v>
          </cell>
          <cell r="B2051" t="str">
            <v>CIAC (Capital Work Order Credit)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</row>
        <row r="2052">
          <cell r="A2052" t="str">
            <v>7103070</v>
          </cell>
          <cell r="B2052" t="str">
            <v>MSEA/MEP Credits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</row>
        <row r="2053">
          <cell r="A2053">
            <v>7103080</v>
          </cell>
          <cell r="B2053"/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</row>
        <row r="2054">
          <cell r="A2054">
            <v>7103081</v>
          </cell>
          <cell r="B2054"/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</row>
        <row r="2055">
          <cell r="A2055" t="str">
            <v>7109000</v>
          </cell>
          <cell r="B2055" t="str">
            <v>Other Income sent to Balance Sheet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</row>
        <row r="2056">
          <cell r="A2056" t="str">
            <v>7200800</v>
          </cell>
          <cell r="B2056" t="str">
            <v>Other Expense - Miscellaneous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</row>
        <row r="2057">
          <cell r="A2057" t="str">
            <v>7201000</v>
          </cell>
          <cell r="B2057" t="str">
            <v>Loss Sale of Utility Property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</row>
        <row r="2058">
          <cell r="A2058" t="str">
            <v>7201001</v>
          </cell>
          <cell r="B2058" t="str">
            <v>Loss on Disposal of Fixed Assets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</row>
        <row r="2059">
          <cell r="A2059" t="str">
            <v>7201100</v>
          </cell>
          <cell r="B2059" t="str">
            <v>Amortization of Loss on Reacquired Debt</v>
          </cell>
          <cell r="C2059">
            <v>80404.95</v>
          </cell>
          <cell r="D2059">
            <v>80404.95</v>
          </cell>
          <cell r="E2059">
            <v>80404.95</v>
          </cell>
          <cell r="F2059">
            <v>80404.95</v>
          </cell>
          <cell r="G2059">
            <v>80404.95</v>
          </cell>
          <cell r="H2059">
            <v>80404.95</v>
          </cell>
          <cell r="I2059">
            <v>80404.95</v>
          </cell>
          <cell r="J2059">
            <v>76670.289999999994</v>
          </cell>
          <cell r="K2059">
            <v>76670.289999999994</v>
          </cell>
          <cell r="L2059">
            <v>76670.289999999994</v>
          </cell>
          <cell r="M2059">
            <v>76670.289999999994</v>
          </cell>
          <cell r="N2059">
            <v>76670.289999999994</v>
          </cell>
          <cell r="O2059">
            <v>946186.10000000021</v>
          </cell>
        </row>
        <row r="2060">
          <cell r="A2060" t="str">
            <v>7202000</v>
          </cell>
          <cell r="B2060" t="str">
            <v>Currency Adjustment - Realized Loss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</row>
        <row r="2061">
          <cell r="A2061" t="str">
            <v>7202100</v>
          </cell>
          <cell r="B2061" t="str">
            <v>Currency Adjustment - Unrealized Loss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</row>
        <row r="2062">
          <cell r="A2062" t="str">
            <v>7203010</v>
          </cell>
          <cell r="B2062" t="str">
            <v>Cost of Coal Sales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</row>
        <row r="2063">
          <cell r="A2063" t="str">
            <v>7203020</v>
          </cell>
          <cell r="B2063" t="str">
            <v>Jobbing Expense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</row>
        <row r="2064">
          <cell r="A2064" t="str">
            <v>7203030</v>
          </cell>
          <cell r="B2064" t="str">
            <v>Zap Cap for Business Expense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</row>
        <row r="2065">
          <cell r="A2065" t="str">
            <v>7203040</v>
          </cell>
          <cell r="B2065" t="str">
            <v>Residential Zap Cap Expense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</row>
        <row r="2066">
          <cell r="A2066" t="str">
            <v>7203050</v>
          </cell>
          <cell r="B2066" t="str">
            <v>Tree Trimming Expense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</row>
        <row r="2067">
          <cell r="A2067" t="str">
            <v>7204010</v>
          </cell>
          <cell r="B2067" t="str">
            <v>Pension Expense - Non-service cost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</row>
        <row r="2068">
          <cell r="A2068" t="str">
            <v>7204020</v>
          </cell>
          <cell r="B2068" t="str">
            <v>Post Retirement FAS106 Active Exp-Non-service cost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</row>
        <row r="2069">
          <cell r="A2069" t="str">
            <v>7204030</v>
          </cell>
          <cell r="B2069" t="str">
            <v>Post Retirement FAS106 Retiree Exp-Non-service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</row>
        <row r="2070">
          <cell r="A2070" t="str">
            <v>7204040</v>
          </cell>
          <cell r="B2070" t="str">
            <v>Sup Exec Retirement Exp (SERP)-Non-service cost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</row>
        <row r="2071">
          <cell r="A2071" t="str">
            <v>7204050</v>
          </cell>
          <cell r="B2071" t="str">
            <v>Restoration Benefit Plan Exp - Non-service cost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</row>
        <row r="2072">
          <cell r="A2072" t="str">
            <v>7209000</v>
          </cell>
          <cell r="B2072" t="str">
            <v>Other Expense sent to Balance Sheet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</row>
        <row r="2073">
          <cell r="A2073" t="str">
            <v>7301000</v>
          </cell>
          <cell r="B2073" t="str">
            <v>Equity Earnings - Consolidated Affiliate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</row>
        <row r="2074">
          <cell r="A2074" t="str">
            <v>7302000</v>
          </cell>
          <cell r="B2074" t="str">
            <v>Equity Earnings - Unconsolidated Affiliate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</row>
        <row r="2075">
          <cell r="A2075" t="str">
            <v>7309000</v>
          </cell>
          <cell r="B2075" t="str">
            <v>Equity Earnings sent to Balance Sheet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</row>
        <row r="2076">
          <cell r="A2076" t="str">
            <v>7500010</v>
          </cell>
          <cell r="B2076" t="str">
            <v>Interest Exp - Allow for Borrowed Funds AFUDC Debt</v>
          </cell>
          <cell r="C2076">
            <v>-1391968.865856</v>
          </cell>
          <cell r="D2076">
            <v>-1372037.0084249999</v>
          </cell>
          <cell r="E2076">
            <v>-1438728.1586460001</v>
          </cell>
          <cell r="F2076">
            <v>-1503172.652514</v>
          </cell>
          <cell r="G2076">
            <v>-1578870.9725520001</v>
          </cell>
          <cell r="H2076">
            <v>-1686253.7982359999</v>
          </cell>
          <cell r="I2076">
            <v>-1778631.4834439999</v>
          </cell>
          <cell r="J2076">
            <v>-1849937.4194219999</v>
          </cell>
          <cell r="K2076">
            <v>-1910794.4483159999</v>
          </cell>
          <cell r="L2076">
            <v>-1964262.026055</v>
          </cell>
          <cell r="M2076">
            <v>-1560966.6743940001</v>
          </cell>
          <cell r="N2076">
            <v>-983007.253791</v>
          </cell>
          <cell r="O2076">
            <v>-19018630.761651002</v>
          </cell>
        </row>
        <row r="2077">
          <cell r="A2077" t="str">
            <v>7500015</v>
          </cell>
          <cell r="B2077" t="str">
            <v>Capitalized AFUDC Debt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</row>
        <row r="2078">
          <cell r="A2078" t="str">
            <v>7500016</v>
          </cell>
          <cell r="B2078" t="str">
            <v>Capitalized Interest to PP&amp;E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</row>
        <row r="2079">
          <cell r="A2079" t="str">
            <v>7500020</v>
          </cell>
          <cell r="B2079" t="str">
            <v>Interest Exp - AR Securitization</v>
          </cell>
          <cell r="C2079">
            <v>4113.12</v>
          </cell>
          <cell r="D2079">
            <v>4113.12</v>
          </cell>
          <cell r="E2079">
            <v>4113.12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12339.36</v>
          </cell>
        </row>
        <row r="2080">
          <cell r="A2080" t="str">
            <v>7500030</v>
          </cell>
          <cell r="B2080" t="str">
            <v>Interest Exp - Customer Deposits</v>
          </cell>
          <cell r="C2080">
            <v>211296.60379180001</v>
          </cell>
          <cell r="D2080">
            <v>211384.64404340001</v>
          </cell>
          <cell r="E2080">
            <v>211472.7209784</v>
          </cell>
          <cell r="F2080">
            <v>211560.83461210001</v>
          </cell>
          <cell r="G2080">
            <v>211648.9849599</v>
          </cell>
          <cell r="H2080">
            <v>211737.17203690001</v>
          </cell>
          <cell r="I2080">
            <v>211825.39585860001</v>
          </cell>
          <cell r="J2080">
            <v>211913.65644019999</v>
          </cell>
          <cell r="K2080">
            <v>212001.9537971</v>
          </cell>
          <cell r="L2080">
            <v>212090.28794450001</v>
          </cell>
          <cell r="M2080">
            <v>212178.65889779999</v>
          </cell>
          <cell r="N2080">
            <v>212267.06667229999</v>
          </cell>
          <cell r="O2080">
            <v>2541377.980033</v>
          </cell>
        </row>
        <row r="2081">
          <cell r="A2081" t="str">
            <v>7500040</v>
          </cell>
          <cell r="B2081" t="str">
            <v>Interest Exp - Deferred Cost Recovery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</row>
        <row r="2082">
          <cell r="A2082" t="str">
            <v>7500050</v>
          </cell>
          <cell r="B2082" t="str">
            <v>Interest Exp - Derivative Interest Cap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</row>
        <row r="2083">
          <cell r="A2083" t="str">
            <v>7500080</v>
          </cell>
          <cell r="B2083" t="str">
            <v>Interest Exp - Credit Facilities</v>
          </cell>
          <cell r="C2083">
            <v>60440.33</v>
          </cell>
          <cell r="D2083">
            <v>59900.37</v>
          </cell>
          <cell r="E2083">
            <v>88025.37</v>
          </cell>
          <cell r="F2083">
            <v>88025.37</v>
          </cell>
          <cell r="G2083">
            <v>88025.37</v>
          </cell>
          <cell r="H2083">
            <v>88025.37</v>
          </cell>
          <cell r="I2083">
            <v>88025.37</v>
          </cell>
          <cell r="J2083">
            <v>88025.37</v>
          </cell>
          <cell r="K2083">
            <v>88025.37</v>
          </cell>
          <cell r="L2083">
            <v>88025.37</v>
          </cell>
          <cell r="M2083">
            <v>88025.37</v>
          </cell>
          <cell r="N2083">
            <v>88025.37</v>
          </cell>
          <cell r="O2083">
            <v>1000594.4</v>
          </cell>
        </row>
        <row r="2084">
          <cell r="A2084" t="str">
            <v>7500085</v>
          </cell>
          <cell r="B2084" t="str">
            <v>Interest Exp - Amortiz of Fees Credit Facilities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</row>
        <row r="2085">
          <cell r="A2085" t="str">
            <v>7500090</v>
          </cell>
          <cell r="B2085" t="str">
            <v>Interest Exp - Other Short Term Borrowing</v>
          </cell>
          <cell r="C2085">
            <v>590454.4</v>
          </cell>
          <cell r="D2085">
            <v>349979.9</v>
          </cell>
          <cell r="E2085">
            <v>80682.95</v>
          </cell>
          <cell r="F2085">
            <v>104606.95</v>
          </cell>
          <cell r="G2085">
            <v>173188.7</v>
          </cell>
          <cell r="H2085">
            <v>254824.2</v>
          </cell>
          <cell r="I2085">
            <v>281548.95</v>
          </cell>
          <cell r="J2085">
            <v>269066.7</v>
          </cell>
          <cell r="K2085">
            <v>258624.2</v>
          </cell>
          <cell r="L2085">
            <v>252411.95</v>
          </cell>
          <cell r="M2085">
            <v>208278.7</v>
          </cell>
          <cell r="N2085">
            <v>181427.7</v>
          </cell>
          <cell r="O2085">
            <v>3005095.3000000007</v>
          </cell>
        </row>
        <row r="2086">
          <cell r="A2086" t="str">
            <v>7500100</v>
          </cell>
          <cell r="B2086" t="str">
            <v>Interest Exp - Taxes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</row>
        <row r="2087">
          <cell r="A2087" t="str">
            <v>7500110</v>
          </cell>
          <cell r="B2087" t="str">
            <v>Interest Exp - Long-term Debt</v>
          </cell>
          <cell r="C2087">
            <v>9693098.9499999993</v>
          </cell>
          <cell r="D2087">
            <v>10334765.615</v>
          </cell>
          <cell r="E2087">
            <v>10976432.279999999</v>
          </cell>
          <cell r="F2087">
            <v>10976432.279999999</v>
          </cell>
          <cell r="G2087">
            <v>10455039.060000001</v>
          </cell>
          <cell r="H2087">
            <v>9933645.8399999999</v>
          </cell>
          <cell r="I2087">
            <v>9933645.8399999999</v>
          </cell>
          <cell r="J2087">
            <v>9933645.8399999999</v>
          </cell>
          <cell r="K2087">
            <v>9933645.8399999999</v>
          </cell>
          <cell r="L2087">
            <v>9933645.8399999999</v>
          </cell>
          <cell r="M2087">
            <v>10266979.175000001</v>
          </cell>
          <cell r="N2087">
            <v>10600312.51</v>
          </cell>
          <cell r="O2087">
            <v>122971289.07000002</v>
          </cell>
        </row>
        <row r="2088">
          <cell r="A2088" t="str">
            <v>7500120</v>
          </cell>
          <cell r="B2088" t="str">
            <v>Amortization of discount on Debt</v>
          </cell>
          <cell r="C2088">
            <v>31308.38</v>
          </cell>
          <cell r="D2088">
            <v>31308.38</v>
          </cell>
          <cell r="E2088">
            <v>31308.38</v>
          </cell>
          <cell r="F2088">
            <v>31308.38</v>
          </cell>
          <cell r="G2088">
            <v>31308.38</v>
          </cell>
          <cell r="H2088">
            <v>31308.38</v>
          </cell>
          <cell r="I2088">
            <v>31308.38</v>
          </cell>
          <cell r="J2088">
            <v>31308.38</v>
          </cell>
          <cell r="K2088">
            <v>31308.38</v>
          </cell>
          <cell r="L2088">
            <v>31308.38</v>
          </cell>
          <cell r="M2088">
            <v>31308.38</v>
          </cell>
          <cell r="N2088">
            <v>31308.38</v>
          </cell>
          <cell r="O2088">
            <v>375700.56</v>
          </cell>
        </row>
        <row r="2089">
          <cell r="A2089" t="str">
            <v>7500125</v>
          </cell>
          <cell r="B2089" t="str">
            <v>Amortization of premium on Debt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</row>
        <row r="2090">
          <cell r="A2090" t="str">
            <v>7500130</v>
          </cell>
          <cell r="B2090" t="str">
            <v>Interest Exp - Amortiz of Fees on Long-term Debt</v>
          </cell>
          <cell r="C2090">
            <v>87315.34</v>
          </cell>
          <cell r="D2090">
            <v>102593.1177778</v>
          </cell>
          <cell r="E2090">
            <v>102593.1177778</v>
          </cell>
          <cell r="F2090">
            <v>102593.1177778</v>
          </cell>
          <cell r="G2090">
            <v>102593.1177778</v>
          </cell>
          <cell r="H2090">
            <v>102593.1177778</v>
          </cell>
          <cell r="I2090">
            <v>102593.1177778</v>
          </cell>
          <cell r="J2090">
            <v>102593.1177778</v>
          </cell>
          <cell r="K2090">
            <v>102593.1177778</v>
          </cell>
          <cell r="L2090">
            <v>102593.1177778</v>
          </cell>
          <cell r="M2090">
            <v>109537.56222219999</v>
          </cell>
          <cell r="N2090">
            <v>109537.56222219999</v>
          </cell>
          <cell r="O2090">
            <v>1229728.5244445999</v>
          </cell>
        </row>
        <row r="2091">
          <cell r="A2091" t="str">
            <v>7500190</v>
          </cell>
          <cell r="B2091" t="str">
            <v>Interest Exp - Capitalized Interest Long-term Debt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</row>
        <row r="2092">
          <cell r="A2092" t="str">
            <v>7500220</v>
          </cell>
          <cell r="B2092" t="str">
            <v>Interest Exp - Defd Fuel Clause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-634</v>
          </cell>
          <cell r="N2092">
            <v>-1468</v>
          </cell>
          <cell r="O2092">
            <v>-2102</v>
          </cell>
        </row>
        <row r="2093">
          <cell r="A2093" t="str">
            <v>7500230</v>
          </cell>
          <cell r="B2093" t="str">
            <v>Interest Exp - Defd Capacity Clause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</row>
        <row r="2094">
          <cell r="A2094" t="str">
            <v>7500240</v>
          </cell>
          <cell r="B2094" t="str">
            <v>Interest Exp - Defd Conservation Clause</v>
          </cell>
          <cell r="C2094">
            <v>-6455</v>
          </cell>
          <cell r="D2094">
            <v>-5974</v>
          </cell>
          <cell r="E2094">
            <v>-5477</v>
          </cell>
          <cell r="F2094">
            <v>-4967</v>
          </cell>
          <cell r="G2094">
            <v>-4509</v>
          </cell>
          <cell r="H2094">
            <v>-4166</v>
          </cell>
          <cell r="I2094">
            <v>-3826</v>
          </cell>
          <cell r="J2094">
            <v>-3499</v>
          </cell>
          <cell r="K2094">
            <v>-3226</v>
          </cell>
          <cell r="L2094">
            <v>-2924</v>
          </cell>
          <cell r="M2094">
            <v>-2536</v>
          </cell>
          <cell r="N2094">
            <v>-2057</v>
          </cell>
          <cell r="O2094">
            <v>-49616</v>
          </cell>
        </row>
        <row r="2095">
          <cell r="A2095" t="str">
            <v>7500250</v>
          </cell>
          <cell r="B2095" t="str">
            <v>Interest Exp - Defd Environmental Clause</v>
          </cell>
          <cell r="C2095">
            <v>-72</v>
          </cell>
          <cell r="D2095">
            <v>-52</v>
          </cell>
          <cell r="E2095">
            <v>0</v>
          </cell>
          <cell r="F2095">
            <v>0</v>
          </cell>
          <cell r="G2095">
            <v>0</v>
          </cell>
          <cell r="H2095">
            <v>-3</v>
          </cell>
          <cell r="I2095">
            <v>-332</v>
          </cell>
          <cell r="J2095">
            <v>-690</v>
          </cell>
          <cell r="K2095">
            <v>-1078</v>
          </cell>
          <cell r="L2095">
            <v>-1420</v>
          </cell>
          <cell r="M2095">
            <v>-1554</v>
          </cell>
          <cell r="N2095">
            <v>-1531</v>
          </cell>
          <cell r="O2095">
            <v>-6732</v>
          </cell>
        </row>
        <row r="2096">
          <cell r="A2096" t="str">
            <v>7500260</v>
          </cell>
          <cell r="B2096" t="str">
            <v>Interest Exp - Defd Purchased Gas Adj Clause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</row>
        <row r="2097">
          <cell r="A2097" t="str">
            <v>7500271</v>
          </cell>
          <cell r="B2097" t="str">
            <v>Interest Exp - Defd CI/BSR Rider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</row>
        <row r="2098">
          <cell r="A2098" t="str">
            <v>7500290</v>
          </cell>
          <cell r="B2098" t="str">
            <v>Interst Exp - Storm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-33</v>
          </cell>
          <cell r="L2098">
            <v>-291</v>
          </cell>
          <cell r="M2098">
            <v>-385</v>
          </cell>
          <cell r="N2098">
            <v>-342</v>
          </cell>
          <cell r="O2098">
            <v>-1051</v>
          </cell>
        </row>
        <row r="2099">
          <cell r="A2099" t="str">
            <v>7500700</v>
          </cell>
          <cell r="B2099" t="str">
            <v>Interest Exp - Intercompany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</row>
        <row r="2100">
          <cell r="A2100" t="str">
            <v>7500800</v>
          </cell>
          <cell r="B2100" t="str">
            <v>Interest Exp - Miscellaneous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</row>
        <row r="2101">
          <cell r="A2101" t="str">
            <v>7509000</v>
          </cell>
          <cell r="B2101" t="str">
            <v>Interest Expense sent to Balance Sheet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</row>
        <row r="2102">
          <cell r="A2102" t="str">
            <v>8000300</v>
          </cell>
          <cell r="B2102" t="str">
            <v>Federal Income Tax Expense</v>
          </cell>
          <cell r="C2102">
            <v>-134902.26999999999</v>
          </cell>
          <cell r="D2102">
            <v>-29038.97</v>
          </cell>
          <cell r="E2102">
            <v>-15402.15</v>
          </cell>
          <cell r="F2102">
            <v>-9677.39</v>
          </cell>
          <cell r="G2102">
            <v>-24043.07</v>
          </cell>
          <cell r="H2102">
            <v>-28844.92</v>
          </cell>
          <cell r="I2102">
            <v>-27634.5</v>
          </cell>
          <cell r="J2102">
            <v>8018.91</v>
          </cell>
          <cell r="K2102">
            <v>9436.85</v>
          </cell>
          <cell r="L2102">
            <v>-6346.79</v>
          </cell>
          <cell r="M2102">
            <v>8400.1200000000008</v>
          </cell>
          <cell r="N2102">
            <v>11228.32</v>
          </cell>
          <cell r="O2102">
            <v>-238805.85999999996</v>
          </cell>
        </row>
        <row r="2103">
          <cell r="A2103" t="str">
            <v>8000310</v>
          </cell>
          <cell r="B2103" t="str">
            <v>Federal Income Tax Expense - Above Line</v>
          </cell>
          <cell r="C2103">
            <v>-3278271.16</v>
          </cell>
          <cell r="D2103">
            <v>-7700304.46</v>
          </cell>
          <cell r="E2103">
            <v>-1827525.9</v>
          </cell>
          <cell r="F2103">
            <v>546181.51</v>
          </cell>
          <cell r="G2103">
            <v>3328232</v>
          </cell>
          <cell r="H2103">
            <v>5765809.0099999998</v>
          </cell>
          <cell r="I2103">
            <v>7039649.5499999998</v>
          </cell>
          <cell r="J2103">
            <v>7063561.0199999996</v>
          </cell>
          <cell r="K2103">
            <v>6493238.8499999996</v>
          </cell>
          <cell r="L2103">
            <v>3735160.19</v>
          </cell>
          <cell r="M2103">
            <v>-38770.58</v>
          </cell>
          <cell r="N2103">
            <v>-1415861.87</v>
          </cell>
          <cell r="O2103">
            <v>19711098.159999996</v>
          </cell>
        </row>
        <row r="2104">
          <cell r="A2104" t="str">
            <v>8000400</v>
          </cell>
          <cell r="B2104" t="str">
            <v>State Income Tax Expense</v>
          </cell>
          <cell r="C2104">
            <v>-29974.07</v>
          </cell>
          <cell r="D2104">
            <v>-6452.2</v>
          </cell>
          <cell r="E2104">
            <v>-3422.22</v>
          </cell>
          <cell r="F2104">
            <v>-2150.2199999999998</v>
          </cell>
          <cell r="G2104">
            <v>-5342.16</v>
          </cell>
          <cell r="H2104">
            <v>-6409.08</v>
          </cell>
          <cell r="I2104">
            <v>-6140.14</v>
          </cell>
          <cell r="J2104">
            <v>1781.73</v>
          </cell>
          <cell r="K2104">
            <v>2096.79</v>
          </cell>
          <cell r="L2104">
            <v>-1410.2</v>
          </cell>
          <cell r="M2104">
            <v>1866.43</v>
          </cell>
          <cell r="N2104">
            <v>2494.83</v>
          </cell>
          <cell r="O2104">
            <v>-53060.509999999987</v>
          </cell>
        </row>
        <row r="2105">
          <cell r="A2105" t="str">
            <v>8000410</v>
          </cell>
          <cell r="B2105" t="str">
            <v>State Income Tax Expense - Above Line</v>
          </cell>
          <cell r="C2105">
            <v>29974.07</v>
          </cell>
          <cell r="D2105">
            <v>6452.2</v>
          </cell>
          <cell r="E2105">
            <v>3422.22</v>
          </cell>
          <cell r="F2105">
            <v>2150.2199999999998</v>
          </cell>
          <cell r="G2105">
            <v>5342.16</v>
          </cell>
          <cell r="H2105">
            <v>6409.08</v>
          </cell>
          <cell r="I2105">
            <v>6140.14</v>
          </cell>
          <cell r="J2105">
            <v>-1781.73</v>
          </cell>
          <cell r="K2105">
            <v>-2096.79</v>
          </cell>
          <cell r="L2105">
            <v>1410.2</v>
          </cell>
          <cell r="M2105">
            <v>-1866.43</v>
          </cell>
          <cell r="N2105">
            <v>-2494.83</v>
          </cell>
          <cell r="O2105">
            <v>53060.509999999987</v>
          </cell>
        </row>
        <row r="2106">
          <cell r="A2106" t="str">
            <v>8000500</v>
          </cell>
          <cell r="B2106" t="str">
            <v>Income Tax Expense - Foreign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</row>
        <row r="2107">
          <cell r="A2107" t="str">
            <v>8009000</v>
          </cell>
          <cell r="B2107" t="str">
            <v>Income Tax Expense-Current sent to Balance Sheet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</row>
        <row r="2108">
          <cell r="A2108" t="str">
            <v>8010300</v>
          </cell>
          <cell r="B2108" t="str">
            <v>Deferred Federal Income Tax Exp</v>
          </cell>
          <cell r="C2108">
            <v>9474098.1400000006</v>
          </cell>
          <cell r="D2108">
            <v>12376456.800000001</v>
          </cell>
          <cell r="E2108">
            <v>10662852.83</v>
          </cell>
          <cell r="F2108">
            <v>5456528.7599999998</v>
          </cell>
          <cell r="G2108">
            <v>5415917.8099999996</v>
          </cell>
          <cell r="H2108">
            <v>5458125.6900000004</v>
          </cell>
          <cell r="I2108">
            <v>5409346.4299999997</v>
          </cell>
          <cell r="J2108">
            <v>5530077.3300000001</v>
          </cell>
          <cell r="K2108">
            <v>5431813.6900000004</v>
          </cell>
          <cell r="L2108">
            <v>5180448.1900000004</v>
          </cell>
          <cell r="M2108">
            <v>5163346.0999999996</v>
          </cell>
          <cell r="N2108">
            <v>8366005.5599999996</v>
          </cell>
          <cell r="O2108">
            <v>83925017.329999998</v>
          </cell>
        </row>
        <row r="2109">
          <cell r="A2109" t="str">
            <v>8010305</v>
          </cell>
          <cell r="B2109" t="str">
            <v>Deferred Federal Income Tax Exp - Non-Utility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</row>
        <row r="2110">
          <cell r="A2110" t="str">
            <v>8010310</v>
          </cell>
          <cell r="B2110" t="str">
            <v>Deferred Federal Income Tax Exp - Cr</v>
          </cell>
          <cell r="C2110">
            <v>-29752817.48</v>
          </cell>
          <cell r="D2110">
            <v>-4011585.16</v>
          </cell>
          <cell r="E2110">
            <v>-4227565.82</v>
          </cell>
          <cell r="F2110">
            <v>-3596084.6</v>
          </cell>
          <cell r="G2110">
            <v>-4335199.21</v>
          </cell>
          <cell r="H2110">
            <v>-6926971.5899999999</v>
          </cell>
          <cell r="I2110">
            <v>-5775179.9100000001</v>
          </cell>
          <cell r="J2110">
            <v>-4576132.03</v>
          </cell>
          <cell r="K2110">
            <v>-12006473.91</v>
          </cell>
          <cell r="L2110">
            <v>-3974627.46</v>
          </cell>
          <cell r="M2110">
            <v>-70106474.609999999</v>
          </cell>
          <cell r="N2110">
            <v>-3877126.79</v>
          </cell>
          <cell r="O2110">
            <v>-153166238.56999996</v>
          </cell>
        </row>
        <row r="2111">
          <cell r="A2111" t="str">
            <v>8010315</v>
          </cell>
          <cell r="B2111" t="str">
            <v>Deferred Federal Income Tax Exp - Cr Non-Utility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</row>
        <row r="2112">
          <cell r="A2112" t="str">
            <v>8010320</v>
          </cell>
          <cell r="B2112" t="str">
            <v>DIT Federal Accelerated Amortization Property</v>
          </cell>
          <cell r="C2112">
            <v>1837.27</v>
          </cell>
          <cell r="D2112">
            <v>1837.28</v>
          </cell>
          <cell r="E2112">
            <v>1837.27</v>
          </cell>
          <cell r="F2112">
            <v>1837.28</v>
          </cell>
          <cell r="G2112">
            <v>1837.27</v>
          </cell>
          <cell r="H2112">
            <v>1837.28</v>
          </cell>
          <cell r="I2112">
            <v>1837.27</v>
          </cell>
          <cell r="J2112">
            <v>1837.27</v>
          </cell>
          <cell r="K2112">
            <v>1837.28</v>
          </cell>
          <cell r="L2112">
            <v>1837.27</v>
          </cell>
          <cell r="M2112">
            <v>1837.28</v>
          </cell>
          <cell r="N2112">
            <v>1837.27</v>
          </cell>
          <cell r="O2112">
            <v>22047.29</v>
          </cell>
        </row>
        <row r="2113">
          <cell r="A2113" t="str">
            <v>8010330</v>
          </cell>
          <cell r="B2113" t="str">
            <v>DIT Federal Accelerated Amortization Property - Cr</v>
          </cell>
          <cell r="C2113">
            <v>-19464.990000000002</v>
          </cell>
          <cell r="D2113">
            <v>-19465.009999999998</v>
          </cell>
          <cell r="E2113">
            <v>-19464.990000000002</v>
          </cell>
          <cell r="F2113">
            <v>-19465</v>
          </cell>
          <cell r="G2113">
            <v>-19464.990000000002</v>
          </cell>
          <cell r="H2113">
            <v>-19465.009999999998</v>
          </cell>
          <cell r="I2113">
            <v>-19464.990000000002</v>
          </cell>
          <cell r="J2113">
            <v>-19464.990000000002</v>
          </cell>
          <cell r="K2113">
            <v>-19465.009999999998</v>
          </cell>
          <cell r="L2113">
            <v>-19464.990000000002</v>
          </cell>
          <cell r="M2113">
            <v>-19464.990000000002</v>
          </cell>
          <cell r="N2113">
            <v>-19465</v>
          </cell>
          <cell r="O2113">
            <v>-233579.96</v>
          </cell>
        </row>
        <row r="2114">
          <cell r="A2114" t="str">
            <v>8010340</v>
          </cell>
          <cell r="B2114" t="str">
            <v>DIT Federal - Other Property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</row>
        <row r="2115">
          <cell r="A2115" t="str">
            <v>8010350</v>
          </cell>
          <cell r="B2115" t="str">
            <v>DIT Federal - Other Property - Cr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</row>
        <row r="2116">
          <cell r="A2116" t="str">
            <v>8010360</v>
          </cell>
          <cell r="B2116" t="str">
            <v>DIT Federal Accel Amort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</row>
        <row r="2117">
          <cell r="A2117" t="str">
            <v>8010400</v>
          </cell>
          <cell r="B2117" t="str">
            <v>Deferred State Income Tax Exp</v>
          </cell>
          <cell r="C2117">
            <v>5848754.96</v>
          </cell>
          <cell r="D2117">
            <v>8236545.4900000002</v>
          </cell>
          <cell r="E2117">
            <v>4243185.4800000004</v>
          </cell>
          <cell r="F2117">
            <v>3553653.96</v>
          </cell>
          <cell r="G2117">
            <v>4280672.37</v>
          </cell>
          <cell r="H2117">
            <v>5732738.4100000001</v>
          </cell>
          <cell r="I2117">
            <v>6254545.0199999996</v>
          </cell>
          <cell r="J2117">
            <v>6171604.5700000003</v>
          </cell>
          <cell r="K2117">
            <v>6284056.1500000004</v>
          </cell>
          <cell r="L2117">
            <v>4502172.55</v>
          </cell>
          <cell r="M2117">
            <v>3603335.13</v>
          </cell>
          <cell r="N2117">
            <v>4176878.85</v>
          </cell>
          <cell r="O2117">
            <v>62888142.939999998</v>
          </cell>
        </row>
        <row r="2118">
          <cell r="A2118" t="str">
            <v>8010405</v>
          </cell>
          <cell r="B2118" t="str">
            <v>Deferred State Income Tax Exp - Non-Utility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</row>
        <row r="2119">
          <cell r="A2119" t="str">
            <v>8010410</v>
          </cell>
          <cell r="B2119" t="str">
            <v>Deferred State Income Tax Exp - Cr</v>
          </cell>
          <cell r="C2119">
            <v>-5006276.57</v>
          </cell>
          <cell r="D2119">
            <v>-7691666.8700000001</v>
          </cell>
          <cell r="E2119">
            <v>-3710268.03</v>
          </cell>
          <cell r="F2119">
            <v>-2617403.69</v>
          </cell>
          <cell r="G2119">
            <v>-2709174.54</v>
          </cell>
          <cell r="H2119">
            <v>-3967849.7</v>
          </cell>
          <cell r="I2119">
            <v>-4197986.07</v>
          </cell>
          <cell r="J2119">
            <v>-3984735.55</v>
          </cell>
          <cell r="K2119">
            <v>-4590508.54</v>
          </cell>
          <cell r="L2119">
            <v>-3002071.42</v>
          </cell>
          <cell r="M2119">
            <v>-2882292.65</v>
          </cell>
          <cell r="N2119">
            <v>-3535249.83</v>
          </cell>
          <cell r="O2119">
            <v>-47895483.459999993</v>
          </cell>
        </row>
        <row r="2120">
          <cell r="A2120" t="str">
            <v>8010415</v>
          </cell>
          <cell r="B2120" t="str">
            <v>Deferred State Income Tax Exp - Cr Non-Utility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</row>
        <row r="2121">
          <cell r="A2121" t="str">
            <v>8010420</v>
          </cell>
          <cell r="B2121" t="str">
            <v>DIT State Accelerated Amortization Property</v>
          </cell>
          <cell r="C2121">
            <v>7872.11</v>
          </cell>
          <cell r="D2121">
            <v>7872.12</v>
          </cell>
          <cell r="E2121">
            <v>7872.11</v>
          </cell>
          <cell r="F2121">
            <v>7872.12</v>
          </cell>
          <cell r="G2121">
            <v>7872.11</v>
          </cell>
          <cell r="H2121">
            <v>7872.12</v>
          </cell>
          <cell r="I2121">
            <v>7872.11</v>
          </cell>
          <cell r="J2121">
            <v>7872.11</v>
          </cell>
          <cell r="K2121">
            <v>7872.12</v>
          </cell>
          <cell r="L2121">
            <v>7872.11</v>
          </cell>
          <cell r="M2121">
            <v>7872.12</v>
          </cell>
          <cell r="N2121">
            <v>7872.11</v>
          </cell>
          <cell r="O2121">
            <v>94465.37</v>
          </cell>
        </row>
        <row r="2122">
          <cell r="A2122" t="str">
            <v>8010430</v>
          </cell>
          <cell r="B2122" t="str">
            <v>DIT State Accelerated Amortization Property - Cr</v>
          </cell>
          <cell r="C2122">
            <v>-8748.92</v>
          </cell>
          <cell r="D2122">
            <v>-8748.93</v>
          </cell>
          <cell r="E2122">
            <v>-8748.92</v>
          </cell>
          <cell r="F2122">
            <v>-8748.93</v>
          </cell>
          <cell r="G2122">
            <v>-8748.93</v>
          </cell>
          <cell r="H2122">
            <v>-8748.93</v>
          </cell>
          <cell r="I2122">
            <v>-8748.92</v>
          </cell>
          <cell r="J2122">
            <v>-8748.92</v>
          </cell>
          <cell r="K2122">
            <v>-8748.93</v>
          </cell>
          <cell r="L2122">
            <v>-8748.92</v>
          </cell>
          <cell r="M2122">
            <v>-8748.93</v>
          </cell>
          <cell r="N2122">
            <v>-8748.92</v>
          </cell>
          <cell r="O2122">
            <v>-104987.09999999999</v>
          </cell>
        </row>
        <row r="2123">
          <cell r="A2123" t="str">
            <v>8010440</v>
          </cell>
          <cell r="B2123" t="str">
            <v>DIT State - Other Property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</row>
        <row r="2124">
          <cell r="A2124" t="str">
            <v>8010450</v>
          </cell>
          <cell r="B2124" t="str">
            <v>DIT State - Other Property - Cr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</row>
        <row r="2125">
          <cell r="A2125" t="str">
            <v>8010500</v>
          </cell>
          <cell r="B2125" t="str">
            <v>Deferred Income Tax Expense - Foreign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</row>
        <row r="2126">
          <cell r="A2126" t="str">
            <v>8010600</v>
          </cell>
          <cell r="B2126" t="str">
            <v>Investment Tax Credit Amort - Utility</v>
          </cell>
          <cell r="C2126">
            <v>24922643.27</v>
          </cell>
          <cell r="D2126">
            <v>-744184.19</v>
          </cell>
          <cell r="E2126">
            <v>-484184.15</v>
          </cell>
          <cell r="F2126">
            <v>-744184.14</v>
          </cell>
          <cell r="G2126">
            <v>126872.22</v>
          </cell>
          <cell r="H2126">
            <v>-312673.52</v>
          </cell>
          <cell r="I2126">
            <v>48680.34</v>
          </cell>
          <cell r="J2126">
            <v>-744184.2</v>
          </cell>
          <cell r="K2126">
            <v>-224184.18</v>
          </cell>
          <cell r="L2126">
            <v>-744184.11</v>
          </cell>
          <cell r="M2126">
            <v>65657692.240000002</v>
          </cell>
          <cell r="N2126">
            <v>-744184.16</v>
          </cell>
          <cell r="O2126">
            <v>86013925.420000002</v>
          </cell>
        </row>
        <row r="2127">
          <cell r="A2127" t="str">
            <v>8010610</v>
          </cell>
          <cell r="B2127" t="str">
            <v>Investment Tax Credit Amort - Non Utility</v>
          </cell>
          <cell r="C2127">
            <v>-1.44</v>
          </cell>
          <cell r="D2127">
            <v>-1.44</v>
          </cell>
          <cell r="E2127">
            <v>-1.45</v>
          </cell>
          <cell r="F2127">
            <v>-1.44</v>
          </cell>
          <cell r="G2127">
            <v>-1.44</v>
          </cell>
          <cell r="H2127">
            <v>-1.44</v>
          </cell>
          <cell r="I2127">
            <v>-1.44</v>
          </cell>
          <cell r="J2127">
            <v>-1.44</v>
          </cell>
          <cell r="K2127">
            <v>-1.45</v>
          </cell>
          <cell r="L2127">
            <v>-1.44</v>
          </cell>
          <cell r="M2127">
            <v>-1.44</v>
          </cell>
          <cell r="N2127">
            <v>-1.44</v>
          </cell>
          <cell r="O2127">
            <v>-17.299999999999997</v>
          </cell>
        </row>
        <row r="2128">
          <cell r="A2128" t="str">
            <v>8019000</v>
          </cell>
          <cell r="B2128" t="str">
            <v>Income Tax Expense-Deferred sent to Balance Sheet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</row>
        <row r="2129">
          <cell r="A2129" t="str">
            <v>8200100</v>
          </cell>
          <cell r="B2129" t="str">
            <v>Non-Controlling Interest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</row>
        <row r="2130">
          <cell r="A2130" t="str">
            <v>8209000</v>
          </cell>
          <cell r="B2130" t="str">
            <v>Non-Controlling Interest sent to Balance Sheet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</row>
        <row r="2131">
          <cell r="A2131" t="str">
            <v>8900100</v>
          </cell>
          <cell r="B2131" t="str">
            <v>FICO Reconciliation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</row>
        <row r="2132">
          <cell r="A2132" t="str">
            <v>8900110</v>
          </cell>
          <cell r="B2132" t="str">
            <v>FICO Reconciliation - Fuel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</row>
        <row r="2133">
          <cell r="A2133" t="str">
            <v>8900120</v>
          </cell>
          <cell r="B2133" t="str">
            <v>FICO Reconciliation - Purchased Power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</row>
        <row r="2134">
          <cell r="A2134" t="str">
            <v>8900130</v>
          </cell>
          <cell r="B2134" t="str">
            <v>FICO Reconciliation - Cost of Natural Gas Sold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</row>
        <row r="2135">
          <cell r="A2135" t="str">
            <v>8900140</v>
          </cell>
          <cell r="B2135" t="str">
            <v>FICO Reconciliation - O&amp;M Expense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</row>
        <row r="2136">
          <cell r="A2136" t="str">
            <v>8900141</v>
          </cell>
          <cell r="B2136" t="str">
            <v>TSI FICO Reconciliation - O&amp;M Expense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</row>
        <row r="2137">
          <cell r="A2137" t="str">
            <v>8900142</v>
          </cell>
          <cell r="B2137" t="str">
            <v>Emera FICO Reconciliation - O&amp;M Expense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</row>
        <row r="2138">
          <cell r="A2138" t="str">
            <v>8900150</v>
          </cell>
          <cell r="B2138" t="str">
            <v>FICO Reconciliation - Depreciation/Amortization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</row>
        <row r="2139">
          <cell r="A2139" t="str">
            <v>8900160</v>
          </cell>
          <cell r="B2139" t="str">
            <v>FICO Reconciliation - Restructuring Charges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</row>
        <row r="2140">
          <cell r="A2140" t="str">
            <v>8900170</v>
          </cell>
          <cell r="B2140" t="str">
            <v>FICO Reconciliation - Taxes other than Income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</row>
        <row r="2141">
          <cell r="A2141" t="str">
            <v>8900180</v>
          </cell>
          <cell r="B2141" t="str">
            <v>FICO Reconciliation - Other Income/Expense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</row>
        <row r="2142">
          <cell r="A2142" t="str">
            <v>8900190</v>
          </cell>
          <cell r="B2142" t="str">
            <v>FICO Reconciliation - Interest Expense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</row>
        <row r="2143">
          <cell r="A2143" t="str">
            <v>8900200</v>
          </cell>
          <cell r="B2143" t="str">
            <v>FICO Reconciliation - Income Taxes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</row>
        <row r="2144">
          <cell r="A2144" t="str">
            <v>8903000</v>
          </cell>
          <cell r="B2144" t="str">
            <v>FICO Recon - Intercompany Billing Allocation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</row>
        <row r="2145">
          <cell r="A2145" t="str">
            <v>8903001</v>
          </cell>
          <cell r="B2145" t="str">
            <v>FICO Reconciliation - Parent A&amp;G Allocation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</row>
        <row r="2146">
          <cell r="A2146" t="str">
            <v>8903002</v>
          </cell>
          <cell r="B2146" t="str">
            <v>FICO Reconciliation - IT Allocation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</row>
        <row r="2147">
          <cell r="A2147" t="str">
            <v>8903003</v>
          </cell>
          <cell r="B2147" t="str">
            <v>FICO Reconciliation - Telecom Allocation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</row>
        <row r="2148">
          <cell r="A2148" t="str">
            <v>8903004</v>
          </cell>
          <cell r="B2148" t="str">
            <v>FICO Reconciliation - Facilities Allocation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</row>
        <row r="2149">
          <cell r="A2149" t="str">
            <v>8903005</v>
          </cell>
          <cell r="B2149" t="str">
            <v>FICO Reconciliation - TSI HR Allocation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</row>
        <row r="2150">
          <cell r="A2150" t="str">
            <v>8903006</v>
          </cell>
          <cell r="B2150" t="str">
            <v>FICO Reconciliation - TSI Services Allocation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</row>
        <row r="2151">
          <cell r="A2151" t="str">
            <v>8903007</v>
          </cell>
          <cell r="B2151" t="str">
            <v>FICO Reconciliation - TSI Procurement Allocation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</row>
        <row r="2152">
          <cell r="A2152" t="str">
            <v>8903008</v>
          </cell>
          <cell r="B2152" t="str">
            <v>FICO Reconciliation - HR Empl Relations Allocation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</row>
        <row r="2153">
          <cell r="A2153" t="str">
            <v>8903009</v>
          </cell>
          <cell r="B2153" t="str">
            <v>FICO Reconciliation - Emergency Mgmt Allocation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</row>
        <row r="2154">
          <cell r="A2154" t="str">
            <v>8903010</v>
          </cell>
          <cell r="B2154" t="str">
            <v>FICO Reconciliation - Corp Comm Allocation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</row>
        <row r="2155">
          <cell r="A2155" t="str">
            <v>8903011</v>
          </cell>
          <cell r="B2155" t="str">
            <v>FICO Reconciliation - Accounts Payable Allocation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</row>
        <row r="2156">
          <cell r="A2156" t="str">
            <v>8903012</v>
          </cell>
          <cell r="B2156" t="str">
            <v>FICO Reconciliation - Claims Allocation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</row>
        <row r="2157">
          <cell r="A2157" t="str">
            <v>8903100</v>
          </cell>
          <cell r="B2157" t="str">
            <v>FICO Reconciliation - TSI Capital Allocation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</row>
        <row r="2158">
          <cell r="A2158" t="str">
            <v>8999998</v>
          </cell>
          <cell r="B2158" t="str">
            <v>Dividends sent to Retained Earnings</v>
          </cell>
          <cell r="C2158">
            <v>-20088465.951994561</v>
          </cell>
          <cell r="D2158">
            <v>-15038119.238446765</v>
          </cell>
          <cell r="E2158">
            <v>-10653446.635446759</v>
          </cell>
          <cell r="F2158">
            <v>-21937900.464646779</v>
          </cell>
          <cell r="G2158">
            <v>-32849111.921894591</v>
          </cell>
          <cell r="H2158">
            <v>-37721374.871194564</v>
          </cell>
          <cell r="I2158">
            <v>-41473016.507946774</v>
          </cell>
          <cell r="J2158">
            <v>-43827445.022494547</v>
          </cell>
          <cell r="K2158">
            <v>-40916718.692298964</v>
          </cell>
          <cell r="L2158">
            <v>-32443358.761200011</v>
          </cell>
          <cell r="M2158">
            <v>-18411183.750400033</v>
          </cell>
          <cell r="N2158">
            <v>-13810803.832000004</v>
          </cell>
          <cell r="O2158">
            <v>-329170945.64996433</v>
          </cell>
        </row>
        <row r="2159">
          <cell r="A2159" t="str">
            <v>8999999</v>
          </cell>
          <cell r="B2159" t="str">
            <v>Income Summary Offset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</row>
        <row r="2160">
          <cell r="A2160"/>
          <cell r="B2160"/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</row>
        <row r="2161">
          <cell r="A2161"/>
          <cell r="B2161"/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</row>
        <row r="2162">
          <cell r="A2162"/>
          <cell r="B2162"/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</row>
        <row r="2163">
          <cell r="A2163"/>
          <cell r="B2163"/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</row>
        <row r="2164">
          <cell r="A2164"/>
          <cell r="B2164"/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</row>
        <row r="2165">
          <cell r="A2165"/>
          <cell r="B2165"/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</row>
        <row r="2166">
          <cell r="A2166"/>
          <cell r="B2166"/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</row>
        <row r="2167">
          <cell r="A2167"/>
          <cell r="B2167"/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</row>
        <row r="2168">
          <cell r="A2168"/>
          <cell r="B2168"/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</row>
        <row r="2169">
          <cell r="A2169"/>
          <cell r="B2169"/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</row>
        <row r="2170">
          <cell r="A2170"/>
          <cell r="B2170"/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</row>
        <row r="2171">
          <cell r="A2171"/>
          <cell r="B2171"/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</row>
        <row r="2172">
          <cell r="A2172"/>
          <cell r="B2172"/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</row>
        <row r="2173">
          <cell r="A2173"/>
          <cell r="B2173"/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</row>
        <row r="2174">
          <cell r="A2174"/>
          <cell r="B2174"/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</row>
        <row r="2175">
          <cell r="A2175"/>
          <cell r="B2175"/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</row>
        <row r="2176">
          <cell r="A2176"/>
          <cell r="B2176"/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</row>
        <row r="2177">
          <cell r="A2177"/>
          <cell r="B2177"/>
          <cell r="C2177">
            <v>96630.684622100001</v>
          </cell>
          <cell r="D2177">
            <v>96630.684622100001</v>
          </cell>
          <cell r="E2177">
            <v>96630.684622100001</v>
          </cell>
          <cell r="F2177">
            <v>96630.684622100001</v>
          </cell>
          <cell r="G2177">
            <v>96630.684622100001</v>
          </cell>
          <cell r="H2177">
            <v>96630.684622100001</v>
          </cell>
          <cell r="I2177">
            <v>96630.684622100001</v>
          </cell>
          <cell r="J2177">
            <v>96630.684622100001</v>
          </cell>
          <cell r="K2177">
            <v>96630.684622100001</v>
          </cell>
          <cell r="L2177">
            <v>96630.684622100001</v>
          </cell>
          <cell r="M2177">
            <v>96630.684622100001</v>
          </cell>
          <cell r="N2177">
            <v>96630.684622100001</v>
          </cell>
          <cell r="O2177">
            <v>1159568.2154651999</v>
          </cell>
        </row>
        <row r="2178">
          <cell r="A2178"/>
          <cell r="B2178"/>
          <cell r="C2178">
            <v>13777.305247599999</v>
          </cell>
          <cell r="D2178">
            <v>13777.305247599999</v>
          </cell>
          <cell r="E2178">
            <v>13777.305247599999</v>
          </cell>
          <cell r="F2178">
            <v>13777.305247599999</v>
          </cell>
          <cell r="G2178">
            <v>13777.305247599999</v>
          </cell>
          <cell r="H2178">
            <v>13777.305247599999</v>
          </cell>
          <cell r="I2178">
            <v>13777.305247599999</v>
          </cell>
          <cell r="J2178">
            <v>13777.305247599999</v>
          </cell>
          <cell r="K2178">
            <v>13777.305247599999</v>
          </cell>
          <cell r="L2178">
            <v>13777.305247599999</v>
          </cell>
          <cell r="M2178">
            <v>13777.305247599999</v>
          </cell>
          <cell r="N2178">
            <v>13777.305247599999</v>
          </cell>
          <cell r="O2178">
            <v>165327.66297119996</v>
          </cell>
        </row>
        <row r="2179">
          <cell r="A2179"/>
          <cell r="B2179"/>
          <cell r="C2179">
            <v>4004.7803125</v>
          </cell>
          <cell r="D2179">
            <v>4004.7803125</v>
          </cell>
          <cell r="E2179">
            <v>4004.7803125</v>
          </cell>
          <cell r="F2179">
            <v>4004.7803125</v>
          </cell>
          <cell r="G2179">
            <v>4004.7803125</v>
          </cell>
          <cell r="H2179">
            <v>4004.7803125</v>
          </cell>
          <cell r="I2179">
            <v>4004.7803125</v>
          </cell>
          <cell r="J2179">
            <v>4004.7803125</v>
          </cell>
          <cell r="K2179">
            <v>4004.7803125</v>
          </cell>
          <cell r="L2179">
            <v>4004.7803125</v>
          </cell>
          <cell r="M2179">
            <v>4004.7803125</v>
          </cell>
          <cell r="N2179">
            <v>4004.7803125</v>
          </cell>
          <cell r="O2179">
            <v>48057.363749999997</v>
          </cell>
        </row>
        <row r="2180">
          <cell r="A2180"/>
          <cell r="B2180"/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</row>
        <row r="2181">
          <cell r="A2181"/>
          <cell r="B2181"/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</row>
        <row r="2182">
          <cell r="A2182"/>
          <cell r="B2182"/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</row>
        <row r="2183">
          <cell r="A2183"/>
          <cell r="B2183"/>
          <cell r="C2183">
            <v>-4276.25</v>
          </cell>
          <cell r="D2183">
            <v>-4276.25</v>
          </cell>
          <cell r="E2183">
            <v>-4276.25</v>
          </cell>
          <cell r="F2183">
            <v>-4276.25</v>
          </cell>
          <cell r="G2183">
            <v>-4276.25</v>
          </cell>
          <cell r="H2183">
            <v>-4276.25</v>
          </cell>
          <cell r="I2183">
            <v>-4276.25</v>
          </cell>
          <cell r="J2183">
            <v>-4276.25</v>
          </cell>
          <cell r="K2183">
            <v>-4276.25</v>
          </cell>
          <cell r="L2183">
            <v>-4276.25</v>
          </cell>
          <cell r="M2183">
            <v>-4276.25</v>
          </cell>
          <cell r="N2183">
            <v>-4276.3100000000004</v>
          </cell>
          <cell r="O2183">
            <v>-51315.06</v>
          </cell>
        </row>
        <row r="2184">
          <cell r="A2184"/>
          <cell r="B2184"/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</row>
        <row r="2185">
          <cell r="A2185"/>
          <cell r="B2185"/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</row>
        <row r="2186">
          <cell r="A2186"/>
          <cell r="B2186"/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</row>
        <row r="2187">
          <cell r="A2187"/>
          <cell r="B2187"/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</row>
        <row r="2188">
          <cell r="A2188"/>
          <cell r="B2188"/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</row>
        <row r="2189">
          <cell r="A2189"/>
          <cell r="B2189"/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</row>
        <row r="2190">
          <cell r="A2190"/>
          <cell r="B2190"/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</row>
        <row r="2191">
          <cell r="A2191"/>
          <cell r="B2191"/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</row>
        <row r="2192">
          <cell r="A2192"/>
          <cell r="B2192"/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</row>
        <row r="2193">
          <cell r="A2193"/>
          <cell r="B2193"/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</row>
        <row r="2194">
          <cell r="A2194"/>
          <cell r="B2194"/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</row>
        <row r="2195">
          <cell r="A2195"/>
          <cell r="B2195"/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</row>
        <row r="2196">
          <cell r="A2196"/>
          <cell r="B2196"/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</row>
        <row r="2197">
          <cell r="A2197"/>
          <cell r="B2197"/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</row>
        <row r="2198">
          <cell r="A2198"/>
          <cell r="B2198"/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</row>
        <row r="2199">
          <cell r="A2199"/>
          <cell r="B2199"/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</row>
        <row r="2200">
          <cell r="A2200"/>
          <cell r="B2200"/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</row>
        <row r="2201">
          <cell r="A2201"/>
          <cell r="B2201"/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</row>
        <row r="2202">
          <cell r="A2202"/>
          <cell r="B2202"/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</row>
        <row r="2203">
          <cell r="A2203"/>
          <cell r="B2203"/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</row>
        <row r="2204">
          <cell r="A2204"/>
          <cell r="B2204"/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</row>
        <row r="2205">
          <cell r="A2205"/>
          <cell r="B2205"/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</row>
        <row r="2206">
          <cell r="A2206"/>
          <cell r="B2206"/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</row>
        <row r="2207">
          <cell r="A2207"/>
          <cell r="B2207"/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</row>
        <row r="2208">
          <cell r="A2208"/>
          <cell r="B2208"/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</row>
        <row r="2209">
          <cell r="A2209"/>
          <cell r="B2209"/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</row>
        <row r="2210">
          <cell r="A2210"/>
          <cell r="B2210"/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</row>
        <row r="2211">
          <cell r="A2211"/>
          <cell r="B2211"/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</row>
        <row r="2212">
          <cell r="A2212"/>
          <cell r="B2212"/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</row>
        <row r="2213">
          <cell r="A2213"/>
          <cell r="B2213"/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</row>
        <row r="2214">
          <cell r="A2214"/>
          <cell r="B2214"/>
          <cell r="C2214">
            <v>-20000</v>
          </cell>
          <cell r="D2214">
            <v>-20000</v>
          </cell>
          <cell r="E2214">
            <v>-20000</v>
          </cell>
          <cell r="F2214">
            <v>-20000</v>
          </cell>
          <cell r="G2214">
            <v>-20000</v>
          </cell>
          <cell r="H2214">
            <v>-20000</v>
          </cell>
          <cell r="I2214">
            <v>-20000</v>
          </cell>
          <cell r="J2214">
            <v>-20000</v>
          </cell>
          <cell r="K2214">
            <v>-20000</v>
          </cell>
          <cell r="L2214">
            <v>-20000</v>
          </cell>
          <cell r="M2214">
            <v>-20000</v>
          </cell>
          <cell r="N2214">
            <v>-20000</v>
          </cell>
          <cell r="O2214">
            <v>-240000</v>
          </cell>
        </row>
        <row r="2215">
          <cell r="A2215"/>
          <cell r="B2215"/>
          <cell r="C2215">
            <v>-5926099.0264836997</v>
          </cell>
          <cell r="D2215">
            <v>-5444438.6519171996</v>
          </cell>
          <cell r="E2215">
            <v>-6194353.2628114</v>
          </cell>
          <cell r="F2215">
            <v>-6139216.6700689001</v>
          </cell>
          <cell r="G2215">
            <v>-5875960.5492291003</v>
          </cell>
          <cell r="H2215">
            <v>-6196824.8196194004</v>
          </cell>
          <cell r="I2215">
            <v>-6354260.8879735004</v>
          </cell>
          <cell r="J2215">
            <v>-6153189.6288173003</v>
          </cell>
          <cell r="K2215">
            <v>-6284681.9010819998</v>
          </cell>
          <cell r="L2215">
            <v>-6075660.1452473002</v>
          </cell>
          <cell r="M2215">
            <v>-6099347.7100157999</v>
          </cell>
          <cell r="N2215">
            <v>-6501479.8189267004</v>
          </cell>
          <cell r="O2215">
            <v>-73245513.072192311</v>
          </cell>
        </row>
        <row r="2216">
          <cell r="A2216"/>
          <cell r="B2216"/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</row>
        <row r="2217">
          <cell r="A2217"/>
          <cell r="B2217"/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</row>
        <row r="2218">
          <cell r="A2218"/>
          <cell r="B2218"/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</row>
        <row r="2219">
          <cell r="A2219"/>
          <cell r="B2219"/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</row>
        <row r="2220">
          <cell r="A2220"/>
          <cell r="B2220"/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</row>
        <row r="2221">
          <cell r="A2221"/>
          <cell r="B2221"/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</row>
        <row r="2222">
          <cell r="A2222"/>
          <cell r="B2222"/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</row>
        <row r="2223">
          <cell r="A2223"/>
          <cell r="B2223"/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</row>
        <row r="2224">
          <cell r="A2224"/>
          <cell r="B2224"/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</row>
        <row r="2225">
          <cell r="A2225"/>
          <cell r="B2225"/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</row>
        <row r="2226">
          <cell r="A2226"/>
          <cell r="B2226"/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</row>
        <row r="2227">
          <cell r="A2227"/>
          <cell r="B2227"/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>
            <v>0</v>
          </cell>
        </row>
        <row r="2228">
          <cell r="A2228"/>
          <cell r="B2228"/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>
            <v>0</v>
          </cell>
        </row>
        <row r="2229">
          <cell r="A2229"/>
          <cell r="B2229"/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>
            <v>0</v>
          </cell>
        </row>
        <row r="2230">
          <cell r="A2230"/>
          <cell r="B2230"/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>
            <v>0</v>
          </cell>
        </row>
        <row r="2231">
          <cell r="A2231"/>
          <cell r="B2231"/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>
            <v>0</v>
          </cell>
        </row>
        <row r="2232">
          <cell r="A2232"/>
          <cell r="B2232"/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>
            <v>0</v>
          </cell>
        </row>
        <row r="2233">
          <cell r="A2233"/>
          <cell r="B2233"/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>
            <v>0</v>
          </cell>
        </row>
        <row r="2234">
          <cell r="A2234"/>
          <cell r="B2234"/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>
            <v>0</v>
          </cell>
        </row>
        <row r="2235">
          <cell r="A2235"/>
          <cell r="B2235"/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>
            <v>0</v>
          </cell>
        </row>
        <row r="2236">
          <cell r="A2236"/>
          <cell r="B2236"/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>
            <v>0</v>
          </cell>
        </row>
        <row r="2237">
          <cell r="A2237"/>
          <cell r="B2237"/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>
            <v>0</v>
          </cell>
        </row>
        <row r="2238">
          <cell r="A2238"/>
          <cell r="B2238"/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>
            <v>0</v>
          </cell>
        </row>
        <row r="2239">
          <cell r="A2239"/>
          <cell r="B2239"/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>
            <v>0</v>
          </cell>
        </row>
        <row r="2240">
          <cell r="A2240"/>
          <cell r="B2240"/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>
            <v>0</v>
          </cell>
        </row>
        <row r="2241">
          <cell r="A2241"/>
          <cell r="B2241"/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>
            <v>0</v>
          </cell>
        </row>
        <row r="2242">
          <cell r="A2242"/>
          <cell r="B2242"/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>
            <v>0</v>
          </cell>
        </row>
        <row r="2243">
          <cell r="A2243"/>
          <cell r="B2243"/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>
            <v>0</v>
          </cell>
        </row>
        <row r="2244">
          <cell r="A2244"/>
          <cell r="B2244"/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>
            <v>0</v>
          </cell>
        </row>
        <row r="2245">
          <cell r="A2245"/>
          <cell r="B2245"/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>
            <v>0</v>
          </cell>
        </row>
        <row r="2246">
          <cell r="A2246"/>
          <cell r="B2246"/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>
            <v>0</v>
          </cell>
        </row>
        <row r="2247">
          <cell r="A2247"/>
          <cell r="B2247"/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>
            <v>0</v>
          </cell>
        </row>
        <row r="2248">
          <cell r="A2248"/>
          <cell r="B2248"/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>
            <v>0</v>
          </cell>
        </row>
        <row r="2249">
          <cell r="A2249"/>
          <cell r="B2249"/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>
            <v>0</v>
          </cell>
        </row>
        <row r="2250">
          <cell r="A2250"/>
          <cell r="B2250"/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>
            <v>0</v>
          </cell>
        </row>
        <row r="2251">
          <cell r="A2251"/>
          <cell r="B2251"/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>
            <v>0</v>
          </cell>
        </row>
        <row r="2252">
          <cell r="A2252"/>
          <cell r="B2252"/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>
            <v>0</v>
          </cell>
        </row>
        <row r="2253">
          <cell r="A2253"/>
          <cell r="B2253"/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>
            <v>0</v>
          </cell>
        </row>
        <row r="2254">
          <cell r="A2254"/>
          <cell r="B2254"/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>
            <v>0</v>
          </cell>
        </row>
        <row r="2255">
          <cell r="A2255"/>
          <cell r="B2255"/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>
            <v>0</v>
          </cell>
        </row>
        <row r="2256">
          <cell r="A2256"/>
          <cell r="B2256"/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>
            <v>0</v>
          </cell>
        </row>
        <row r="2257">
          <cell r="A2257"/>
          <cell r="B2257"/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>
            <v>0</v>
          </cell>
        </row>
        <row r="2258">
          <cell r="A2258"/>
          <cell r="B2258"/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>
            <v>0</v>
          </cell>
        </row>
        <row r="2259">
          <cell r="A2259"/>
          <cell r="B2259"/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>
            <v>0</v>
          </cell>
        </row>
        <row r="2260">
          <cell r="A2260"/>
          <cell r="B2260"/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>
            <v>0</v>
          </cell>
        </row>
        <row r="2261">
          <cell r="A2261"/>
          <cell r="B2261"/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>
            <v>0</v>
          </cell>
        </row>
        <row r="2262">
          <cell r="A2262"/>
          <cell r="B2262"/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>
            <v>0</v>
          </cell>
        </row>
        <row r="2263">
          <cell r="A2263"/>
          <cell r="B2263"/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>
            <v>0</v>
          </cell>
        </row>
        <row r="2264">
          <cell r="A2264"/>
          <cell r="B2264"/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>
            <v>0</v>
          </cell>
        </row>
        <row r="2265">
          <cell r="A2265"/>
          <cell r="B2265"/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>
            <v>0</v>
          </cell>
        </row>
        <row r="2266">
          <cell r="A2266"/>
          <cell r="B2266"/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>
            <v>0</v>
          </cell>
        </row>
        <row r="2267">
          <cell r="A2267"/>
          <cell r="B2267"/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>
            <v>0</v>
          </cell>
        </row>
        <row r="2268">
          <cell r="A2268"/>
          <cell r="B2268"/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>
            <v>0</v>
          </cell>
        </row>
        <row r="2269">
          <cell r="A2269"/>
          <cell r="B2269"/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>
            <v>0</v>
          </cell>
        </row>
        <row r="2270">
          <cell r="A2270"/>
          <cell r="B2270"/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>
            <v>0</v>
          </cell>
        </row>
        <row r="2271">
          <cell r="A2271"/>
          <cell r="B2271"/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>
            <v>0</v>
          </cell>
        </row>
        <row r="2272">
          <cell r="A2272"/>
          <cell r="B2272"/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>
            <v>0</v>
          </cell>
        </row>
        <row r="2273">
          <cell r="A2273"/>
          <cell r="B2273"/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>
            <v>0</v>
          </cell>
        </row>
        <row r="2274">
          <cell r="A2274"/>
          <cell r="B2274"/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>
            <v>0</v>
          </cell>
        </row>
        <row r="2275">
          <cell r="A2275"/>
          <cell r="B2275"/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>
            <v>0</v>
          </cell>
        </row>
        <row r="2276">
          <cell r="A2276"/>
          <cell r="B2276"/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>
            <v>0</v>
          </cell>
        </row>
        <row r="2277">
          <cell r="A2277"/>
          <cell r="B2277"/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>
            <v>0</v>
          </cell>
        </row>
        <row r="2278">
          <cell r="A2278"/>
          <cell r="B2278"/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>
            <v>0</v>
          </cell>
        </row>
        <row r="2279">
          <cell r="A2279"/>
          <cell r="B2279"/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>
            <v>0</v>
          </cell>
        </row>
        <row r="2280">
          <cell r="A2280"/>
          <cell r="B2280"/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>
            <v>0</v>
          </cell>
        </row>
        <row r="2281">
          <cell r="A2281"/>
          <cell r="B2281"/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>
            <v>0</v>
          </cell>
        </row>
        <row r="2282">
          <cell r="A2282"/>
          <cell r="B2282"/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>
            <v>0</v>
          </cell>
        </row>
        <row r="2283">
          <cell r="A2283"/>
          <cell r="B2283"/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>
            <v>0</v>
          </cell>
        </row>
        <row r="2284">
          <cell r="A2284"/>
          <cell r="B2284"/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>
            <v>0</v>
          </cell>
        </row>
        <row r="2285">
          <cell r="A2285"/>
          <cell r="B2285"/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>
            <v>0</v>
          </cell>
        </row>
        <row r="2286">
          <cell r="A2286"/>
          <cell r="B2286"/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>
            <v>0</v>
          </cell>
        </row>
        <row r="2287">
          <cell r="A2287"/>
          <cell r="B2287"/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>
            <v>0</v>
          </cell>
        </row>
        <row r="2288">
          <cell r="A2288"/>
          <cell r="B2288"/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>
            <v>0</v>
          </cell>
        </row>
        <row r="2289">
          <cell r="A2289"/>
          <cell r="B2289"/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>
            <v>0</v>
          </cell>
        </row>
        <row r="2290">
          <cell r="A2290"/>
          <cell r="B2290"/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>
            <v>0</v>
          </cell>
        </row>
        <row r="2291">
          <cell r="A2291"/>
          <cell r="B2291"/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>
            <v>0</v>
          </cell>
        </row>
        <row r="2292">
          <cell r="A2292"/>
          <cell r="B2292"/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>
            <v>0</v>
          </cell>
        </row>
        <row r="2293">
          <cell r="A2293"/>
          <cell r="B2293"/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>
            <v>0</v>
          </cell>
        </row>
        <row r="2294">
          <cell r="A2294"/>
          <cell r="B2294"/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>
            <v>0</v>
          </cell>
        </row>
        <row r="2295">
          <cell r="A2295"/>
          <cell r="B2295"/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>
            <v>0</v>
          </cell>
        </row>
        <row r="2296">
          <cell r="A2296"/>
          <cell r="B2296"/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>
            <v>0</v>
          </cell>
        </row>
        <row r="2297">
          <cell r="A2297"/>
          <cell r="B2297"/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>
            <v>0</v>
          </cell>
        </row>
        <row r="2298">
          <cell r="A2298"/>
          <cell r="B2298"/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>
            <v>0</v>
          </cell>
        </row>
        <row r="2299">
          <cell r="A2299"/>
          <cell r="B2299"/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>
            <v>0</v>
          </cell>
        </row>
        <row r="2300">
          <cell r="A2300"/>
          <cell r="B2300"/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>
            <v>0</v>
          </cell>
        </row>
        <row r="2301">
          <cell r="A2301"/>
          <cell r="B2301"/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>
            <v>0</v>
          </cell>
        </row>
        <row r="2302">
          <cell r="A2302"/>
          <cell r="B2302"/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>
            <v>0</v>
          </cell>
        </row>
        <row r="2303">
          <cell r="A2303"/>
          <cell r="B2303"/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>
            <v>0</v>
          </cell>
        </row>
        <row r="2304">
          <cell r="A2304"/>
          <cell r="B2304"/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>
            <v>0</v>
          </cell>
        </row>
        <row r="2305">
          <cell r="A2305"/>
          <cell r="B2305"/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>
            <v>0</v>
          </cell>
        </row>
        <row r="2306">
          <cell r="A2306"/>
          <cell r="B2306"/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>
            <v>0</v>
          </cell>
        </row>
        <row r="2307">
          <cell r="A2307"/>
          <cell r="B2307"/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>
            <v>0</v>
          </cell>
        </row>
        <row r="2308">
          <cell r="A2308"/>
          <cell r="B2308"/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>
            <v>0</v>
          </cell>
        </row>
        <row r="2309">
          <cell r="A2309"/>
          <cell r="B2309"/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>
            <v>0</v>
          </cell>
        </row>
        <row r="2310">
          <cell r="A2310"/>
          <cell r="B2310"/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>
            <v>0</v>
          </cell>
        </row>
        <row r="2311">
          <cell r="A2311"/>
          <cell r="B2311"/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>
            <v>0</v>
          </cell>
        </row>
        <row r="2312">
          <cell r="A2312"/>
          <cell r="B2312"/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>
            <v>0</v>
          </cell>
        </row>
        <row r="2313">
          <cell r="A2313"/>
          <cell r="B2313"/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>
            <v>0</v>
          </cell>
        </row>
        <row r="2314">
          <cell r="A2314"/>
          <cell r="B2314"/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>
            <v>0</v>
          </cell>
        </row>
        <row r="2315">
          <cell r="A2315"/>
          <cell r="B2315"/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>
            <v>0</v>
          </cell>
        </row>
        <row r="2316">
          <cell r="A2316"/>
          <cell r="B2316"/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>
            <v>0</v>
          </cell>
        </row>
        <row r="2317">
          <cell r="A2317"/>
          <cell r="B2317"/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>
            <v>0</v>
          </cell>
        </row>
        <row r="2318">
          <cell r="A2318"/>
          <cell r="B2318"/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>
            <v>0</v>
          </cell>
        </row>
        <row r="2319">
          <cell r="A2319"/>
          <cell r="B2319"/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>
            <v>0</v>
          </cell>
        </row>
        <row r="2320">
          <cell r="A2320"/>
          <cell r="B2320"/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>
            <v>0</v>
          </cell>
        </row>
        <row r="2321">
          <cell r="A2321"/>
          <cell r="B2321"/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>
            <v>0</v>
          </cell>
        </row>
        <row r="2322">
          <cell r="A2322"/>
          <cell r="B2322"/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>
            <v>0</v>
          </cell>
        </row>
        <row r="2323">
          <cell r="A2323"/>
          <cell r="B2323"/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>
            <v>0</v>
          </cell>
        </row>
        <row r="2324">
          <cell r="A2324"/>
          <cell r="B2324"/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>
            <v>0</v>
          </cell>
        </row>
        <row r="2325">
          <cell r="A2325"/>
          <cell r="B2325"/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>
            <v>0</v>
          </cell>
        </row>
        <row r="2326">
          <cell r="A2326"/>
          <cell r="B2326"/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>
            <v>0</v>
          </cell>
        </row>
        <row r="2327">
          <cell r="A2327"/>
          <cell r="B2327"/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>
            <v>0</v>
          </cell>
        </row>
        <row r="2328">
          <cell r="A2328"/>
          <cell r="B2328"/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>
            <v>0</v>
          </cell>
        </row>
        <row r="2329">
          <cell r="A2329"/>
          <cell r="B2329"/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>
            <v>0</v>
          </cell>
        </row>
        <row r="2330">
          <cell r="A2330"/>
          <cell r="B2330"/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>
            <v>0</v>
          </cell>
        </row>
        <row r="2331">
          <cell r="A2331"/>
          <cell r="B2331"/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>
            <v>0</v>
          </cell>
        </row>
        <row r="2332">
          <cell r="A2332"/>
          <cell r="B2332"/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>
            <v>0</v>
          </cell>
        </row>
        <row r="2333">
          <cell r="A2333"/>
          <cell r="B2333"/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>
            <v>0</v>
          </cell>
        </row>
        <row r="2334">
          <cell r="A2334"/>
          <cell r="B2334"/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>
            <v>0</v>
          </cell>
        </row>
        <row r="2335">
          <cell r="A2335"/>
          <cell r="B2335"/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>
            <v>0</v>
          </cell>
        </row>
        <row r="2336">
          <cell r="A2336"/>
          <cell r="B2336"/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>
            <v>0</v>
          </cell>
        </row>
        <row r="2337">
          <cell r="A2337"/>
          <cell r="B2337"/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>
            <v>0</v>
          </cell>
        </row>
        <row r="2338">
          <cell r="A2338"/>
          <cell r="B2338"/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>
            <v>0</v>
          </cell>
        </row>
        <row r="2339">
          <cell r="A2339"/>
          <cell r="B2339"/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>
            <v>0</v>
          </cell>
        </row>
        <row r="2340">
          <cell r="A2340"/>
          <cell r="B2340"/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>
            <v>0</v>
          </cell>
        </row>
        <row r="2341">
          <cell r="A2341"/>
          <cell r="B2341"/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>
            <v>0</v>
          </cell>
        </row>
        <row r="2342">
          <cell r="A2342"/>
          <cell r="B2342"/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>
            <v>0</v>
          </cell>
        </row>
        <row r="2343">
          <cell r="A2343"/>
          <cell r="B2343"/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>
            <v>0</v>
          </cell>
        </row>
        <row r="2344">
          <cell r="A2344"/>
          <cell r="B2344"/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>
            <v>0</v>
          </cell>
        </row>
        <row r="2345">
          <cell r="A2345"/>
          <cell r="B2345"/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>
            <v>0</v>
          </cell>
        </row>
        <row r="2346">
          <cell r="A2346"/>
          <cell r="B2346"/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>
            <v>0</v>
          </cell>
        </row>
        <row r="2347">
          <cell r="A2347"/>
          <cell r="B2347"/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>
            <v>0</v>
          </cell>
        </row>
        <row r="2348">
          <cell r="A2348"/>
          <cell r="B2348"/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</row>
        <row r="2349">
          <cell r="A2349"/>
          <cell r="B2349"/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</row>
        <row r="2350">
          <cell r="A2350"/>
          <cell r="B2350"/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</row>
        <row r="2351">
          <cell r="A2351"/>
          <cell r="B2351"/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</row>
        <row r="2352">
          <cell r="A2352"/>
          <cell r="B2352"/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</row>
        <row r="2353">
          <cell r="A2353"/>
          <cell r="B2353"/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</row>
        <row r="2354">
          <cell r="A2354"/>
          <cell r="B2354"/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</row>
        <row r="2355">
          <cell r="A2355"/>
          <cell r="B2355"/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</row>
        <row r="2356">
          <cell r="A2356"/>
          <cell r="B2356"/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</row>
        <row r="2357">
          <cell r="A2357"/>
          <cell r="B2357"/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</row>
        <row r="2358">
          <cell r="A2358"/>
          <cell r="B2358"/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</row>
        <row r="2359">
          <cell r="A2359"/>
          <cell r="B2359"/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</row>
        <row r="2360">
          <cell r="A2360"/>
          <cell r="B2360"/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</row>
        <row r="2361">
          <cell r="A2361"/>
          <cell r="B2361"/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</row>
        <row r="2362">
          <cell r="A2362"/>
          <cell r="B2362"/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</row>
        <row r="2363">
          <cell r="A2363"/>
          <cell r="B2363"/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</row>
        <row r="2364">
          <cell r="A2364"/>
          <cell r="B2364"/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</row>
        <row r="2365">
          <cell r="A2365"/>
          <cell r="B2365"/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</row>
        <row r="2366">
          <cell r="A2366"/>
          <cell r="B2366"/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</row>
        <row r="2367">
          <cell r="A2367"/>
          <cell r="B2367"/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</row>
        <row r="2368">
          <cell r="A2368"/>
          <cell r="B2368"/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</row>
        <row r="2369">
          <cell r="A2369"/>
          <cell r="B2369"/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</row>
        <row r="2370">
          <cell r="A2370"/>
          <cell r="B2370"/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</row>
        <row r="2371">
          <cell r="A2371"/>
          <cell r="B2371"/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</row>
        <row r="2372">
          <cell r="A2372"/>
          <cell r="B2372"/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</row>
        <row r="2373">
          <cell r="A2373"/>
          <cell r="B2373"/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</row>
        <row r="2374">
          <cell r="A2374"/>
          <cell r="B2374"/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</row>
        <row r="2375">
          <cell r="A2375"/>
          <cell r="B2375"/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</row>
        <row r="2376">
          <cell r="A2376"/>
          <cell r="B2376"/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</row>
        <row r="2377">
          <cell r="A2377"/>
          <cell r="B2377"/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</row>
        <row r="2378">
          <cell r="A2378"/>
          <cell r="B2378"/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</row>
        <row r="2379">
          <cell r="A2379"/>
          <cell r="B2379"/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</row>
        <row r="2380">
          <cell r="A2380"/>
          <cell r="B2380"/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</row>
        <row r="2381">
          <cell r="A2381"/>
          <cell r="B2381"/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</row>
        <row r="2382">
          <cell r="A2382"/>
          <cell r="B2382"/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</row>
        <row r="2383">
          <cell r="A2383"/>
          <cell r="B2383"/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</row>
        <row r="2384">
          <cell r="A2384"/>
          <cell r="B2384"/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</row>
        <row r="2385">
          <cell r="A2385"/>
          <cell r="B2385"/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</row>
        <row r="2386">
          <cell r="A2386"/>
          <cell r="B2386"/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</row>
        <row r="2387">
          <cell r="A2387"/>
          <cell r="B2387"/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</row>
        <row r="2388">
          <cell r="A2388"/>
          <cell r="B2388"/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</row>
        <row r="2389">
          <cell r="A2389"/>
          <cell r="B2389"/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</row>
        <row r="2390">
          <cell r="A2390"/>
          <cell r="B2390"/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</row>
        <row r="2391">
          <cell r="A2391"/>
          <cell r="B2391"/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</row>
        <row r="2392">
          <cell r="A2392"/>
          <cell r="B2392"/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</row>
        <row r="2393">
          <cell r="A2393"/>
          <cell r="B2393"/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</row>
        <row r="2394">
          <cell r="A2394"/>
          <cell r="B2394"/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</row>
        <row r="2395">
          <cell r="A2395"/>
          <cell r="B2395"/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</row>
        <row r="2396">
          <cell r="A2396"/>
          <cell r="B2396"/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</row>
        <row r="2397">
          <cell r="A2397"/>
          <cell r="B2397"/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</row>
        <row r="2398">
          <cell r="A2398"/>
          <cell r="B2398"/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</row>
        <row r="2399">
          <cell r="A2399"/>
          <cell r="B2399"/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</row>
        <row r="2400">
          <cell r="A2400"/>
          <cell r="B2400"/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</row>
        <row r="2401">
          <cell r="A2401"/>
          <cell r="B2401"/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</row>
        <row r="2402">
          <cell r="A2402"/>
          <cell r="B2402"/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</row>
        <row r="2403">
          <cell r="A2403"/>
          <cell r="B2403"/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</row>
        <row r="2404">
          <cell r="A2404"/>
          <cell r="B2404"/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</row>
        <row r="2405">
          <cell r="A2405"/>
          <cell r="B2405"/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</row>
        <row r="2406">
          <cell r="A2406"/>
          <cell r="B2406"/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</row>
        <row r="2407">
          <cell r="A2407"/>
          <cell r="B2407"/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</row>
        <row r="2408">
          <cell r="A2408"/>
          <cell r="B2408"/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</row>
        <row r="2409">
          <cell r="A2409"/>
          <cell r="B2409"/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</row>
        <row r="2410">
          <cell r="A2410"/>
          <cell r="B2410"/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</row>
        <row r="2411">
          <cell r="A2411"/>
          <cell r="B2411"/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</row>
        <row r="2412">
          <cell r="A2412"/>
          <cell r="B2412"/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</row>
        <row r="2413">
          <cell r="A2413"/>
          <cell r="B2413"/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</row>
        <row r="2414">
          <cell r="A2414"/>
          <cell r="B2414"/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</row>
        <row r="2415">
          <cell r="A2415"/>
          <cell r="B2415"/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</row>
        <row r="2416">
          <cell r="A2416"/>
          <cell r="B2416"/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</row>
        <row r="2417">
          <cell r="A2417"/>
          <cell r="B2417"/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</row>
        <row r="2418">
          <cell r="A2418"/>
          <cell r="B2418"/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</row>
        <row r="2419">
          <cell r="A2419"/>
          <cell r="B2419"/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</row>
        <row r="2420">
          <cell r="A2420"/>
          <cell r="B2420"/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</row>
        <row r="2421">
          <cell r="A2421"/>
          <cell r="B2421"/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</row>
        <row r="2422">
          <cell r="A2422"/>
          <cell r="B2422"/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</row>
        <row r="2423">
          <cell r="A2423"/>
          <cell r="B2423"/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</row>
        <row r="2424">
          <cell r="A2424"/>
          <cell r="B2424"/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</row>
        <row r="2425">
          <cell r="A2425"/>
          <cell r="B2425"/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</row>
        <row r="2426">
          <cell r="A2426"/>
          <cell r="B2426"/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</row>
        <row r="2427">
          <cell r="A2427"/>
          <cell r="B2427"/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</row>
        <row r="2428">
          <cell r="A2428"/>
          <cell r="B2428"/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</row>
        <row r="2429">
          <cell r="A2429"/>
          <cell r="B2429"/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</row>
        <row r="2430">
          <cell r="A2430"/>
          <cell r="B2430"/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</row>
        <row r="2431">
          <cell r="A2431"/>
          <cell r="B2431"/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</row>
        <row r="2432">
          <cell r="A2432"/>
          <cell r="B2432"/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</row>
        <row r="2433">
          <cell r="A2433"/>
          <cell r="B2433"/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</row>
        <row r="2434">
          <cell r="A2434"/>
          <cell r="B2434"/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</row>
        <row r="2435">
          <cell r="A2435"/>
          <cell r="B2435"/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</row>
        <row r="2436">
          <cell r="A2436"/>
          <cell r="B2436"/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</row>
        <row r="2437">
          <cell r="A2437"/>
          <cell r="B2437"/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</row>
        <row r="2438">
          <cell r="A2438"/>
          <cell r="B2438"/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</row>
        <row r="2439">
          <cell r="A2439"/>
          <cell r="B2439"/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</row>
        <row r="2440">
          <cell r="A2440"/>
          <cell r="B2440"/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</row>
        <row r="2441">
          <cell r="A2441"/>
          <cell r="B2441"/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</row>
        <row r="2442">
          <cell r="A2442"/>
          <cell r="B2442"/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</row>
        <row r="2443">
          <cell r="A2443"/>
          <cell r="B2443"/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</row>
        <row r="2444">
          <cell r="A2444"/>
          <cell r="B2444"/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</row>
        <row r="2445">
          <cell r="A2445"/>
          <cell r="B2445"/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</row>
        <row r="2446">
          <cell r="A2446"/>
          <cell r="B2446"/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</row>
        <row r="2447">
          <cell r="A2447"/>
          <cell r="B2447"/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</row>
        <row r="2448">
          <cell r="A2448"/>
          <cell r="B2448"/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</row>
        <row r="2449">
          <cell r="A2449"/>
          <cell r="B2449"/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</row>
        <row r="2450">
          <cell r="A2450"/>
          <cell r="B2450"/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</row>
        <row r="2451">
          <cell r="A2451"/>
          <cell r="B2451"/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</row>
        <row r="2452">
          <cell r="A2452"/>
          <cell r="B2452"/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</row>
        <row r="2453">
          <cell r="A2453"/>
          <cell r="B2453"/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</row>
        <row r="2454">
          <cell r="A2454"/>
          <cell r="B2454"/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</row>
        <row r="2455">
          <cell r="A2455"/>
          <cell r="B2455"/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</row>
        <row r="2456">
          <cell r="A2456"/>
          <cell r="B2456"/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</row>
        <row r="2457">
          <cell r="A2457"/>
          <cell r="B2457"/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</row>
        <row r="2458">
          <cell r="A2458"/>
          <cell r="B2458"/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</row>
        <row r="2459">
          <cell r="A2459"/>
          <cell r="B2459"/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</row>
        <row r="2460">
          <cell r="A2460"/>
          <cell r="B2460"/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</row>
        <row r="2461">
          <cell r="A2461"/>
          <cell r="B2461"/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</row>
        <row r="2462">
          <cell r="A2462"/>
          <cell r="B2462"/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</row>
        <row r="2463">
          <cell r="A2463"/>
          <cell r="B2463"/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</row>
        <row r="2464">
          <cell r="A2464"/>
          <cell r="B2464"/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</row>
        <row r="2465">
          <cell r="A2465"/>
          <cell r="B2465"/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</row>
        <row r="2466">
          <cell r="A2466"/>
          <cell r="B2466"/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</row>
        <row r="2467">
          <cell r="A2467"/>
          <cell r="B2467"/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</row>
        <row r="2468">
          <cell r="A2468"/>
          <cell r="B2468"/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</row>
        <row r="2469">
          <cell r="A2469"/>
          <cell r="B2469"/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</row>
        <row r="2470">
          <cell r="A2470"/>
          <cell r="B2470"/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</row>
        <row r="2471">
          <cell r="A2471"/>
          <cell r="B2471"/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</row>
        <row r="2472">
          <cell r="A2472"/>
          <cell r="B2472"/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</row>
        <row r="2473">
          <cell r="A2473"/>
          <cell r="B2473"/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</row>
        <row r="2474">
          <cell r="A2474"/>
          <cell r="B2474"/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</row>
        <row r="2475">
          <cell r="A2475"/>
          <cell r="B2475"/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</row>
        <row r="2476">
          <cell r="A2476"/>
          <cell r="B2476"/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</row>
        <row r="2477">
          <cell r="A2477"/>
          <cell r="B2477"/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</row>
        <row r="2478">
          <cell r="A2478"/>
          <cell r="B2478"/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</row>
        <row r="2479">
          <cell r="A2479"/>
          <cell r="B2479"/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</row>
        <row r="2480">
          <cell r="A2480"/>
          <cell r="B2480"/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</row>
        <row r="2481">
          <cell r="A2481"/>
          <cell r="B2481"/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</row>
        <row r="2482">
          <cell r="A2482"/>
          <cell r="B2482"/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</row>
        <row r="2483">
          <cell r="A2483"/>
          <cell r="B2483"/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</row>
        <row r="2484">
          <cell r="A2484"/>
          <cell r="B2484"/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</row>
        <row r="2485">
          <cell r="A2485"/>
          <cell r="B2485"/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</row>
        <row r="2486">
          <cell r="A2486"/>
          <cell r="B2486"/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</row>
        <row r="2487">
          <cell r="A2487"/>
          <cell r="B2487"/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</row>
        <row r="2488">
          <cell r="A2488"/>
          <cell r="B2488"/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</row>
        <row r="2489">
          <cell r="A2489"/>
          <cell r="B2489"/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</row>
        <row r="2490">
          <cell r="A2490"/>
          <cell r="B2490"/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</row>
        <row r="2491">
          <cell r="A2491"/>
          <cell r="B2491"/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</row>
        <row r="2492">
          <cell r="A2492"/>
          <cell r="B2492"/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</row>
        <row r="2493">
          <cell r="A2493"/>
          <cell r="B2493"/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</row>
        <row r="2494">
          <cell r="A2494"/>
          <cell r="B2494"/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</row>
        <row r="2495">
          <cell r="A2495"/>
          <cell r="B2495"/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</row>
        <row r="2496">
          <cell r="A2496"/>
          <cell r="B2496"/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</row>
        <row r="2497">
          <cell r="A2497"/>
          <cell r="B2497"/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</row>
        <row r="2498">
          <cell r="A2498"/>
          <cell r="B2498"/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</row>
        <row r="2499">
          <cell r="A2499"/>
          <cell r="B2499"/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</row>
        <row r="2500">
          <cell r="A2500"/>
          <cell r="B2500"/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</row>
        <row r="2501">
          <cell r="A2501"/>
          <cell r="B2501"/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</row>
        <row r="2502">
          <cell r="A2502"/>
          <cell r="B2502"/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</row>
        <row r="2503">
          <cell r="A2503"/>
          <cell r="B2503"/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</row>
        <row r="2504">
          <cell r="A2504"/>
          <cell r="B2504"/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</row>
        <row r="2505">
          <cell r="A2505"/>
          <cell r="B2505"/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</row>
        <row r="2506">
          <cell r="A2506"/>
          <cell r="B2506"/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</row>
        <row r="2507">
          <cell r="A2507"/>
          <cell r="B2507"/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</row>
        <row r="2508">
          <cell r="A2508"/>
          <cell r="B2508"/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</row>
        <row r="2509">
          <cell r="A2509"/>
          <cell r="B2509"/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</row>
        <row r="2510">
          <cell r="A2510"/>
          <cell r="B2510"/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</row>
        <row r="2511">
          <cell r="A2511"/>
          <cell r="B2511"/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</row>
        <row r="2512">
          <cell r="A2512"/>
          <cell r="B2512"/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</row>
        <row r="2513">
          <cell r="A2513"/>
          <cell r="B2513"/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</row>
        <row r="2514">
          <cell r="A2514"/>
          <cell r="B2514"/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</row>
        <row r="2515">
          <cell r="A2515"/>
          <cell r="B2515"/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</row>
        <row r="2516">
          <cell r="A2516"/>
          <cell r="B2516"/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</row>
        <row r="2517">
          <cell r="A2517"/>
          <cell r="B2517"/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</row>
        <row r="2518">
          <cell r="A2518"/>
          <cell r="B2518"/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</row>
        <row r="2519">
          <cell r="A2519"/>
          <cell r="B2519"/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</row>
        <row r="2520">
          <cell r="A2520"/>
          <cell r="B2520"/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</row>
        <row r="2521">
          <cell r="A2521"/>
          <cell r="B2521"/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</row>
      </sheetData>
      <sheetData sheetId="19"/>
      <sheetData sheetId="20">
        <row r="1"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/>
        </row>
        <row r="2">
          <cell r="A2"/>
          <cell r="B2"/>
          <cell r="C2" t="str">
            <v>BUDGETED</v>
          </cell>
          <cell r="D2" t="str">
            <v>BUDGETED</v>
          </cell>
          <cell r="E2" t="str">
            <v>BUDGETED</v>
          </cell>
          <cell r="F2" t="str">
            <v>BUDGETED</v>
          </cell>
          <cell r="G2" t="str">
            <v>BUDGETED</v>
          </cell>
          <cell r="H2" t="str">
            <v>BUDGETED</v>
          </cell>
          <cell r="I2" t="str">
            <v>BUDGETED</v>
          </cell>
          <cell r="J2" t="str">
            <v>BUDGETED</v>
          </cell>
          <cell r="K2" t="str">
            <v>BUDGETED</v>
          </cell>
          <cell r="L2" t="str">
            <v>BUDGETED</v>
          </cell>
          <cell r="M2" t="str">
            <v>BUDGETED</v>
          </cell>
          <cell r="N2" t="str">
            <v>BUDGETED</v>
          </cell>
          <cell r="O2" t="str">
            <v>Rolling 12ME SUM</v>
          </cell>
        </row>
        <row r="3">
          <cell r="A3" t="str">
            <v>ACCOUNT ID</v>
          </cell>
          <cell r="B3" t="str">
            <v>ACCOUNT DESCRIPTION</v>
          </cell>
          <cell r="C3" t="str">
            <v>2021 JAN</v>
          </cell>
          <cell r="D3" t="str">
            <v>2021 FEB</v>
          </cell>
          <cell r="E3" t="str">
            <v>2021 MAR</v>
          </cell>
          <cell r="F3" t="str">
            <v>2021 APR</v>
          </cell>
          <cell r="G3" t="str">
            <v>2021 MAY</v>
          </cell>
          <cell r="H3" t="str">
            <v>2021 JUN</v>
          </cell>
          <cell r="I3" t="str">
            <v>2021 JUL</v>
          </cell>
          <cell r="J3" t="str">
            <v>2021 AUG</v>
          </cell>
          <cell r="K3" t="str">
            <v>2021 SEP</v>
          </cell>
          <cell r="L3" t="str">
            <v>2021 OCT</v>
          </cell>
          <cell r="M3" t="str">
            <v>2021 NOV</v>
          </cell>
          <cell r="N3" t="str">
            <v>2021 DEC</v>
          </cell>
          <cell r="O3"/>
        </row>
        <row r="5">
          <cell r="A5" t="str">
            <v>9101000</v>
          </cell>
          <cell r="B5" t="str">
            <v>Utility Plant in Service</v>
          </cell>
          <cell r="C5">
            <v>9862121143.9591999</v>
          </cell>
          <cell r="D5">
            <v>9882883504.5970211</v>
          </cell>
          <cell r="E5">
            <v>9872644178.5279293</v>
          </cell>
          <cell r="F5">
            <v>9865748733.3677597</v>
          </cell>
          <cell r="G5">
            <v>9918694524.8816795</v>
          </cell>
          <cell r="H5">
            <v>9927131885.90452</v>
          </cell>
          <cell r="I5">
            <v>10066294315.8962</v>
          </cell>
          <cell r="J5">
            <v>10137155496.0534</v>
          </cell>
          <cell r="K5">
            <v>10171750081.214199</v>
          </cell>
          <cell r="L5">
            <v>10217069171.9923</v>
          </cell>
          <cell r="M5">
            <v>10275022222.6073</v>
          </cell>
          <cell r="N5">
            <v>9299985822.5279293</v>
          </cell>
          <cell r="O5">
            <v>119496501081.52943</v>
          </cell>
        </row>
        <row r="6">
          <cell r="A6" t="str">
            <v>9101100</v>
          </cell>
          <cell r="B6" t="str">
            <v>Property Under Capital Leases</v>
          </cell>
          <cell r="C6">
            <v>25852494.719999999</v>
          </cell>
          <cell r="D6">
            <v>25705824.530000001</v>
          </cell>
          <cell r="E6">
            <v>25558694.890000001</v>
          </cell>
          <cell r="F6">
            <v>25411104.34</v>
          </cell>
          <cell r="G6">
            <v>25263051.449999999</v>
          </cell>
          <cell r="H6">
            <v>25114534.77</v>
          </cell>
          <cell r="I6">
            <v>24965552.84</v>
          </cell>
          <cell r="J6">
            <v>24816101.18</v>
          </cell>
          <cell r="K6">
            <v>24666178.309999999</v>
          </cell>
          <cell r="L6">
            <v>24515782.760000002</v>
          </cell>
          <cell r="M6">
            <v>24377879.940000001</v>
          </cell>
          <cell r="N6">
            <v>24239538.109999999</v>
          </cell>
          <cell r="O6">
            <v>300486737.84000003</v>
          </cell>
        </row>
        <row r="7">
          <cell r="A7" t="str">
            <v>9102000</v>
          </cell>
          <cell r="B7" t="str">
            <v>Plant Purchased or Sold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9103000</v>
          </cell>
          <cell r="B8" t="str">
            <v>Experimental Plant Unclassified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9103100</v>
          </cell>
          <cell r="B9" t="str">
            <v>Plant in Process of Reclassification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9104000</v>
          </cell>
          <cell r="B10" t="str">
            <v>Plant Leased to Others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9105000</v>
          </cell>
          <cell r="B11" t="str">
            <v>Plant Held for Future Use</v>
          </cell>
          <cell r="C11">
            <v>54537442.119999997</v>
          </cell>
          <cell r="D11">
            <v>54537442.119999997</v>
          </cell>
          <cell r="E11">
            <v>54537442.119999997</v>
          </cell>
          <cell r="F11">
            <v>54537442.119999997</v>
          </cell>
          <cell r="G11">
            <v>54537442.119999997</v>
          </cell>
          <cell r="H11">
            <v>54537951.170000002</v>
          </cell>
          <cell r="I11">
            <v>54537951.170000002</v>
          </cell>
          <cell r="J11">
            <v>54537951.170000002</v>
          </cell>
          <cell r="K11">
            <v>55037951.170000002</v>
          </cell>
          <cell r="L11">
            <v>55037951.170000002</v>
          </cell>
          <cell r="M11">
            <v>55037951.170000002</v>
          </cell>
          <cell r="N11">
            <v>61271044.840000004</v>
          </cell>
          <cell r="O11">
            <v>662685962.46000004</v>
          </cell>
        </row>
        <row r="12">
          <cell r="A12" t="str">
            <v>9105100</v>
          </cell>
          <cell r="B12" t="str">
            <v>Production Properties Held for Future Use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9106000</v>
          </cell>
          <cell r="B13" t="str">
            <v>Completed Construction Not Classified</v>
          </cell>
          <cell r="C13">
            <v>432713946.489999</v>
          </cell>
          <cell r="D13">
            <v>441547525.76999903</v>
          </cell>
          <cell r="E13">
            <v>500835741.08999902</v>
          </cell>
          <cell r="F13">
            <v>568399821.60999894</v>
          </cell>
          <cell r="G13">
            <v>540529671.03999901</v>
          </cell>
          <cell r="H13">
            <v>609900661.02999902</v>
          </cell>
          <cell r="I13">
            <v>492928807.15999901</v>
          </cell>
          <cell r="J13">
            <v>456345816.799999</v>
          </cell>
          <cell r="K13">
            <v>454586103.669999</v>
          </cell>
          <cell r="L13">
            <v>445581173.40999901</v>
          </cell>
          <cell r="M13">
            <v>437845233.22999901</v>
          </cell>
          <cell r="N13">
            <v>1337616614.1600001</v>
          </cell>
          <cell r="O13">
            <v>6718831115.4599886</v>
          </cell>
        </row>
        <row r="14">
          <cell r="A14" t="str">
            <v>9107000</v>
          </cell>
          <cell r="B14" t="str">
            <v>Construction Work in Progress</v>
          </cell>
          <cell r="C14">
            <v>1180571554.8399999</v>
          </cell>
          <cell r="D14">
            <v>1217562373.23</v>
          </cell>
          <cell r="E14">
            <v>1260834425.1700001</v>
          </cell>
          <cell r="F14">
            <v>1283722871.47</v>
          </cell>
          <cell r="G14">
            <v>1366798594.3399999</v>
          </cell>
          <cell r="H14">
            <v>1411965736.3299999</v>
          </cell>
          <cell r="I14">
            <v>1474213081.0999999</v>
          </cell>
          <cell r="J14">
            <v>1520680672.3499999</v>
          </cell>
          <cell r="K14">
            <v>1559446845.8900001</v>
          </cell>
          <cell r="L14">
            <v>1592758121.71</v>
          </cell>
          <cell r="M14">
            <v>1612842852.52</v>
          </cell>
          <cell r="N14">
            <v>700742183.89999998</v>
          </cell>
          <cell r="O14">
            <v>16182139312.85</v>
          </cell>
        </row>
        <row r="15">
          <cell r="A15" t="str">
            <v>9108000</v>
          </cell>
          <cell r="B15" t="str">
            <v>Accumulated Provision for Depreciation</v>
          </cell>
          <cell r="C15">
            <v>-3311099495.1731</v>
          </cell>
          <cell r="D15">
            <v>-3328114500.52775</v>
          </cell>
          <cell r="E15">
            <v>-3340732476.2761898</v>
          </cell>
          <cell r="F15">
            <v>-3354672870.45364</v>
          </cell>
          <cell r="G15">
            <v>-3373934824.02844</v>
          </cell>
          <cell r="H15">
            <v>-3378458365.5269799</v>
          </cell>
          <cell r="I15">
            <v>-3398546951.9632902</v>
          </cell>
          <cell r="J15">
            <v>-3416208618.91956</v>
          </cell>
          <cell r="K15">
            <v>-3433418078.4833002</v>
          </cell>
          <cell r="L15">
            <v>-3451702168.3653102</v>
          </cell>
          <cell r="M15">
            <v>-3465668284.2128</v>
          </cell>
          <cell r="N15">
            <v>-2438475939.3372698</v>
          </cell>
          <cell r="O15">
            <v>-39691032573.267632</v>
          </cell>
        </row>
        <row r="16">
          <cell r="A16" t="str">
            <v>9111000</v>
          </cell>
          <cell r="B16" t="str">
            <v>Accumulated Provision For Amortization</v>
          </cell>
          <cell r="C16">
            <v>-84422174.444017097</v>
          </cell>
          <cell r="D16">
            <v>-85825778.852586001</v>
          </cell>
          <cell r="E16">
            <v>-87233485.005279794</v>
          </cell>
          <cell r="F16">
            <v>-88651427.358015895</v>
          </cell>
          <cell r="G16">
            <v>-90155988.110641494</v>
          </cell>
          <cell r="H16">
            <v>-91664949.440233797</v>
          </cell>
          <cell r="I16">
            <v>-93193580.509892195</v>
          </cell>
          <cell r="J16">
            <v>-94726323.751275599</v>
          </cell>
          <cell r="K16">
            <v>-96267267.641045198</v>
          </cell>
          <cell r="L16">
            <v>-97826884.482847095</v>
          </cell>
          <cell r="M16">
            <v>-99418015.185816199</v>
          </cell>
          <cell r="N16">
            <v>-101041633.17703401</v>
          </cell>
          <cell r="O16">
            <v>-1110427507.9586844</v>
          </cell>
        </row>
        <row r="17">
          <cell r="A17" t="str">
            <v>9114000</v>
          </cell>
          <cell r="B17" t="str">
            <v>Plant Acquisition Adjustments</v>
          </cell>
          <cell r="C17">
            <v>7484822.7599999998</v>
          </cell>
          <cell r="D17">
            <v>7484822.7599999998</v>
          </cell>
          <cell r="E17">
            <v>7484822.7599999998</v>
          </cell>
          <cell r="F17">
            <v>7484822.7599999998</v>
          </cell>
          <cell r="G17">
            <v>7484822.7599999998</v>
          </cell>
          <cell r="H17">
            <v>7484822.7599999998</v>
          </cell>
          <cell r="I17">
            <v>7484822.7599999998</v>
          </cell>
          <cell r="J17">
            <v>7484822.7599999998</v>
          </cell>
          <cell r="K17">
            <v>7484822.7599999998</v>
          </cell>
          <cell r="L17">
            <v>7484822.7599999998</v>
          </cell>
          <cell r="M17">
            <v>7484822.7599999998</v>
          </cell>
          <cell r="N17">
            <v>7484822.7599999998</v>
          </cell>
          <cell r="O17">
            <v>89817873.120000005</v>
          </cell>
        </row>
        <row r="18">
          <cell r="A18" t="str">
            <v>9115000</v>
          </cell>
          <cell r="B18" t="str">
            <v>Accum Provision Amort Plant Acquisition Adjustment</v>
          </cell>
          <cell r="C18">
            <v>-5956257.0300000003</v>
          </cell>
          <cell r="D18">
            <v>-5975982.7599999998</v>
          </cell>
          <cell r="E18">
            <v>-5995708.4900000002</v>
          </cell>
          <cell r="F18">
            <v>-6015434.2199999997</v>
          </cell>
          <cell r="G18">
            <v>-6035159.9500000002</v>
          </cell>
          <cell r="H18">
            <v>-6054885.6799999997</v>
          </cell>
          <cell r="I18">
            <v>-6074611.4100000001</v>
          </cell>
          <cell r="J18">
            <v>-6094337.1399999997</v>
          </cell>
          <cell r="K18">
            <v>-6114062.8700000001</v>
          </cell>
          <cell r="L18">
            <v>-6133788.5999999996</v>
          </cell>
          <cell r="M18">
            <v>-6153514.3300000001</v>
          </cell>
          <cell r="N18">
            <v>-6173240.0599999996</v>
          </cell>
          <cell r="O18">
            <v>-72776982.539999992</v>
          </cell>
        </row>
        <row r="19">
          <cell r="A19" t="str">
            <v>9116000</v>
          </cell>
          <cell r="B19" t="str">
            <v>Other Plant Adjustments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9117100</v>
          </cell>
          <cell r="B20" t="str">
            <v>Gas Stored - Base Gas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9117200</v>
          </cell>
          <cell r="B21" t="str">
            <v>System Balancing Gas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9117300</v>
          </cell>
          <cell r="B22" t="str">
            <v>Gas Stored in Reservoirs and Pipelines-Noncurrent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9117400</v>
          </cell>
          <cell r="B23" t="str">
            <v>Gas Owed to System Gas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9118000</v>
          </cell>
          <cell r="B24" t="str">
            <v>Other Utility Plant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9119000</v>
          </cell>
          <cell r="B25" t="str">
            <v>Accum Provision Depr Amort Other Utility Plant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9121000</v>
          </cell>
          <cell r="B26" t="str">
            <v>Nonutility Property</v>
          </cell>
          <cell r="C26">
            <v>13770052.310000001</v>
          </cell>
          <cell r="D26">
            <v>13878675.470000001</v>
          </cell>
          <cell r="E26">
            <v>13987298.630000001</v>
          </cell>
          <cell r="F26">
            <v>14095921.789999999</v>
          </cell>
          <cell r="G26">
            <v>14204544.949999999</v>
          </cell>
          <cell r="H26">
            <v>14313168.109999999</v>
          </cell>
          <cell r="I26">
            <v>14421791.27</v>
          </cell>
          <cell r="J26">
            <v>14530414.43</v>
          </cell>
          <cell r="K26">
            <v>14639037.59</v>
          </cell>
          <cell r="L26">
            <v>14747660.75</v>
          </cell>
          <cell r="M26">
            <v>14856283.91</v>
          </cell>
          <cell r="N26">
            <v>14964907.119999999</v>
          </cell>
          <cell r="O26">
            <v>172409756.33000001</v>
          </cell>
        </row>
        <row r="27">
          <cell r="A27" t="str">
            <v>9122000</v>
          </cell>
          <cell r="B27" t="str">
            <v>Accum Provision Depr Amortiz Nonutility Property</v>
          </cell>
          <cell r="C27">
            <v>-6955375.2991666999</v>
          </cell>
          <cell r="D27">
            <v>-7026600.1281110998</v>
          </cell>
          <cell r="E27">
            <v>-7098428.4190555997</v>
          </cell>
          <cell r="F27">
            <v>-7170860.1720000003</v>
          </cell>
          <cell r="G27">
            <v>-7243895.3869444001</v>
          </cell>
          <cell r="H27">
            <v>-7317534.0638889</v>
          </cell>
          <cell r="I27">
            <v>-7391776.2028333005</v>
          </cell>
          <cell r="J27">
            <v>-7466621.8037777999</v>
          </cell>
          <cell r="K27">
            <v>-7542070.8667222001</v>
          </cell>
          <cell r="L27">
            <v>-7618123.3916667001</v>
          </cell>
          <cell r="M27">
            <v>-7694779.3786110999</v>
          </cell>
          <cell r="N27">
            <v>-7772038.8275555996</v>
          </cell>
          <cell r="O27">
            <v>-88298103.940333396</v>
          </cell>
        </row>
        <row r="28">
          <cell r="A28" t="str">
            <v>9123000</v>
          </cell>
          <cell r="B28" t="str">
            <v>Investment in Associated Companies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9123100</v>
          </cell>
          <cell r="B29" t="str">
            <v>Investment in Subsidiary Companies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9124000</v>
          </cell>
          <cell r="B30" t="str">
            <v>Other Investments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9125000</v>
          </cell>
          <cell r="B31" t="str">
            <v>Sinking Funds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9126000</v>
          </cell>
          <cell r="B32" t="str">
            <v>Depreciation Fund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9127000</v>
          </cell>
          <cell r="B33" t="str">
            <v>Amortization Fund - Federal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9128000</v>
          </cell>
          <cell r="B34" t="str">
            <v>Other Special Funds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9131000</v>
          </cell>
          <cell r="B35" t="str">
            <v>Cash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9132000</v>
          </cell>
          <cell r="B36" t="str">
            <v>Interest Special Deposits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9133000</v>
          </cell>
          <cell r="B37" t="str">
            <v>Dividend Special Deposits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9134000</v>
          </cell>
          <cell r="B38" t="str">
            <v>Other Special Deposits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9135000</v>
          </cell>
          <cell r="B39" t="str">
            <v>Working Funds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9136000</v>
          </cell>
          <cell r="B40" t="str">
            <v>Temporary Cash Investments</v>
          </cell>
          <cell r="C40">
            <v>1000000</v>
          </cell>
          <cell r="D40">
            <v>1000000</v>
          </cell>
          <cell r="E40">
            <v>1000000</v>
          </cell>
          <cell r="F40">
            <v>1000000</v>
          </cell>
          <cell r="G40">
            <v>1000000</v>
          </cell>
          <cell r="H40">
            <v>1000000</v>
          </cell>
          <cell r="I40">
            <v>1000000</v>
          </cell>
          <cell r="J40">
            <v>1000000</v>
          </cell>
          <cell r="K40">
            <v>1000000</v>
          </cell>
          <cell r="L40">
            <v>1000000</v>
          </cell>
          <cell r="M40">
            <v>1000000</v>
          </cell>
          <cell r="N40">
            <v>1000000</v>
          </cell>
          <cell r="O40">
            <v>12000000</v>
          </cell>
        </row>
        <row r="41">
          <cell r="A41" t="str">
            <v>9141000</v>
          </cell>
          <cell r="B41" t="str">
            <v>Notes Receivable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9142000</v>
          </cell>
          <cell r="B42" t="str">
            <v>Customer Accounts Receivable</v>
          </cell>
          <cell r="C42">
            <v>112942793.81633</v>
          </cell>
          <cell r="D42">
            <v>112354843.49718399</v>
          </cell>
          <cell r="E42">
            <v>106227072.656982</v>
          </cell>
          <cell r="F42">
            <v>111365258.446045</v>
          </cell>
          <cell r="G42">
            <v>118702802.986277</v>
          </cell>
          <cell r="H42">
            <v>142340214.22354999</v>
          </cell>
          <cell r="I42">
            <v>144407041.00170201</v>
          </cell>
          <cell r="J42">
            <v>133064456.956101</v>
          </cell>
          <cell r="K42">
            <v>166056946.03020599</v>
          </cell>
          <cell r="L42">
            <v>138096544.98104799</v>
          </cell>
          <cell r="M42">
            <v>123389081.00627699</v>
          </cell>
          <cell r="N42">
            <v>113504768.298898</v>
          </cell>
          <cell r="O42">
            <v>1522451823.9005997</v>
          </cell>
        </row>
        <row r="43">
          <cell r="A43" t="str">
            <v>9143000</v>
          </cell>
          <cell r="B43" t="str">
            <v>Other Accounts Receivable</v>
          </cell>
          <cell r="C43">
            <v>4500000</v>
          </cell>
          <cell r="D43">
            <v>4500000</v>
          </cell>
          <cell r="E43">
            <v>4500000</v>
          </cell>
          <cell r="F43">
            <v>4500000</v>
          </cell>
          <cell r="G43">
            <v>4500000</v>
          </cell>
          <cell r="H43">
            <v>4500000</v>
          </cell>
          <cell r="I43">
            <v>4500000</v>
          </cell>
          <cell r="J43">
            <v>4500000</v>
          </cell>
          <cell r="K43">
            <v>4500000</v>
          </cell>
          <cell r="L43">
            <v>4500000</v>
          </cell>
          <cell r="M43">
            <v>4500000</v>
          </cell>
          <cell r="N43">
            <v>4500000</v>
          </cell>
          <cell r="O43">
            <v>54000000</v>
          </cell>
        </row>
        <row r="44">
          <cell r="A44" t="str">
            <v>9144000</v>
          </cell>
          <cell r="B44" t="str">
            <v>Accumulated Provision Uncollectible Accounts-Cr</v>
          </cell>
          <cell r="C44">
            <v>-2063840.7838663999</v>
          </cell>
          <cell r="D44">
            <v>-2081875.8402267001</v>
          </cell>
          <cell r="E44">
            <v>-2143421.1547963</v>
          </cell>
          <cell r="F44">
            <v>-2255059.3018037002</v>
          </cell>
          <cell r="G44">
            <v>-2389919.4125486002</v>
          </cell>
          <cell r="H44">
            <v>-2597005.6917770002</v>
          </cell>
          <cell r="I44">
            <v>-2701179.8046951001</v>
          </cell>
          <cell r="J44">
            <v>-2047037.3474808999</v>
          </cell>
          <cell r="K44">
            <v>-2068766.3405323001</v>
          </cell>
          <cell r="L44">
            <v>-1901843.9714077001</v>
          </cell>
          <cell r="M44">
            <v>-1779315.139375</v>
          </cell>
          <cell r="N44">
            <v>-1740750.0089821999</v>
          </cell>
          <cell r="O44">
            <v>-25770014.797491901</v>
          </cell>
        </row>
        <row r="45">
          <cell r="A45" t="str">
            <v>9145000</v>
          </cell>
          <cell r="B45" t="str">
            <v>Notes Receivable from Associated Companies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9146000</v>
          </cell>
          <cell r="B46" t="str">
            <v>Accounts Receivable from Associated Companies</v>
          </cell>
          <cell r="C46">
            <v>20622473.789999999</v>
          </cell>
          <cell r="D46">
            <v>20622473.789999999</v>
          </cell>
          <cell r="E46">
            <v>20622473.789999999</v>
          </cell>
          <cell r="F46">
            <v>20622473.789999999</v>
          </cell>
          <cell r="G46">
            <v>20622473.789999999</v>
          </cell>
          <cell r="H46">
            <v>20622473.789999999</v>
          </cell>
          <cell r="I46">
            <v>20622473.789999999</v>
          </cell>
          <cell r="J46">
            <v>20622473.789999999</v>
          </cell>
          <cell r="K46">
            <v>20622473.789999999</v>
          </cell>
          <cell r="L46">
            <v>20622473.789999999</v>
          </cell>
          <cell r="M46">
            <v>20622473.789999999</v>
          </cell>
          <cell r="N46">
            <v>18171155.329999998</v>
          </cell>
          <cell r="O46">
            <v>245018367.01999992</v>
          </cell>
        </row>
        <row r="47">
          <cell r="A47" t="str">
            <v>9151000</v>
          </cell>
          <cell r="B47" t="str">
            <v>Fuel Stock</v>
          </cell>
          <cell r="C47">
            <v>26025000</v>
          </cell>
          <cell r="D47">
            <v>25032000</v>
          </cell>
          <cell r="E47">
            <v>24148000</v>
          </cell>
          <cell r="F47">
            <v>22653000</v>
          </cell>
          <cell r="G47">
            <v>20707000</v>
          </cell>
          <cell r="H47">
            <v>18027000</v>
          </cell>
          <cell r="I47">
            <v>19040000</v>
          </cell>
          <cell r="J47">
            <v>18265000</v>
          </cell>
          <cell r="K47">
            <v>16957000</v>
          </cell>
          <cell r="L47">
            <v>17552000</v>
          </cell>
          <cell r="M47">
            <v>20380000</v>
          </cell>
          <cell r="N47">
            <v>21200000</v>
          </cell>
          <cell r="O47">
            <v>249986000</v>
          </cell>
        </row>
        <row r="48">
          <cell r="A48" t="str">
            <v>9152000</v>
          </cell>
          <cell r="B48" t="str">
            <v>Fuel Stock Expenses Undistributed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9153000</v>
          </cell>
          <cell r="B49" t="str">
            <v>Residuals and Extracted Products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9154000</v>
          </cell>
          <cell r="B50" t="str">
            <v>Plant Materials and Operating Supplies</v>
          </cell>
          <cell r="C50">
            <v>106700000</v>
          </cell>
          <cell r="D50">
            <v>106800000</v>
          </cell>
          <cell r="E50">
            <v>106900000</v>
          </cell>
          <cell r="F50">
            <v>107150000</v>
          </cell>
          <cell r="G50">
            <v>107250000</v>
          </cell>
          <cell r="H50">
            <v>107500000</v>
          </cell>
          <cell r="I50">
            <v>107600000</v>
          </cell>
          <cell r="J50">
            <v>107700000</v>
          </cell>
          <cell r="K50">
            <v>107800000</v>
          </cell>
          <cell r="L50">
            <v>107900000</v>
          </cell>
          <cell r="M50">
            <v>108000000</v>
          </cell>
          <cell r="N50">
            <v>108100000</v>
          </cell>
          <cell r="O50">
            <v>1289400000</v>
          </cell>
        </row>
        <row r="51">
          <cell r="A51" t="str">
            <v>9155000</v>
          </cell>
          <cell r="B51" t="str">
            <v>Merchandise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9156000</v>
          </cell>
          <cell r="B52" t="str">
            <v>Other Materials and Supplies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9158100</v>
          </cell>
          <cell r="B53" t="str">
            <v>Allowance Inventory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9158200</v>
          </cell>
          <cell r="B54" t="str">
            <v>Allowances Withheld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9163000</v>
          </cell>
          <cell r="B55" t="str">
            <v>Stores Expense Undistributed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9164100</v>
          </cell>
          <cell r="B56" t="str">
            <v>Gas Stored - Current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9164200</v>
          </cell>
          <cell r="B57" t="str">
            <v>Liquefied Natural Gas Stored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9164300</v>
          </cell>
          <cell r="B58" t="str">
            <v>Liquefied Natural Gas Held For Processing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9165000</v>
          </cell>
          <cell r="B59" t="str">
            <v>Prepayments</v>
          </cell>
          <cell r="C59">
            <v>15711202.046388</v>
          </cell>
          <cell r="D59">
            <v>13360483.724145399</v>
          </cell>
          <cell r="E59">
            <v>26337766.2406547</v>
          </cell>
          <cell r="F59">
            <v>22491991.501729298</v>
          </cell>
          <cell r="G59">
            <v>19108645.441721302</v>
          </cell>
          <cell r="H59">
            <v>30214636.668795999</v>
          </cell>
          <cell r="I59">
            <v>26618741.396388002</v>
          </cell>
          <cell r="J59">
            <v>23643493.695923898</v>
          </cell>
          <cell r="K59">
            <v>22594707.5559255</v>
          </cell>
          <cell r="L59">
            <v>19528352.982564598</v>
          </cell>
          <cell r="M59">
            <v>15459081.308646301</v>
          </cell>
          <cell r="N59">
            <v>14994144.717565401</v>
          </cell>
          <cell r="O59">
            <v>250063247.28044838</v>
          </cell>
        </row>
        <row r="60">
          <cell r="A60" t="str">
            <v>9171000</v>
          </cell>
          <cell r="B60" t="str">
            <v>Interest and Dividends Receivable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9172000</v>
          </cell>
          <cell r="B61" t="str">
            <v>Rents Receivable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9173000</v>
          </cell>
          <cell r="B62" t="str">
            <v>Accrued Utility Revenues</v>
          </cell>
          <cell r="C62">
            <v>56069974.350000001</v>
          </cell>
          <cell r="D62">
            <v>51820546.189999998</v>
          </cell>
          <cell r="E62">
            <v>54257482.270000003</v>
          </cell>
          <cell r="F62">
            <v>58345406.630000003</v>
          </cell>
          <cell r="G62">
            <v>67197065.530000001</v>
          </cell>
          <cell r="H62">
            <v>69427070.640000001</v>
          </cell>
          <cell r="I62">
            <v>71277871.489999995</v>
          </cell>
          <cell r="J62">
            <v>75243861.689999998</v>
          </cell>
          <cell r="K62">
            <v>68485879.939999998</v>
          </cell>
          <cell r="L62">
            <v>63174134.020000003</v>
          </cell>
          <cell r="M62">
            <v>56469352.100000001</v>
          </cell>
          <cell r="N62">
            <v>58258010.219999999</v>
          </cell>
          <cell r="O62">
            <v>750026655.07000005</v>
          </cell>
        </row>
        <row r="63">
          <cell r="A63" t="str">
            <v>9174000</v>
          </cell>
          <cell r="B63" t="str">
            <v>Miscellaneous Current and Accrued Assets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9176000</v>
          </cell>
          <cell r="B64" t="str">
            <v>Derivative Instrument Assets - Hedges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9181000</v>
          </cell>
          <cell r="B65" t="str">
            <v>Unamortized Debt Expense</v>
          </cell>
          <cell r="C65">
            <v>18803488.25</v>
          </cell>
          <cell r="D65">
            <v>24209064.162222199</v>
          </cell>
          <cell r="E65">
            <v>24114640.074444398</v>
          </cell>
          <cell r="F65">
            <v>24020215.986666702</v>
          </cell>
          <cell r="G65">
            <v>23925791.898888901</v>
          </cell>
          <cell r="H65">
            <v>23831367.8111111</v>
          </cell>
          <cell r="I65">
            <v>23736943.723333299</v>
          </cell>
          <cell r="J65">
            <v>23642519.635555498</v>
          </cell>
          <cell r="K65">
            <v>23548095.547777802</v>
          </cell>
          <cell r="L65">
            <v>23453671.460000001</v>
          </cell>
          <cell r="M65">
            <v>25852302.927777801</v>
          </cell>
          <cell r="N65">
            <v>25750934.3955555</v>
          </cell>
          <cell r="O65">
            <v>284889035.87333322</v>
          </cell>
        </row>
        <row r="66">
          <cell r="A66" t="str">
            <v>9182100</v>
          </cell>
          <cell r="B66" t="str">
            <v>Extraordinary Property Losses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9182200</v>
          </cell>
          <cell r="B67" t="str">
            <v>Unrecovered Plant and Regulatory Study Costs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9182300</v>
          </cell>
          <cell r="B68" t="str">
            <v>Other Regulatory Assets</v>
          </cell>
          <cell r="C68">
            <v>413401501.16549331</v>
          </cell>
          <cell r="D68">
            <v>415175974.19607508</v>
          </cell>
          <cell r="E68">
            <v>418774744.84156001</v>
          </cell>
          <cell r="F68">
            <v>418284042.39859593</v>
          </cell>
          <cell r="G68">
            <v>420013538.92232549</v>
          </cell>
          <cell r="H68">
            <v>416800168.7397759</v>
          </cell>
          <cell r="I68">
            <v>413139276.29680699</v>
          </cell>
          <cell r="J68">
            <v>410730373.81779259</v>
          </cell>
          <cell r="K68">
            <v>403152133.96974111</v>
          </cell>
          <cell r="L68">
            <v>402307849.38276601</v>
          </cell>
          <cell r="M68">
            <v>413462129.4451853</v>
          </cell>
          <cell r="N68">
            <v>414227217.05123037</v>
          </cell>
          <cell r="O68">
            <v>4959468950.2273474</v>
          </cell>
        </row>
        <row r="69">
          <cell r="A69" t="str">
            <v>9183000</v>
          </cell>
          <cell r="B69" t="str">
            <v>Preliminary Survey and Investigation Charges</v>
          </cell>
          <cell r="C69">
            <v>4790591.46</v>
          </cell>
          <cell r="D69">
            <v>4845591.46</v>
          </cell>
          <cell r="E69">
            <v>3434591.46</v>
          </cell>
          <cell r="F69">
            <v>3434591.46</v>
          </cell>
          <cell r="G69">
            <v>3439591.46</v>
          </cell>
          <cell r="H69">
            <v>3914591.46</v>
          </cell>
          <cell r="I69">
            <v>3914591.46</v>
          </cell>
          <cell r="J69">
            <v>3924591.46</v>
          </cell>
          <cell r="K69">
            <v>3924591.46</v>
          </cell>
          <cell r="L69">
            <v>3934591.46</v>
          </cell>
          <cell r="M69">
            <v>3934591.46</v>
          </cell>
          <cell r="N69">
            <v>3959591.46</v>
          </cell>
          <cell r="O69">
            <v>47452097.520000003</v>
          </cell>
        </row>
        <row r="70">
          <cell r="A70" t="str">
            <v>9183100</v>
          </cell>
          <cell r="B70" t="str">
            <v>Prelim Natural Gas Survey &amp; Investigation Charges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9183200</v>
          </cell>
          <cell r="B71" t="str">
            <v>Other Preliminary Survey and Investigation Charges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9184000</v>
          </cell>
          <cell r="B72" t="str">
            <v>Clearing Accounts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9184100</v>
          </cell>
          <cell r="B73" t="str">
            <v>FERC Balance Sheet Clearing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9186000</v>
          </cell>
          <cell r="B74" t="str">
            <v>Miscellaneous Deferred Debits</v>
          </cell>
          <cell r="C74">
            <v>13796704.605</v>
          </cell>
          <cell r="D74">
            <v>13139793.725</v>
          </cell>
          <cell r="E74">
            <v>13243462.34</v>
          </cell>
          <cell r="F74">
            <v>13077790.465</v>
          </cell>
          <cell r="G74">
            <v>12908658.945</v>
          </cell>
          <cell r="H74">
            <v>12876624.845000001</v>
          </cell>
          <cell r="I74">
            <v>12825688.24</v>
          </cell>
          <cell r="J74">
            <v>8694006.9800000004</v>
          </cell>
          <cell r="K74">
            <v>8331470.4976530001</v>
          </cell>
          <cell r="L74">
            <v>8532359.6354680005</v>
          </cell>
          <cell r="M74">
            <v>8395944.9702930003</v>
          </cell>
          <cell r="N74">
            <v>9284566.1195679996</v>
          </cell>
          <cell r="O74">
            <v>135107071.36798203</v>
          </cell>
        </row>
        <row r="75">
          <cell r="A75" t="str">
            <v>9187000</v>
          </cell>
          <cell r="B75" t="str">
            <v>Deferred Losses from Disposition of Utility Plant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9188000</v>
          </cell>
          <cell r="B76" t="str">
            <v>Research Development &amp; Demonstration Expenditures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9189000</v>
          </cell>
          <cell r="B77" t="str">
            <v>Unamortized Loss on Reacquired Debt</v>
          </cell>
          <cell r="C77">
            <v>4959782.79</v>
          </cell>
          <cell r="D77">
            <v>4879377.84</v>
          </cell>
          <cell r="E77">
            <v>4798972.8899999997</v>
          </cell>
          <cell r="F77">
            <v>4718567.9400000004</v>
          </cell>
          <cell r="G77">
            <v>4638162.99</v>
          </cell>
          <cell r="H77">
            <v>4557758.04</v>
          </cell>
          <cell r="I77">
            <v>4477353.09</v>
          </cell>
          <cell r="J77">
            <v>4400682.8</v>
          </cell>
          <cell r="K77">
            <v>4324012.51</v>
          </cell>
          <cell r="L77">
            <v>4247342.22</v>
          </cell>
          <cell r="M77">
            <v>4170671.93</v>
          </cell>
          <cell r="N77">
            <v>4094001.64</v>
          </cell>
          <cell r="O77">
            <v>54266686.68</v>
          </cell>
        </row>
        <row r="78">
          <cell r="A78" t="str">
            <v>9190000</v>
          </cell>
          <cell r="B78" t="str">
            <v>Accumulated Deferred Income Taxes</v>
          </cell>
          <cell r="C78">
            <v>677408326.35000014</v>
          </cell>
          <cell r="D78">
            <v>677492649.98000002</v>
          </cell>
          <cell r="E78">
            <v>676876159.17000008</v>
          </cell>
          <cell r="F78">
            <v>675574027.35000014</v>
          </cell>
          <cell r="G78">
            <v>674923704.7700001</v>
          </cell>
          <cell r="H78">
            <v>673427091.01000011</v>
          </cell>
          <cell r="I78">
            <v>672054329.37000012</v>
          </cell>
          <cell r="J78">
            <v>669655570.78000009</v>
          </cell>
          <cell r="K78">
            <v>668143377.94000006</v>
          </cell>
          <cell r="L78">
            <v>666304988.99000025</v>
          </cell>
          <cell r="M78">
            <v>750180422.7900002</v>
          </cell>
          <cell r="N78">
            <v>749330897.97000015</v>
          </cell>
          <cell r="O78">
            <v>8231371546.4700012</v>
          </cell>
        </row>
        <row r="79">
          <cell r="A79" t="str">
            <v>9191000</v>
          </cell>
          <cell r="B79" t="str">
            <v>Unrecovered Purchased Gas Costs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9201000</v>
          </cell>
          <cell r="B80" t="str">
            <v>Common Stock Issued</v>
          </cell>
          <cell r="C80">
            <v>119696800</v>
          </cell>
          <cell r="D80">
            <v>119696800</v>
          </cell>
          <cell r="E80">
            <v>119696800</v>
          </cell>
          <cell r="F80">
            <v>119696800</v>
          </cell>
          <cell r="G80">
            <v>119696800</v>
          </cell>
          <cell r="H80">
            <v>119696800</v>
          </cell>
          <cell r="I80">
            <v>119696800</v>
          </cell>
          <cell r="J80">
            <v>119696800</v>
          </cell>
          <cell r="K80">
            <v>119696800</v>
          </cell>
          <cell r="L80">
            <v>119696800</v>
          </cell>
          <cell r="M80">
            <v>119696800</v>
          </cell>
          <cell r="N80">
            <v>119696800</v>
          </cell>
          <cell r="O80">
            <v>1436361600</v>
          </cell>
        </row>
        <row r="81">
          <cell r="A81" t="str">
            <v>9207000</v>
          </cell>
          <cell r="B81" t="str">
            <v>Premium on Capital Stock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9208000</v>
          </cell>
          <cell r="B82" t="str">
            <v>Donations Received from Stockholders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9211000</v>
          </cell>
          <cell r="B83" t="str">
            <v>Miscellaneous Paid-in Capital</v>
          </cell>
          <cell r="C83">
            <v>3225840200</v>
          </cell>
          <cell r="D83">
            <v>3340840200</v>
          </cell>
          <cell r="E83">
            <v>3340840200</v>
          </cell>
          <cell r="F83">
            <v>3340840200</v>
          </cell>
          <cell r="G83">
            <v>3455840200</v>
          </cell>
          <cell r="H83">
            <v>3455840200</v>
          </cell>
          <cell r="I83">
            <v>3455840200</v>
          </cell>
          <cell r="J83">
            <v>3570840200</v>
          </cell>
          <cell r="K83">
            <v>3570840200</v>
          </cell>
          <cell r="L83">
            <v>3570840200</v>
          </cell>
          <cell r="M83">
            <v>3685840200</v>
          </cell>
          <cell r="N83">
            <v>3685840200</v>
          </cell>
          <cell r="O83">
            <v>41700082400</v>
          </cell>
        </row>
        <row r="84">
          <cell r="A84" t="str">
            <v>9214000</v>
          </cell>
          <cell r="B84" t="str">
            <v>Capital Stock Expense</v>
          </cell>
          <cell r="C84">
            <v>-700900</v>
          </cell>
          <cell r="D84">
            <v>-700900</v>
          </cell>
          <cell r="E84">
            <v>-700900</v>
          </cell>
          <cell r="F84">
            <v>-700900</v>
          </cell>
          <cell r="G84">
            <v>-700900</v>
          </cell>
          <cell r="H84">
            <v>-700900</v>
          </cell>
          <cell r="I84">
            <v>-700900</v>
          </cell>
          <cell r="J84">
            <v>-700900</v>
          </cell>
          <cell r="K84">
            <v>-700900</v>
          </cell>
          <cell r="L84">
            <v>-700900</v>
          </cell>
          <cell r="M84">
            <v>-700900</v>
          </cell>
          <cell r="N84">
            <v>-700900</v>
          </cell>
          <cell r="O84">
            <v>-8410800</v>
          </cell>
        </row>
        <row r="85">
          <cell r="A85" t="str">
            <v>9215000</v>
          </cell>
          <cell r="B85" t="str">
            <v>Appropriated Retained Earnings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9215100</v>
          </cell>
          <cell r="B86" t="str">
            <v>Appropriated Retained Earn-Amortiz Reserve Federal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9216000</v>
          </cell>
          <cell r="B87" t="str">
            <v>Unappropriated Retained Earnings</v>
          </cell>
          <cell r="C87">
            <v>229915765.95199499</v>
          </cell>
          <cell r="D87">
            <v>169144585.19044101</v>
          </cell>
          <cell r="E87">
            <v>179798031.82588801</v>
          </cell>
          <cell r="F87">
            <v>201735932.290535</v>
          </cell>
          <cell r="G87">
            <v>188805012.38654101</v>
          </cell>
          <cell r="H87">
            <v>226526387.257736</v>
          </cell>
          <cell r="I87">
            <v>267999403.765683</v>
          </cell>
          <cell r="J87">
            <v>219318461.53044099</v>
          </cell>
          <cell r="K87">
            <v>260235180.22273999</v>
          </cell>
          <cell r="L87">
            <v>292678538.98394001</v>
          </cell>
          <cell r="M87">
            <v>184872542.51159999</v>
          </cell>
          <cell r="N87">
            <v>198683346.3436</v>
          </cell>
          <cell r="O87">
            <v>2619713188.2611399</v>
          </cell>
        </row>
        <row r="88">
          <cell r="A88" t="str">
            <v>9216100</v>
          </cell>
          <cell r="B88" t="str">
            <v>Unappropriated Undistributed Subsidiary Earnings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9219000</v>
          </cell>
          <cell r="B89" t="str">
            <v>Accumulated Other Comprehensive Income</v>
          </cell>
          <cell r="C89">
            <v>-854845.50999990001</v>
          </cell>
          <cell r="D89">
            <v>-848746.90999990003</v>
          </cell>
          <cell r="E89">
            <v>-842648.31999989995</v>
          </cell>
          <cell r="F89">
            <v>-836549.73999989999</v>
          </cell>
          <cell r="G89">
            <v>-830451.13999990001</v>
          </cell>
          <cell r="H89">
            <v>-824352.55999990006</v>
          </cell>
          <cell r="I89">
            <v>-818253.95999989996</v>
          </cell>
          <cell r="J89">
            <v>-812155.36999989999</v>
          </cell>
          <cell r="K89">
            <v>-806056.78999990004</v>
          </cell>
          <cell r="L89">
            <v>-799958.19999979995</v>
          </cell>
          <cell r="M89">
            <v>-793859.59999979998</v>
          </cell>
          <cell r="N89">
            <v>-787761.01999980002</v>
          </cell>
          <cell r="O89">
            <v>-9855639.1199985016</v>
          </cell>
        </row>
        <row r="90">
          <cell r="A90" t="str">
            <v>9221000</v>
          </cell>
          <cell r="B90" t="str">
            <v>Bonds</v>
          </cell>
          <cell r="C90">
            <v>2566730320</v>
          </cell>
          <cell r="D90">
            <v>3116730320</v>
          </cell>
          <cell r="E90">
            <v>3116730320</v>
          </cell>
          <cell r="F90">
            <v>3116730320</v>
          </cell>
          <cell r="G90">
            <v>2885000000</v>
          </cell>
          <cell r="H90">
            <v>2885000000</v>
          </cell>
          <cell r="I90">
            <v>2885000000</v>
          </cell>
          <cell r="J90">
            <v>2885000000</v>
          </cell>
          <cell r="K90">
            <v>2885000000</v>
          </cell>
          <cell r="L90">
            <v>2885000000</v>
          </cell>
          <cell r="M90">
            <v>3135000000</v>
          </cell>
          <cell r="N90">
            <v>3135000000</v>
          </cell>
          <cell r="O90">
            <v>35496921280</v>
          </cell>
        </row>
        <row r="91">
          <cell r="A91" t="str">
            <v>9223000</v>
          </cell>
          <cell r="B91" t="str">
            <v>Advances from Associated Companies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9224000</v>
          </cell>
          <cell r="B92" t="str">
            <v>Other Long-Term Debt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9225000</v>
          </cell>
          <cell r="B93" t="str">
            <v>Unamortized Premium on Long-Term Debt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9226000</v>
          </cell>
          <cell r="B94" t="str">
            <v>Unamortized Discount on Long-Term Debt</v>
          </cell>
          <cell r="C94">
            <v>-8619048.7400000002</v>
          </cell>
          <cell r="D94">
            <v>-8587740.3599999994</v>
          </cell>
          <cell r="E94">
            <v>-8556431.9800000004</v>
          </cell>
          <cell r="F94">
            <v>-8525123.5999999996</v>
          </cell>
          <cell r="G94">
            <v>-8493815.2200000007</v>
          </cell>
          <cell r="H94">
            <v>-8462506.8399999999</v>
          </cell>
          <cell r="I94">
            <v>-8431198.4600000009</v>
          </cell>
          <cell r="J94">
            <v>-8399890.0800000001</v>
          </cell>
          <cell r="K94">
            <v>-8368581.7000000002</v>
          </cell>
          <cell r="L94">
            <v>-8337273.3200000003</v>
          </cell>
          <cell r="M94">
            <v>-8305964.9400000004</v>
          </cell>
          <cell r="N94">
            <v>-8274656.5599999996</v>
          </cell>
          <cell r="O94">
            <v>-101362231.80000001</v>
          </cell>
        </row>
        <row r="95">
          <cell r="A95" t="str">
            <v>9227000</v>
          </cell>
          <cell r="B95" t="str">
            <v>Obligations Under Capital Leases - Noncurrent</v>
          </cell>
          <cell r="C95">
            <v>25096234.449999999</v>
          </cell>
          <cell r="D95">
            <v>24955958.219999999</v>
          </cell>
          <cell r="E95">
            <v>24815238.370000001</v>
          </cell>
          <cell r="F95">
            <v>24672098.629999999</v>
          </cell>
          <cell r="G95">
            <v>24528505.129999999</v>
          </cell>
          <cell r="H95">
            <v>24384456.420000002</v>
          </cell>
          <cell r="I95">
            <v>24239117.640000001</v>
          </cell>
          <cell r="J95">
            <v>24093317.66</v>
          </cell>
          <cell r="K95">
            <v>23947055.039999999</v>
          </cell>
          <cell r="L95">
            <v>23800328.289999999</v>
          </cell>
          <cell r="M95">
            <v>23653135.949999999</v>
          </cell>
          <cell r="N95">
            <v>23505476.539999999</v>
          </cell>
          <cell r="O95">
            <v>291690922.33999997</v>
          </cell>
        </row>
        <row r="96">
          <cell r="A96" t="str">
            <v>9228100</v>
          </cell>
          <cell r="B96" t="str">
            <v>Accumulated Provision for Property Insurance</v>
          </cell>
          <cell r="C96">
            <v>48175744.740000002</v>
          </cell>
          <cell r="D96">
            <v>48175744.740000002</v>
          </cell>
          <cell r="E96">
            <v>47475744.740000002</v>
          </cell>
          <cell r="F96">
            <v>47475744.740000002</v>
          </cell>
          <cell r="G96">
            <v>47475744.740000002</v>
          </cell>
          <cell r="H96">
            <v>47475744.740000002</v>
          </cell>
          <cell r="I96">
            <v>47475744.740000002</v>
          </cell>
          <cell r="J96">
            <v>47475744.740000002</v>
          </cell>
          <cell r="K96">
            <v>47475744.740000002</v>
          </cell>
          <cell r="L96">
            <v>47475744.740000002</v>
          </cell>
          <cell r="M96">
            <v>47475744.740000002</v>
          </cell>
          <cell r="N96">
            <v>47475744.740000002</v>
          </cell>
          <cell r="O96">
            <v>571108936.88</v>
          </cell>
        </row>
        <row r="97">
          <cell r="A97" t="str">
            <v>9228200</v>
          </cell>
          <cell r="B97" t="str">
            <v>Accumulated Provision for Injuries and Damages</v>
          </cell>
          <cell r="C97">
            <v>9276984.0833333004</v>
          </cell>
          <cell r="D97">
            <v>9265430.1666666996</v>
          </cell>
          <cell r="E97">
            <v>9253876.25</v>
          </cell>
          <cell r="F97">
            <v>9242322.3333333004</v>
          </cell>
          <cell r="G97">
            <v>9230768.4166666996</v>
          </cell>
          <cell r="H97">
            <v>9219214.5</v>
          </cell>
          <cell r="I97">
            <v>9207660.5833333004</v>
          </cell>
          <cell r="J97">
            <v>9196106.6666666996</v>
          </cell>
          <cell r="K97">
            <v>9184552.75</v>
          </cell>
          <cell r="L97">
            <v>9172998.8333333004</v>
          </cell>
          <cell r="M97">
            <v>9161444.9166666996</v>
          </cell>
          <cell r="N97">
            <v>9149891</v>
          </cell>
          <cell r="O97">
            <v>110561250.5</v>
          </cell>
        </row>
        <row r="98">
          <cell r="A98" t="str">
            <v>9228300</v>
          </cell>
          <cell r="B98" t="str">
            <v>Accumulated Provision for Pension and Benefits</v>
          </cell>
          <cell r="C98">
            <v>188574391.56999999</v>
          </cell>
          <cell r="D98">
            <v>188574391.56999999</v>
          </cell>
          <cell r="E98">
            <v>188574391.56999999</v>
          </cell>
          <cell r="F98">
            <v>188574391.56999999</v>
          </cell>
          <cell r="G98">
            <v>188574391.56999999</v>
          </cell>
          <cell r="H98">
            <v>188574391.56999999</v>
          </cell>
          <cell r="I98">
            <v>188574391.56999999</v>
          </cell>
          <cell r="J98">
            <v>188574391.56999999</v>
          </cell>
          <cell r="K98">
            <v>188574391.56999999</v>
          </cell>
          <cell r="L98">
            <v>188574391.56999999</v>
          </cell>
          <cell r="M98">
            <v>188574391.56999999</v>
          </cell>
          <cell r="N98">
            <v>188574391.56999999</v>
          </cell>
          <cell r="O98">
            <v>2262892698.8399997</v>
          </cell>
        </row>
        <row r="99">
          <cell r="A99" t="str">
            <v>9228400</v>
          </cell>
          <cell r="B99" t="str">
            <v>Accumulated Miscellaneous Operating Provisions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9229000</v>
          </cell>
          <cell r="B100" t="str">
            <v>Accumulated Provision for Rate Refunds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9230000</v>
          </cell>
          <cell r="B101" t="str">
            <v>Asset Retirement Obligations</v>
          </cell>
          <cell r="C101">
            <v>38635862.90715</v>
          </cell>
          <cell r="D101">
            <v>38769765.727485701</v>
          </cell>
          <cell r="E101">
            <v>38904338.061923198</v>
          </cell>
          <cell r="F101">
            <v>39039583.258032799</v>
          </cell>
          <cell r="G101">
            <v>39175504.680122897</v>
          </cell>
          <cell r="H101">
            <v>39312105.7093236</v>
          </cell>
          <cell r="I101">
            <v>39449389.743670203</v>
          </cell>
          <cell r="J101">
            <v>39587360.198188499</v>
          </cell>
          <cell r="K101">
            <v>39726020.504979499</v>
          </cell>
          <cell r="L101">
            <v>39865374.113304399</v>
          </cell>
          <cell r="M101">
            <v>40005424.489670902</v>
          </cell>
          <cell r="N101">
            <v>40146175.117919199</v>
          </cell>
          <cell r="O101">
            <v>472616904.51177084</v>
          </cell>
        </row>
        <row r="102">
          <cell r="A102" t="str">
            <v>9231000</v>
          </cell>
          <cell r="B102" t="str">
            <v>Notes Payable (Borrowings &lt; 1 Year Duration)</v>
          </cell>
          <cell r="C102">
            <v>620260253.73697495</v>
          </cell>
          <cell r="D102">
            <v>79698092.197209299</v>
          </cell>
          <cell r="E102">
            <v>123031251.22827201</v>
          </cell>
          <cell r="F102">
            <v>175510591.40548301</v>
          </cell>
          <cell r="G102">
            <v>397454762.92321098</v>
          </cell>
          <cell r="H102">
            <v>502149669.21205401</v>
          </cell>
          <cell r="I102">
            <v>504471023.82714701</v>
          </cell>
          <cell r="J102">
            <v>452169230.44700199</v>
          </cell>
          <cell r="K102">
            <v>462770968.43752098</v>
          </cell>
          <cell r="L102">
            <v>427442208.75751603</v>
          </cell>
          <cell r="M102">
            <v>286167827.26230299</v>
          </cell>
          <cell r="N102">
            <v>320084152.06935799</v>
          </cell>
          <cell r="O102">
            <v>4351210031.5040512</v>
          </cell>
        </row>
        <row r="103">
          <cell r="A103" t="str">
            <v>9232000</v>
          </cell>
          <cell r="B103" t="str">
            <v>Accounts Payable</v>
          </cell>
          <cell r="C103">
            <v>159293997.67044851</v>
          </cell>
          <cell r="D103">
            <v>136113787.1454407</v>
          </cell>
          <cell r="E103">
            <v>152182358.69573089</v>
          </cell>
          <cell r="F103">
            <v>149489229.77013281</v>
          </cell>
          <cell r="G103">
            <v>164402704.39515871</v>
          </cell>
          <cell r="H103">
            <v>178038483.1951108</v>
          </cell>
          <cell r="I103">
            <v>168593296.4151687</v>
          </cell>
          <cell r="J103">
            <v>172173694.79038149</v>
          </cell>
          <cell r="K103">
            <v>175444158.7656996</v>
          </cell>
          <cell r="L103">
            <v>170390393.47546351</v>
          </cell>
          <cell r="M103">
            <v>163452183.05652711</v>
          </cell>
          <cell r="N103">
            <v>172961217.4044916</v>
          </cell>
          <cell r="O103">
            <v>1962535504.7797544</v>
          </cell>
        </row>
        <row r="104">
          <cell r="A104" t="str">
            <v>9233000</v>
          </cell>
          <cell r="B104" t="str">
            <v>Notes Payable to Associated Companies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9234000</v>
          </cell>
          <cell r="B105" t="str">
            <v>Accounts Payable to Associated Companies</v>
          </cell>
          <cell r="C105">
            <v>23011131.649999999</v>
          </cell>
          <cell r="D105">
            <v>23011131.649999999</v>
          </cell>
          <cell r="E105">
            <v>23011131.649999999</v>
          </cell>
          <cell r="F105">
            <v>23011131.649999999</v>
          </cell>
          <cell r="G105">
            <v>23011131.649999999</v>
          </cell>
          <cell r="H105">
            <v>23011131.649999999</v>
          </cell>
          <cell r="I105">
            <v>23011131.649999999</v>
          </cell>
          <cell r="J105">
            <v>23011131.649999999</v>
          </cell>
          <cell r="K105">
            <v>23011131.649999999</v>
          </cell>
          <cell r="L105">
            <v>23011131.649999999</v>
          </cell>
          <cell r="M105">
            <v>23011131.649999999</v>
          </cell>
          <cell r="N105">
            <v>23011131.649999999</v>
          </cell>
          <cell r="O105">
            <v>276133579.80000001</v>
          </cell>
        </row>
        <row r="106">
          <cell r="A106" t="str">
            <v>9235000</v>
          </cell>
          <cell r="B106" t="str">
            <v>Customer Deposits</v>
          </cell>
          <cell r="C106">
            <v>103754116.006304</v>
          </cell>
          <cell r="D106">
            <v>103797346.887973</v>
          </cell>
          <cell r="E106">
            <v>103840595.78251</v>
          </cell>
          <cell r="F106">
            <v>103883862.69742</v>
          </cell>
          <cell r="G106">
            <v>103927147.64021</v>
          </cell>
          <cell r="H106">
            <v>103970450.618394</v>
          </cell>
          <cell r="I106">
            <v>104013771.639485</v>
          </cell>
          <cell r="J106">
            <v>104057110.71100099</v>
          </cell>
          <cell r="K106">
            <v>104100467.840464</v>
          </cell>
          <cell r="L106">
            <v>104143843.03539699</v>
          </cell>
          <cell r="M106">
            <v>104187236.30332901</v>
          </cell>
          <cell r="N106">
            <v>104230647.65178899</v>
          </cell>
          <cell r="O106">
            <v>1247906596.814276</v>
          </cell>
        </row>
        <row r="107">
          <cell r="A107" t="str">
            <v>9236000</v>
          </cell>
          <cell r="B107" t="str">
            <v>Taxes Accrued</v>
          </cell>
          <cell r="C107">
            <v>25126791.281548601</v>
          </cell>
          <cell r="D107">
            <v>22468445.7141129</v>
          </cell>
          <cell r="E107">
            <v>26435411.410680901</v>
          </cell>
          <cell r="F107">
            <v>13716857.4094499</v>
          </cell>
          <cell r="G107">
            <v>23679398.254404198</v>
          </cell>
          <cell r="H107">
            <v>31747132.217590801</v>
          </cell>
          <cell r="I107">
            <v>44444914.043616302</v>
          </cell>
          <cell r="J107">
            <v>57389763.880847901</v>
          </cell>
          <cell r="K107">
            <v>65388841.959929898</v>
          </cell>
          <cell r="L107">
            <v>74111265.523352101</v>
          </cell>
          <cell r="M107">
            <v>9004962.8596493006</v>
          </cell>
          <cell r="N107">
            <v>8516304.2157770004</v>
          </cell>
          <cell r="O107">
            <v>402030088.77095979</v>
          </cell>
        </row>
        <row r="108">
          <cell r="A108" t="str">
            <v>9237000</v>
          </cell>
          <cell r="B108" t="str">
            <v>Interest Accrued</v>
          </cell>
          <cell r="C108">
            <v>22171986.558290001</v>
          </cell>
          <cell r="D108">
            <v>32461718.037427001</v>
          </cell>
          <cell r="E108">
            <v>40467763.058499098</v>
          </cell>
          <cell r="F108">
            <v>51665014.643204898</v>
          </cell>
          <cell r="G108">
            <v>30960791.2682584</v>
          </cell>
          <cell r="H108">
            <v>12229761.430389</v>
          </cell>
          <cell r="I108">
            <v>22386004.6363413</v>
          </cell>
          <cell r="J108">
            <v>32501806.102875199</v>
          </cell>
          <cell r="K108">
            <v>39694615.616765998</v>
          </cell>
          <cell r="L108">
            <v>49816709.464804202</v>
          </cell>
          <cell r="M108">
            <v>35068413.768795602</v>
          </cell>
          <cell r="N108">
            <v>11310822.3786633</v>
          </cell>
          <cell r="O108">
            <v>380735406.96431398</v>
          </cell>
        </row>
        <row r="109">
          <cell r="A109" t="str">
            <v>9238000</v>
          </cell>
          <cell r="B109" t="str">
            <v>Dividends Declared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9241000</v>
          </cell>
          <cell r="B110" t="str">
            <v>Tax Collections Payable</v>
          </cell>
          <cell r="C110">
            <v>6194000</v>
          </cell>
          <cell r="D110">
            <v>5817000</v>
          </cell>
          <cell r="E110">
            <v>5911000</v>
          </cell>
          <cell r="F110">
            <v>5923000</v>
          </cell>
          <cell r="G110">
            <v>6595000</v>
          </cell>
          <cell r="H110">
            <v>7436000</v>
          </cell>
          <cell r="I110">
            <v>7768000</v>
          </cell>
          <cell r="J110">
            <v>7931000</v>
          </cell>
          <cell r="K110">
            <v>8289000</v>
          </cell>
          <cell r="L110">
            <v>7443000</v>
          </cell>
          <cell r="M110">
            <v>6629000</v>
          </cell>
          <cell r="N110">
            <v>6430000</v>
          </cell>
          <cell r="O110">
            <v>82366000</v>
          </cell>
        </row>
        <row r="111">
          <cell r="A111" t="str">
            <v>9242000</v>
          </cell>
          <cell r="B111" t="str">
            <v>Miscellaneous Current and Accrued Liabilities</v>
          </cell>
          <cell r="C111">
            <v>47120214.137734801</v>
          </cell>
          <cell r="D111">
            <v>39052148.174401402</v>
          </cell>
          <cell r="E111">
            <v>44264795.886196703</v>
          </cell>
          <cell r="F111">
            <v>44305962.552863397</v>
          </cell>
          <cell r="G111">
            <v>44347129.219530001</v>
          </cell>
          <cell r="H111">
            <v>45085308.291778497</v>
          </cell>
          <cell r="I111">
            <v>45126474.958445199</v>
          </cell>
          <cell r="J111">
            <v>45167641.625111803</v>
          </cell>
          <cell r="K111">
            <v>45905820.697360203</v>
          </cell>
          <cell r="L111">
            <v>45946987.364026897</v>
          </cell>
          <cell r="M111">
            <v>45988154.030693501</v>
          </cell>
          <cell r="N111">
            <v>46596333.102941997</v>
          </cell>
          <cell r="O111">
            <v>538906970.04108441</v>
          </cell>
        </row>
        <row r="112">
          <cell r="A112" t="str">
            <v>9243000</v>
          </cell>
          <cell r="B112" t="str">
            <v>Obligations Under Capital Leases - Current</v>
          </cell>
          <cell r="C112">
            <v>1758963.92</v>
          </cell>
          <cell r="D112">
            <v>1752455.31</v>
          </cell>
          <cell r="E112">
            <v>1745930.86</v>
          </cell>
          <cell r="F112">
            <v>1741365.4</v>
          </cell>
          <cell r="G112">
            <v>1736791.36</v>
          </cell>
          <cell r="H112">
            <v>1732208.73</v>
          </cell>
          <cell r="I112">
            <v>1727632.25</v>
          </cell>
          <cell r="J112">
            <v>1723047.23</v>
          </cell>
          <cell r="K112">
            <v>1718453.64</v>
          </cell>
          <cell r="L112">
            <v>1713851.49</v>
          </cell>
          <cell r="M112">
            <v>1722207.68</v>
          </cell>
          <cell r="N112">
            <v>1730591.91</v>
          </cell>
          <cell r="O112">
            <v>20803499.780000001</v>
          </cell>
        </row>
        <row r="113">
          <cell r="A113" t="str">
            <v>9245000</v>
          </cell>
          <cell r="B113" t="str">
            <v>Derivative Instrument Liabilities - Hedges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9252000</v>
          </cell>
          <cell r="B114" t="str">
            <v>Customer Advances for Construction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9253000</v>
          </cell>
          <cell r="B115" t="str">
            <v>Other Deferred Credits</v>
          </cell>
          <cell r="C115">
            <v>22779855.3384807</v>
          </cell>
          <cell r="D115">
            <v>22639071.071814101</v>
          </cell>
          <cell r="E115">
            <v>19109282.236547999</v>
          </cell>
          <cell r="F115">
            <v>18968854.7198813</v>
          </cell>
          <cell r="G115">
            <v>18828335.8532147</v>
          </cell>
          <cell r="H115">
            <v>19598347.407495499</v>
          </cell>
          <cell r="I115">
            <v>19457919.890828799</v>
          </cell>
          <cell r="J115">
            <v>19317467.374162201</v>
          </cell>
          <cell r="K115">
            <v>20262545.278443001</v>
          </cell>
          <cell r="L115">
            <v>20122184.1117763</v>
          </cell>
          <cell r="M115">
            <v>19981797.945109699</v>
          </cell>
          <cell r="N115">
            <v>20926942.1993904</v>
          </cell>
          <cell r="O115">
            <v>241992603.42714471</v>
          </cell>
        </row>
        <row r="116">
          <cell r="A116" t="str">
            <v>9254000</v>
          </cell>
          <cell r="B116" t="str">
            <v>Other Regulatory Liabilities</v>
          </cell>
          <cell r="C116">
            <v>621688465.60000002</v>
          </cell>
          <cell r="D116">
            <v>616634196.61000001</v>
          </cell>
          <cell r="E116">
            <v>617842937.69000006</v>
          </cell>
          <cell r="F116">
            <v>613047302.80999994</v>
          </cell>
          <cell r="G116">
            <v>608864729.54999995</v>
          </cell>
          <cell r="H116">
            <v>603631565.03999996</v>
          </cell>
          <cell r="I116">
            <v>600592506.94000006</v>
          </cell>
          <cell r="J116">
            <v>597682346.90999997</v>
          </cell>
          <cell r="K116">
            <v>588696919.26999998</v>
          </cell>
          <cell r="L116">
            <v>585923695.37</v>
          </cell>
          <cell r="M116">
            <v>605266787.79453099</v>
          </cell>
          <cell r="N116">
            <v>601623401.76597536</v>
          </cell>
          <cell r="O116">
            <v>7261494855.3505058</v>
          </cell>
        </row>
        <row r="117">
          <cell r="A117" t="str">
            <v>9255000</v>
          </cell>
          <cell r="B117" t="str">
            <v>Accumulated Deferred Investment Tax Credits</v>
          </cell>
          <cell r="C117">
            <v>240606037.81999999</v>
          </cell>
          <cell r="D117">
            <v>239861852.19</v>
          </cell>
          <cell r="E117">
            <v>239377666.59</v>
          </cell>
          <cell r="F117">
            <v>238633481.00999999</v>
          </cell>
          <cell r="G117">
            <v>238760351.78999999</v>
          </cell>
          <cell r="H117">
            <v>238447676.83000001</v>
          </cell>
          <cell r="I117">
            <v>238496355.72999999</v>
          </cell>
          <cell r="J117">
            <v>237752170.09</v>
          </cell>
          <cell r="K117">
            <v>237527984.46000001</v>
          </cell>
          <cell r="L117">
            <v>236783798.91</v>
          </cell>
          <cell r="M117">
            <v>302441489.70999998</v>
          </cell>
          <cell r="N117">
            <v>301697304.11000001</v>
          </cell>
          <cell r="O117">
            <v>2990386169.2399998</v>
          </cell>
        </row>
        <row r="118">
          <cell r="A118" t="str">
            <v>9256000</v>
          </cell>
          <cell r="B118" t="str">
            <v>Deferred Gains from Disposition of Utility Plant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9257000</v>
          </cell>
          <cell r="B119" t="str">
            <v>Unamortized Gain on Reacquired Debt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9281000</v>
          </cell>
          <cell r="B120" t="str">
            <v>Accum Defd Inc Taxes-Accelerated Amortiz Property</v>
          </cell>
          <cell r="C120">
            <v>52148876.850000001</v>
          </cell>
          <cell r="D120">
            <v>52130372.310000002</v>
          </cell>
          <cell r="E120">
            <v>52111867.780000001</v>
          </cell>
          <cell r="F120">
            <v>52093363.25</v>
          </cell>
          <cell r="G120">
            <v>52074858.710000001</v>
          </cell>
          <cell r="H120">
            <v>52056354.170000002</v>
          </cell>
          <cell r="I120">
            <v>52037849.640000001</v>
          </cell>
          <cell r="J120">
            <v>52019345.109999999</v>
          </cell>
          <cell r="K120">
            <v>52000840.57</v>
          </cell>
          <cell r="L120">
            <v>51982336.039999999</v>
          </cell>
          <cell r="M120">
            <v>51963831.520000003</v>
          </cell>
          <cell r="N120">
            <v>51945326.979999997</v>
          </cell>
          <cell r="O120">
            <v>624565222.93000007</v>
          </cell>
        </row>
        <row r="121">
          <cell r="A121" t="str">
            <v>9282000</v>
          </cell>
          <cell r="B121" t="str">
            <v>Accumulated Deferred Income Taxes-Other Property</v>
          </cell>
          <cell r="C121">
            <v>1251191190.55</v>
          </cell>
          <cell r="D121">
            <v>1256413313.3900001</v>
          </cell>
          <cell r="E121">
            <v>1257437715.1600001</v>
          </cell>
          <cell r="F121">
            <v>1262759811.29</v>
          </cell>
          <cell r="G121">
            <v>1268194771.73</v>
          </cell>
          <cell r="H121">
            <v>1274829337.76</v>
          </cell>
          <cell r="I121">
            <v>1280181224.1400001</v>
          </cell>
          <cell r="J121">
            <v>1285441985.8499999</v>
          </cell>
          <cell r="K121">
            <v>1295992865.4400001</v>
          </cell>
          <cell r="L121">
            <v>1301268632.76</v>
          </cell>
          <cell r="M121">
            <v>1314727617.1600001</v>
          </cell>
          <cell r="N121">
            <v>1317396353.0899999</v>
          </cell>
          <cell r="O121">
            <v>15365834818.320002</v>
          </cell>
        </row>
        <row r="122">
          <cell r="A122" t="str">
            <v>9283000</v>
          </cell>
          <cell r="B122" t="str">
            <v>Accumulated Deferred Income Taxes-Other</v>
          </cell>
          <cell r="C122">
            <v>4412762.5199999996</v>
          </cell>
          <cell r="D122">
            <v>11941489.9</v>
          </cell>
          <cell r="E122">
            <v>15155781.029999999</v>
          </cell>
          <cell r="F122">
            <v>15177783.83</v>
          </cell>
          <cell r="G122">
            <v>15550636.48</v>
          </cell>
          <cell r="H122">
            <v>13390049.550000001</v>
          </cell>
          <cell r="I122">
            <v>12312070.779999999</v>
          </cell>
          <cell r="J122">
            <v>11888188.699999999</v>
          </cell>
          <cell r="K122">
            <v>6032443.6799999997</v>
          </cell>
          <cell r="L122">
            <v>5799901.7000000002</v>
          </cell>
          <cell r="M122">
            <v>8477789.2400000002</v>
          </cell>
          <cell r="N122">
            <v>10707382.949999999</v>
          </cell>
          <cell r="O122">
            <v>130846280.36</v>
          </cell>
        </row>
        <row r="123">
          <cell r="A123" t="str">
            <v>9400000</v>
          </cell>
          <cell r="B123" t="str">
            <v>Operating Revenues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9401000</v>
          </cell>
          <cell r="B124" t="str">
            <v>Operation Expense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9402000</v>
          </cell>
          <cell r="B125" t="str">
            <v>Maintenance Expense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9403000</v>
          </cell>
          <cell r="B126" t="str">
            <v>Depreciation Expense</v>
          </cell>
          <cell r="C126">
            <v>28778995.898864198</v>
          </cell>
          <cell r="D126">
            <v>29157996.770384599</v>
          </cell>
          <cell r="E126">
            <v>29250476.037781902</v>
          </cell>
          <cell r="F126">
            <v>29391908.385667801</v>
          </cell>
          <cell r="G126">
            <v>29563227.598993201</v>
          </cell>
          <cell r="H126">
            <v>29698238.649744201</v>
          </cell>
          <cell r="I126">
            <v>29913342.204273101</v>
          </cell>
          <cell r="J126">
            <v>29974038.8629971</v>
          </cell>
          <cell r="K126">
            <v>30064294.279707</v>
          </cell>
          <cell r="L126">
            <v>30142643.080553699</v>
          </cell>
          <cell r="M126">
            <v>30231297.294188999</v>
          </cell>
          <cell r="N126">
            <v>30368601.235256199</v>
          </cell>
          <cell r="O126">
            <v>356535060.29841202</v>
          </cell>
        </row>
        <row r="127">
          <cell r="A127" t="str">
            <v>9403100</v>
          </cell>
          <cell r="B127" t="str">
            <v>Depreciation Expense for Asset Retirement Costs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9404000</v>
          </cell>
          <cell r="B128" t="str">
            <v>Amortization of Limited-Term Electric Plant</v>
          </cell>
          <cell r="C128">
            <v>1398851.3740171001</v>
          </cell>
          <cell r="D128">
            <v>1403604.4085689001</v>
          </cell>
          <cell r="E128">
            <v>1407706.1526937999</v>
          </cell>
          <cell r="F128">
            <v>1417942.3527361001</v>
          </cell>
          <cell r="G128">
            <v>1504560.7526256</v>
          </cell>
          <cell r="H128">
            <v>1508961.3295923001</v>
          </cell>
          <cell r="I128">
            <v>1528631.0696584</v>
          </cell>
          <cell r="J128">
            <v>1532743.2413834</v>
          </cell>
          <cell r="K128">
            <v>1540943.8897696</v>
          </cell>
          <cell r="L128">
            <v>1559616.8418019</v>
          </cell>
          <cell r="M128">
            <v>1591130.7029691001</v>
          </cell>
          <cell r="N128">
            <v>1623617.9912177001</v>
          </cell>
          <cell r="O128">
            <v>18018310.107033901</v>
          </cell>
        </row>
        <row r="129">
          <cell r="A129" t="str">
            <v>9404100</v>
          </cell>
          <cell r="B129" t="str">
            <v>Amort Deplet Producing Nat Gas Land &amp; Land Rights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9404200</v>
          </cell>
          <cell r="B130" t="str">
            <v>Amort of Underground Storage Land &amp; Land Rights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9404300</v>
          </cell>
          <cell r="B131" t="str">
            <v>Amortization of Other Limited-Term Gas Plant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9405000</v>
          </cell>
          <cell r="B132" t="str">
            <v>Amortization of Other Electric/Gas Plant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9406000</v>
          </cell>
          <cell r="B133" t="str">
            <v>Amortization of Plant Acquisition Adjustment</v>
          </cell>
          <cell r="C133">
            <v>15479.11</v>
          </cell>
          <cell r="D133">
            <v>15479.11</v>
          </cell>
          <cell r="E133">
            <v>15479.11</v>
          </cell>
          <cell r="F133">
            <v>15479.11</v>
          </cell>
          <cell r="G133">
            <v>15479.11</v>
          </cell>
          <cell r="H133">
            <v>15479.11</v>
          </cell>
          <cell r="I133">
            <v>15479.11</v>
          </cell>
          <cell r="J133">
            <v>15479.11</v>
          </cell>
          <cell r="K133">
            <v>15479.11</v>
          </cell>
          <cell r="L133">
            <v>15479.11</v>
          </cell>
          <cell r="M133">
            <v>15479.11</v>
          </cell>
          <cell r="N133">
            <v>15479.11</v>
          </cell>
          <cell r="O133">
            <v>185749.31999999995</v>
          </cell>
        </row>
        <row r="134">
          <cell r="A134" t="str">
            <v>9407000</v>
          </cell>
          <cell r="B134" t="str">
            <v>Amortiz Ele Prop Loss Unrecv Plant RegulStudy Cost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9407100</v>
          </cell>
          <cell r="B135" t="str">
            <v>Amortiz Gas Prop Loss Unrecv Plant RegulStudy Cost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9407200</v>
          </cell>
          <cell r="B136" t="str">
            <v>Amortization of Conversion Expenses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9407300</v>
          </cell>
          <cell r="B137" t="str">
            <v>Regulatory Debits</v>
          </cell>
          <cell r="C137">
            <v>3275012.6</v>
          </cell>
          <cell r="D137">
            <v>3044003.6</v>
          </cell>
          <cell r="E137">
            <v>3287951.7509313002</v>
          </cell>
          <cell r="F137">
            <v>3289057.4248461002</v>
          </cell>
          <cell r="G137">
            <v>3481061.9654967999</v>
          </cell>
          <cell r="H137">
            <v>5912812.1417501997</v>
          </cell>
          <cell r="I137">
            <v>6833830.5673155002</v>
          </cell>
          <cell r="J137">
            <v>5847650.2035327004</v>
          </cell>
          <cell r="K137">
            <v>11932669.9248426</v>
          </cell>
          <cell r="L137">
            <v>4495365.1253000004</v>
          </cell>
          <cell r="M137">
            <v>7736028.3184781</v>
          </cell>
          <cell r="N137">
            <v>3289478.3922032001</v>
          </cell>
          <cell r="O137">
            <v>62424922.014696494</v>
          </cell>
        </row>
        <row r="138">
          <cell r="A138" t="str">
            <v>9407400</v>
          </cell>
          <cell r="B138" t="str">
            <v>Regulatory Credits</v>
          </cell>
          <cell r="C138">
            <v>-4986058.2623432996</v>
          </cell>
          <cell r="D138">
            <v>-5447456.7042460004</v>
          </cell>
          <cell r="E138">
            <v>-7120967.9759788001</v>
          </cell>
          <cell r="F138">
            <v>-3073698.5997724002</v>
          </cell>
          <cell r="G138">
            <v>-4916807.3211363005</v>
          </cell>
          <cell r="H138">
            <v>-1588428.6440000001</v>
          </cell>
          <cell r="I138">
            <v>-1588428.6440000001</v>
          </cell>
          <cell r="J138">
            <v>-1588428.6440000001</v>
          </cell>
          <cell r="K138">
            <v>-1588428.6440000001</v>
          </cell>
          <cell r="L138">
            <v>-1588428.6440000001</v>
          </cell>
          <cell r="M138">
            <v>-2405356.6439999999</v>
          </cell>
          <cell r="N138">
            <v>-6423546.9825555002</v>
          </cell>
          <cell r="O138">
            <v>-42316035.710032307</v>
          </cell>
        </row>
        <row r="139">
          <cell r="A139" t="str">
            <v>9408100</v>
          </cell>
          <cell r="B139" t="str">
            <v>Taxes Other Than Inc Taxes-Utility Operating Inc</v>
          </cell>
          <cell r="C139">
            <v>14846560.127162799</v>
          </cell>
          <cell r="D139">
            <v>13822747.7850076</v>
          </cell>
          <cell r="E139">
            <v>13762941.636874899</v>
          </cell>
          <cell r="F139">
            <v>14055666.174908601</v>
          </cell>
          <cell r="G139">
            <v>14724809.5354545</v>
          </cell>
          <cell r="H139">
            <v>16147959.076709799</v>
          </cell>
          <cell r="I139">
            <v>16461538.7350323</v>
          </cell>
          <cell r="J139">
            <v>16374790.534638301</v>
          </cell>
          <cell r="K139">
            <v>16912959.076709799</v>
          </cell>
          <cell r="L139">
            <v>15841682.985344499</v>
          </cell>
          <cell r="M139">
            <v>14432792.075365501</v>
          </cell>
          <cell r="N139">
            <v>14750815.996989399</v>
          </cell>
          <cell r="O139">
            <v>182135263.74019802</v>
          </cell>
        </row>
        <row r="140">
          <cell r="A140" t="str">
            <v>9408200</v>
          </cell>
          <cell r="B140" t="str">
            <v>Taxes Other Than Inc Taxes-Other Income &amp; Deduct</v>
          </cell>
          <cell r="C140">
            <v>9000</v>
          </cell>
          <cell r="D140">
            <v>9000</v>
          </cell>
          <cell r="E140">
            <v>9000</v>
          </cell>
          <cell r="F140">
            <v>9000</v>
          </cell>
          <cell r="G140">
            <v>9000</v>
          </cell>
          <cell r="H140">
            <v>9000</v>
          </cell>
          <cell r="I140">
            <v>9000</v>
          </cell>
          <cell r="J140">
            <v>9000</v>
          </cell>
          <cell r="K140">
            <v>9000</v>
          </cell>
          <cell r="L140">
            <v>9000</v>
          </cell>
          <cell r="M140">
            <v>9000</v>
          </cell>
          <cell r="N140">
            <v>9000</v>
          </cell>
          <cell r="O140">
            <v>108000</v>
          </cell>
        </row>
        <row r="141">
          <cell r="A141" t="str">
            <v>9409100</v>
          </cell>
          <cell r="B141" t="str">
            <v>Income Taxes - Utility Operating Income</v>
          </cell>
          <cell r="C141">
            <v>-3248297.09</v>
          </cell>
          <cell r="D141">
            <v>-7693852.2599999998</v>
          </cell>
          <cell r="E141">
            <v>-1824103.68</v>
          </cell>
          <cell r="F141">
            <v>548331.73</v>
          </cell>
          <cell r="G141">
            <v>3333574.16</v>
          </cell>
          <cell r="H141">
            <v>5772218.0899999999</v>
          </cell>
          <cell r="I141">
            <v>7045789.6900000004</v>
          </cell>
          <cell r="J141">
            <v>7061779.29</v>
          </cell>
          <cell r="K141">
            <v>6491142.0599999996</v>
          </cell>
          <cell r="L141">
            <v>3736570.39</v>
          </cell>
          <cell r="M141">
            <v>-40637.01</v>
          </cell>
          <cell r="N141">
            <v>-1418356.7</v>
          </cell>
          <cell r="O141">
            <v>19764158.670000002</v>
          </cell>
        </row>
        <row r="142">
          <cell r="A142" t="str">
            <v>9409200</v>
          </cell>
          <cell r="B142" t="str">
            <v>Income Taxes - Other Income and Deductions</v>
          </cell>
          <cell r="C142">
            <v>-164876.34</v>
          </cell>
          <cell r="D142">
            <v>-35491.17</v>
          </cell>
          <cell r="E142">
            <v>-18824.37</v>
          </cell>
          <cell r="F142">
            <v>-11827.61</v>
          </cell>
          <cell r="G142">
            <v>-29385.23</v>
          </cell>
          <cell r="H142">
            <v>-35254</v>
          </cell>
          <cell r="I142">
            <v>-33774.639999999999</v>
          </cell>
          <cell r="J142">
            <v>9800.64</v>
          </cell>
          <cell r="K142">
            <v>11533.64</v>
          </cell>
          <cell r="L142">
            <v>-7756.99</v>
          </cell>
          <cell r="M142">
            <v>10266.549999999999</v>
          </cell>
          <cell r="N142">
            <v>13723.15</v>
          </cell>
          <cell r="O142">
            <v>-291866.36999999994</v>
          </cell>
        </row>
        <row r="143">
          <cell r="A143" t="str">
            <v>9409300</v>
          </cell>
          <cell r="B143" t="str">
            <v>Income Taxes - Extraordinary Items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9410100</v>
          </cell>
          <cell r="B144" t="str">
            <v>Provision for Defd Inc Tax - Utility Operating Inc</v>
          </cell>
          <cell r="C144">
            <v>15332562.48</v>
          </cell>
          <cell r="D144">
            <v>20622711.690000001</v>
          </cell>
          <cell r="E144">
            <v>14915747.689999999</v>
          </cell>
          <cell r="F144">
            <v>9019892.1199999992</v>
          </cell>
          <cell r="G144">
            <v>9706299.5600000005</v>
          </cell>
          <cell r="H144">
            <v>11200573.5</v>
          </cell>
          <cell r="I144">
            <v>11673600.83</v>
          </cell>
          <cell r="J144">
            <v>11711391.279999999</v>
          </cell>
          <cell r="K144">
            <v>11725579.24</v>
          </cell>
          <cell r="L144">
            <v>9692330.1199999992</v>
          </cell>
          <cell r="M144">
            <v>8776390.6300000008</v>
          </cell>
          <cell r="N144">
            <v>12552593.789999999</v>
          </cell>
          <cell r="O144">
            <v>146929672.92999998</v>
          </cell>
        </row>
        <row r="145">
          <cell r="A145" t="str">
            <v>9410200</v>
          </cell>
          <cell r="B145" t="str">
            <v>Provision for Defd Inc Tax - Other Inc and Deduct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9411100</v>
          </cell>
          <cell r="B146" t="str">
            <v>Provision for Defd Inc Taxes-CR Utility Oper Inc</v>
          </cell>
          <cell r="C146">
            <v>-34787307.960000001</v>
          </cell>
          <cell r="D146">
            <v>-11731465.970000001</v>
          </cell>
          <cell r="E146">
            <v>-7966047.7599999998</v>
          </cell>
          <cell r="F146">
            <v>-6241702.2199999997</v>
          </cell>
          <cell r="G146">
            <v>-7072587.6699999999</v>
          </cell>
          <cell r="H146">
            <v>-10923035.23</v>
          </cell>
          <cell r="I146">
            <v>-10001379.890000001</v>
          </cell>
          <cell r="J146">
            <v>-8589081.4900000002</v>
          </cell>
          <cell r="K146">
            <v>-16625196.390000001</v>
          </cell>
          <cell r="L146">
            <v>-7004912.79</v>
          </cell>
          <cell r="M146">
            <v>-73016981.180000007</v>
          </cell>
          <cell r="N146">
            <v>-7440590.54</v>
          </cell>
          <cell r="O146">
            <v>-201400289.09</v>
          </cell>
        </row>
        <row r="147">
          <cell r="A147" t="str">
            <v>9411200</v>
          </cell>
          <cell r="B147" t="str">
            <v>Provision for Defd Inc Taxes-CR Other Inc &amp; Deduct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9411400</v>
          </cell>
          <cell r="B148" t="str">
            <v>Investment Tax Credit Adjustm-Utility Operations</v>
          </cell>
          <cell r="C148">
            <v>24922643.27</v>
          </cell>
          <cell r="D148">
            <v>-744184.19</v>
          </cell>
          <cell r="E148">
            <v>-484184.15</v>
          </cell>
          <cell r="F148">
            <v>-744184.14</v>
          </cell>
          <cell r="G148">
            <v>126872.22</v>
          </cell>
          <cell r="H148">
            <v>-312673.52</v>
          </cell>
          <cell r="I148">
            <v>48680.34</v>
          </cell>
          <cell r="J148">
            <v>-744184.2</v>
          </cell>
          <cell r="K148">
            <v>-224184.18</v>
          </cell>
          <cell r="L148">
            <v>-744184.11</v>
          </cell>
          <cell r="M148">
            <v>65657692.240000002</v>
          </cell>
          <cell r="N148">
            <v>-744184.16</v>
          </cell>
          <cell r="O148">
            <v>86013925.420000002</v>
          </cell>
        </row>
        <row r="149">
          <cell r="A149" t="str">
            <v>9411500</v>
          </cell>
          <cell r="B149" t="str">
            <v>Investment Tax Credit Adj - Nonutility Operations</v>
          </cell>
          <cell r="C149">
            <v>-1.44</v>
          </cell>
          <cell r="D149">
            <v>-1.44</v>
          </cell>
          <cell r="E149">
            <v>-1.45</v>
          </cell>
          <cell r="F149">
            <v>-1.44</v>
          </cell>
          <cell r="G149">
            <v>-1.44</v>
          </cell>
          <cell r="H149">
            <v>-1.44</v>
          </cell>
          <cell r="I149">
            <v>-1.44</v>
          </cell>
          <cell r="J149">
            <v>-1.44</v>
          </cell>
          <cell r="K149">
            <v>-1.45</v>
          </cell>
          <cell r="L149">
            <v>-1.44</v>
          </cell>
          <cell r="M149">
            <v>-1.44</v>
          </cell>
          <cell r="N149">
            <v>-1.44</v>
          </cell>
          <cell r="O149">
            <v>-17.299999999999997</v>
          </cell>
        </row>
        <row r="150">
          <cell r="A150" t="str">
            <v>9411600</v>
          </cell>
          <cell r="B150" t="str">
            <v>Gains From Disposition of Utility Plant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9411700</v>
          </cell>
          <cell r="B151" t="str">
            <v>Losses From Disposition of Utility Plant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9411800</v>
          </cell>
          <cell r="B152" t="str">
            <v>Gains From Disposition of Allowances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9411900</v>
          </cell>
          <cell r="B153" t="str">
            <v>Losses From Disposition of Allowances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9412000</v>
          </cell>
          <cell r="B154" t="str">
            <v>Rev Gas Plant Leased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9413000</v>
          </cell>
          <cell r="B155" t="str">
            <v>Expenses of Util Plant leased to Others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9414000</v>
          </cell>
          <cell r="B156" t="str">
            <v>Other Utility Operating Income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9415000</v>
          </cell>
          <cell r="B157" t="str">
            <v>Revenues frm Merchandising Jobbing &amp; Contract Work</v>
          </cell>
          <cell r="C157">
            <v>354300</v>
          </cell>
          <cell r="D157">
            <v>356884.75</v>
          </cell>
          <cell r="E157">
            <v>360344.4</v>
          </cell>
          <cell r="F157">
            <v>364281.45</v>
          </cell>
          <cell r="G157">
            <v>369173.3</v>
          </cell>
          <cell r="H157">
            <v>374542.55</v>
          </cell>
          <cell r="I157">
            <v>380866.6</v>
          </cell>
          <cell r="J157">
            <v>387548.2</v>
          </cell>
          <cell r="K157">
            <v>393792.55</v>
          </cell>
          <cell r="L157">
            <v>399407.49</v>
          </cell>
          <cell r="M157">
            <v>403829.93</v>
          </cell>
          <cell r="N157">
            <v>407457.37</v>
          </cell>
          <cell r="O157">
            <v>4552428.59</v>
          </cell>
        </row>
        <row r="158">
          <cell r="A158" t="str">
            <v>9416000</v>
          </cell>
          <cell r="B158" t="str">
            <v>Costs of Merchandising. Jobbing and Contract Work</v>
          </cell>
          <cell r="C158">
            <v>269487.63601700001</v>
          </cell>
          <cell r="D158">
            <v>219392.23520369999</v>
          </cell>
          <cell r="E158">
            <v>225173.76251830001</v>
          </cell>
          <cell r="F158">
            <v>227060.83214789999</v>
          </cell>
          <cell r="G158">
            <v>267044.24480039999</v>
          </cell>
          <cell r="H158">
            <v>227433.79134560001</v>
          </cell>
          <cell r="I158">
            <v>231855.8260302</v>
          </cell>
          <cell r="J158">
            <v>227052.21977719999</v>
          </cell>
          <cell r="K158">
            <v>229946.9773456</v>
          </cell>
          <cell r="L158">
            <v>273453.72543300001</v>
          </cell>
          <cell r="M158">
            <v>230601.82082379999</v>
          </cell>
          <cell r="N158">
            <v>234560.40355660001</v>
          </cell>
          <cell r="O158">
            <v>2863063.4749992997</v>
          </cell>
        </row>
        <row r="159">
          <cell r="A159" t="str">
            <v>9417000</v>
          </cell>
          <cell r="B159" t="str">
            <v>Revenues from Nonutility Operations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9417100</v>
          </cell>
          <cell r="B160" t="str">
            <v>Expenses of Nonutility Operations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9418000</v>
          </cell>
          <cell r="B161" t="str">
            <v>Nonoperating Rental Income</v>
          </cell>
          <cell r="C161">
            <v>4754</v>
          </cell>
          <cell r="D161">
            <v>4754</v>
          </cell>
          <cell r="E161">
            <v>4754</v>
          </cell>
          <cell r="F161">
            <v>4754</v>
          </cell>
          <cell r="G161">
            <v>4754</v>
          </cell>
          <cell r="H161">
            <v>4754</v>
          </cell>
          <cell r="I161">
            <v>4754</v>
          </cell>
          <cell r="J161">
            <v>4754</v>
          </cell>
          <cell r="K161">
            <v>4754</v>
          </cell>
          <cell r="L161">
            <v>4754</v>
          </cell>
          <cell r="M161">
            <v>4754</v>
          </cell>
          <cell r="N161">
            <v>4754</v>
          </cell>
          <cell r="O161">
            <v>57048</v>
          </cell>
        </row>
        <row r="162">
          <cell r="A162" t="str">
            <v>9418100</v>
          </cell>
          <cell r="B162" t="str">
            <v>Equity in Earnings of Subsidiary Companies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9419000</v>
          </cell>
          <cell r="B163" t="str">
            <v>Interest and Dividend Income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9419100</v>
          </cell>
          <cell r="B164" t="str">
            <v>Allowance for Other Funds Used During Construction</v>
          </cell>
          <cell r="C164">
            <v>2900257.0541440002</v>
          </cell>
          <cell r="D164">
            <v>2858727.7415749999</v>
          </cell>
          <cell r="E164">
            <v>2997683.0613540001</v>
          </cell>
          <cell r="F164">
            <v>3131957.327486</v>
          </cell>
          <cell r="G164">
            <v>3289679.6674480001</v>
          </cell>
          <cell r="H164">
            <v>3513418.7217640001</v>
          </cell>
          <cell r="I164">
            <v>3705893.5965559999</v>
          </cell>
          <cell r="J164">
            <v>3854464.1205779999</v>
          </cell>
          <cell r="K164">
            <v>3981263.6716840002</v>
          </cell>
          <cell r="L164">
            <v>4092666.8239449998</v>
          </cell>
          <cell r="M164">
            <v>3252374.9056060002</v>
          </cell>
          <cell r="N164">
            <v>2048159.1162090001</v>
          </cell>
          <cell r="O164">
            <v>39626545.808348998</v>
          </cell>
        </row>
        <row r="165">
          <cell r="A165" t="str">
            <v>9420000</v>
          </cell>
          <cell r="B165" t="str">
            <v>Investment Tax Credits. Oth Inc and Deduct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9421000</v>
          </cell>
          <cell r="B166" t="str">
            <v>Miscellaneous Nonoperating Income</v>
          </cell>
          <cell r="C166">
            <v>3545</v>
          </cell>
          <cell r="D166">
            <v>4247</v>
          </cell>
          <cell r="E166">
            <v>4729</v>
          </cell>
          <cell r="F166">
            <v>4833</v>
          </cell>
          <cell r="G166">
            <v>4603</v>
          </cell>
          <cell r="H166">
            <v>3834</v>
          </cell>
          <cell r="I166">
            <v>2327</v>
          </cell>
          <cell r="J166">
            <v>665.6</v>
          </cell>
          <cell r="K166">
            <v>-1286</v>
          </cell>
          <cell r="L166">
            <v>-3075</v>
          </cell>
          <cell r="M166">
            <v>-3889</v>
          </cell>
          <cell r="N166">
            <v>-3920</v>
          </cell>
          <cell r="O166">
            <v>16613.599999999999</v>
          </cell>
        </row>
        <row r="167">
          <cell r="A167" t="str">
            <v>9421100</v>
          </cell>
          <cell r="B167" t="str">
            <v>Gain on Disposition of Property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9421200</v>
          </cell>
          <cell r="B168" t="str">
            <v>Loss on Disposition of Property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9425000</v>
          </cell>
          <cell r="B169" t="str">
            <v>Miscellaneous Amortization</v>
          </cell>
          <cell r="C169">
            <v>4246.62</v>
          </cell>
          <cell r="D169">
            <v>4246.62</v>
          </cell>
          <cell r="E169">
            <v>4246.62</v>
          </cell>
          <cell r="F169">
            <v>4246.62</v>
          </cell>
          <cell r="G169">
            <v>4246.62</v>
          </cell>
          <cell r="H169">
            <v>4246.62</v>
          </cell>
          <cell r="I169">
            <v>4246.62</v>
          </cell>
          <cell r="J169">
            <v>4246.62</v>
          </cell>
          <cell r="K169">
            <v>4246.62</v>
          </cell>
          <cell r="L169">
            <v>4246.62</v>
          </cell>
          <cell r="M169">
            <v>4246.62</v>
          </cell>
          <cell r="N169">
            <v>4246.62</v>
          </cell>
          <cell r="O169">
            <v>50959.44000000001</v>
          </cell>
        </row>
        <row r="170">
          <cell r="A170" t="str">
            <v>9426100</v>
          </cell>
          <cell r="B170" t="str">
            <v>Other Expense - Donations</v>
          </cell>
          <cell r="C170">
            <v>739674.39</v>
          </cell>
          <cell r="D170">
            <v>266933.114</v>
          </cell>
          <cell r="E170">
            <v>175525.43400000001</v>
          </cell>
          <cell r="F170">
            <v>170390.85200000001</v>
          </cell>
          <cell r="G170">
            <v>206699.5</v>
          </cell>
          <cell r="H170">
            <v>249250.47</v>
          </cell>
          <cell r="I170">
            <v>266660.24</v>
          </cell>
          <cell r="J170">
            <v>98676.09</v>
          </cell>
          <cell r="K170">
            <v>81260.241999999998</v>
          </cell>
          <cell r="L170">
            <v>141148.42000000001</v>
          </cell>
          <cell r="M170">
            <v>114315.81</v>
          </cell>
          <cell r="N170">
            <v>60516.707999999999</v>
          </cell>
          <cell r="O170">
            <v>2571051.27</v>
          </cell>
        </row>
        <row r="171">
          <cell r="A171" t="str">
            <v>9426200</v>
          </cell>
          <cell r="B171" t="str">
            <v>Other Expense - Life Insurance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9426300</v>
          </cell>
          <cell r="B172" t="str">
            <v>Other Expense - Penalties</v>
          </cell>
          <cell r="C172">
            <v>0</v>
          </cell>
          <cell r="D172">
            <v>0</v>
          </cell>
          <cell r="E172">
            <v>20600</v>
          </cell>
          <cell r="F172">
            <v>0</v>
          </cell>
          <cell r="G172">
            <v>0</v>
          </cell>
          <cell r="H172">
            <v>20600</v>
          </cell>
          <cell r="I172">
            <v>0</v>
          </cell>
          <cell r="J172">
            <v>0</v>
          </cell>
          <cell r="K172">
            <v>20600</v>
          </cell>
          <cell r="L172">
            <v>0</v>
          </cell>
          <cell r="M172">
            <v>0</v>
          </cell>
          <cell r="N172">
            <v>41200</v>
          </cell>
          <cell r="O172">
            <v>103000</v>
          </cell>
        </row>
        <row r="173">
          <cell r="A173" t="str">
            <v>9426400</v>
          </cell>
          <cell r="B173" t="str">
            <v>Exp Certain Civic. Political &amp; Related Activities</v>
          </cell>
          <cell r="C173">
            <v>34479.345318799998</v>
          </cell>
          <cell r="D173">
            <v>4889.32</v>
          </cell>
          <cell r="E173">
            <v>33798.865318800003</v>
          </cell>
          <cell r="F173">
            <v>4454.97</v>
          </cell>
          <cell r="G173">
            <v>6012.67</v>
          </cell>
          <cell r="H173">
            <v>37954.145318800001</v>
          </cell>
          <cell r="I173">
            <v>10764.97</v>
          </cell>
          <cell r="J173">
            <v>11204.97</v>
          </cell>
          <cell r="K173">
            <v>33022.145318800001</v>
          </cell>
          <cell r="L173">
            <v>5885.77</v>
          </cell>
          <cell r="M173">
            <v>7688.75</v>
          </cell>
          <cell r="N173">
            <v>4655.37</v>
          </cell>
          <cell r="O173">
            <v>194811.29127519997</v>
          </cell>
        </row>
        <row r="174">
          <cell r="A174" t="str">
            <v>9426500</v>
          </cell>
          <cell r="B174" t="str">
            <v>Other Deductions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9427000</v>
          </cell>
          <cell r="B175" t="str">
            <v>Interest on Long-Term Debt</v>
          </cell>
          <cell r="C175">
            <v>9693098.9499999993</v>
          </cell>
          <cell r="D175">
            <v>10334765.615</v>
          </cell>
          <cell r="E175">
            <v>10976432.279999999</v>
          </cell>
          <cell r="F175">
            <v>10976432.279999999</v>
          </cell>
          <cell r="G175">
            <v>10455039.060000001</v>
          </cell>
          <cell r="H175">
            <v>9933645.8399999999</v>
          </cell>
          <cell r="I175">
            <v>9933645.8399999999</v>
          </cell>
          <cell r="J175">
            <v>9933645.8399999999</v>
          </cell>
          <cell r="K175">
            <v>9933645.8399999999</v>
          </cell>
          <cell r="L175">
            <v>9933645.8399999999</v>
          </cell>
          <cell r="M175">
            <v>10266979.175000001</v>
          </cell>
          <cell r="N175">
            <v>10600312.51</v>
          </cell>
          <cell r="O175">
            <v>122971289.07000002</v>
          </cell>
        </row>
        <row r="176">
          <cell r="A176" t="str">
            <v>9428000</v>
          </cell>
          <cell r="B176" t="str">
            <v>Amortization of Debt Discount and Expense</v>
          </cell>
          <cell r="C176">
            <v>118623.72</v>
          </cell>
          <cell r="D176">
            <v>133901.49777779999</v>
          </cell>
          <cell r="E176">
            <v>133901.49777779999</v>
          </cell>
          <cell r="F176">
            <v>133901.49777779999</v>
          </cell>
          <cell r="G176">
            <v>133901.49777779999</v>
          </cell>
          <cell r="H176">
            <v>133901.49777779999</v>
          </cell>
          <cell r="I176">
            <v>133901.49777779999</v>
          </cell>
          <cell r="J176">
            <v>133901.49777779999</v>
          </cell>
          <cell r="K176">
            <v>133901.49777779999</v>
          </cell>
          <cell r="L176">
            <v>133901.49777779999</v>
          </cell>
          <cell r="M176">
            <v>140845.94222220001</v>
          </cell>
          <cell r="N176">
            <v>140845.94222220001</v>
          </cell>
          <cell r="O176">
            <v>1605429.0844446002</v>
          </cell>
        </row>
        <row r="177">
          <cell r="A177" t="str">
            <v>9428100</v>
          </cell>
          <cell r="B177" t="str">
            <v>Amortization of Loss on Reacquired Debt</v>
          </cell>
          <cell r="C177">
            <v>80404.95</v>
          </cell>
          <cell r="D177">
            <v>80404.95</v>
          </cell>
          <cell r="E177">
            <v>80404.95</v>
          </cell>
          <cell r="F177">
            <v>80404.95</v>
          </cell>
          <cell r="G177">
            <v>80404.95</v>
          </cell>
          <cell r="H177">
            <v>80404.95</v>
          </cell>
          <cell r="I177">
            <v>80404.95</v>
          </cell>
          <cell r="J177">
            <v>76670.289999999994</v>
          </cell>
          <cell r="K177">
            <v>76670.289999999994</v>
          </cell>
          <cell r="L177">
            <v>76670.289999999994</v>
          </cell>
          <cell r="M177">
            <v>76670.289999999994</v>
          </cell>
          <cell r="N177">
            <v>76670.289999999994</v>
          </cell>
          <cell r="O177">
            <v>946186.10000000021</v>
          </cell>
        </row>
        <row r="178">
          <cell r="A178" t="str">
            <v>9429000</v>
          </cell>
          <cell r="B178" t="str">
            <v>Amortization of Premium on Debt - Credit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9429100</v>
          </cell>
          <cell r="B179" t="str">
            <v>Amortization of Gain on Reacquired Debt - Credit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9430000</v>
          </cell>
          <cell r="B180" t="str">
            <v>Interest on Debt to Associated Companies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9431000</v>
          </cell>
          <cell r="B181" t="str">
            <v>Other Interest Expense</v>
          </cell>
          <cell r="C181">
            <v>872831.45379179996</v>
          </cell>
          <cell r="D181">
            <v>631404.03404339997</v>
          </cell>
          <cell r="E181">
            <v>389771.16097839997</v>
          </cell>
          <cell r="F181">
            <v>409160.15461209998</v>
          </cell>
          <cell r="G181">
            <v>477372.05495989998</v>
          </cell>
          <cell r="H181">
            <v>558755.74203690002</v>
          </cell>
          <cell r="I181">
            <v>585557.71585859999</v>
          </cell>
          <cell r="J181">
            <v>573194.7264402</v>
          </cell>
          <cell r="K181">
            <v>562988.52379709994</v>
          </cell>
          <cell r="L181">
            <v>557162.60794450005</v>
          </cell>
          <cell r="M181">
            <v>513591.72889780003</v>
          </cell>
          <cell r="N181">
            <v>487118.1366723</v>
          </cell>
          <cell r="O181">
            <v>6618908.0400329996</v>
          </cell>
        </row>
        <row r="182">
          <cell r="A182" t="str">
            <v>9432000</v>
          </cell>
          <cell r="B182" t="str">
            <v>Allow Borrowed Funds Used During Construct-Credit</v>
          </cell>
          <cell r="C182">
            <v>-1391968.865856</v>
          </cell>
          <cell r="D182">
            <v>-1372037.0084249999</v>
          </cell>
          <cell r="E182">
            <v>-1438728.1586460001</v>
          </cell>
          <cell r="F182">
            <v>-1503172.652514</v>
          </cell>
          <cell r="G182">
            <v>-1578870.9725520001</v>
          </cell>
          <cell r="H182">
            <v>-1686253.7982359999</v>
          </cell>
          <cell r="I182">
            <v>-1778631.4834439999</v>
          </cell>
          <cell r="J182">
            <v>-1849937.4194219999</v>
          </cell>
          <cell r="K182">
            <v>-1910794.4483159999</v>
          </cell>
          <cell r="L182">
            <v>-1964262.026055</v>
          </cell>
          <cell r="M182">
            <v>-1560966.6743940001</v>
          </cell>
          <cell r="N182">
            <v>-983007.253791</v>
          </cell>
          <cell r="O182">
            <v>-19018630.761651002</v>
          </cell>
        </row>
        <row r="183">
          <cell r="A183" t="str">
            <v>9433000</v>
          </cell>
          <cell r="B183" t="str">
            <v>Balance Transferred from Income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9434000</v>
          </cell>
          <cell r="B184" t="str">
            <v>Extraordinary Income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9435000</v>
          </cell>
          <cell r="B185" t="str">
            <v>Extraordinary Deductions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9436000</v>
          </cell>
          <cell r="B186" t="str">
            <v>Appropriations of Retained Earnings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9437000</v>
          </cell>
          <cell r="B187" t="str">
            <v>Dividends Declared - Preferred Stock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 t="str">
            <v>9438000</v>
          </cell>
          <cell r="B188" t="str">
            <v>Dividends Declared - Common Stock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9439000</v>
          </cell>
          <cell r="B189" t="str">
            <v>Adjustments to Retained Earnings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9440000</v>
          </cell>
          <cell r="B190" t="str">
            <v>Electric Residential Sales</v>
          </cell>
          <cell r="C190">
            <v>85273338.578376502</v>
          </cell>
          <cell r="D190">
            <v>76572800.795325801</v>
          </cell>
          <cell r="E190">
            <v>73437505.806517899</v>
          </cell>
          <cell r="F190">
            <v>78110402.718029007</v>
          </cell>
          <cell r="G190">
            <v>89868628.378266796</v>
          </cell>
          <cell r="H190">
            <v>110219313.8533314</v>
          </cell>
          <cell r="I190">
            <v>116818888.3417532</v>
          </cell>
          <cell r="J190">
            <v>115439421.0104797</v>
          </cell>
          <cell r="K190">
            <v>121147679.1723218</v>
          </cell>
          <cell r="L190">
            <v>106602054.90514439</v>
          </cell>
          <cell r="M190">
            <v>84365141.397020206</v>
          </cell>
          <cell r="N190">
            <v>79041354.727415606</v>
          </cell>
          <cell r="O190">
            <v>1136896529.6839824</v>
          </cell>
        </row>
        <row r="191">
          <cell r="A191" t="str">
            <v>9442000</v>
          </cell>
          <cell r="B191" t="str">
            <v>Electric Commercial and Industrial Sales</v>
          </cell>
          <cell r="C191">
            <v>51217979.919594899</v>
          </cell>
          <cell r="D191">
            <v>49710628.494637601</v>
          </cell>
          <cell r="E191">
            <v>50412570.370923698</v>
          </cell>
          <cell r="F191">
            <v>52405134.381930903</v>
          </cell>
          <cell r="G191">
            <v>55400778.0325386</v>
          </cell>
          <cell r="H191">
            <v>59618253.383881897</v>
          </cell>
          <cell r="I191">
            <v>61181450.979446299</v>
          </cell>
          <cell r="J191">
            <v>61024983.679677799</v>
          </cell>
          <cell r="K191">
            <v>62342418.099562101</v>
          </cell>
          <cell r="L191">
            <v>59314610.447357401</v>
          </cell>
          <cell r="M191">
            <v>54460483.017550103</v>
          </cell>
          <cell r="N191">
            <v>52890424.485577904</v>
          </cell>
          <cell r="O191">
            <v>669979715.29267919</v>
          </cell>
        </row>
        <row r="192">
          <cell r="A192" t="str">
            <v>9444000</v>
          </cell>
          <cell r="B192" t="str">
            <v>Electric Public Street and Highway Lighting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9445000</v>
          </cell>
          <cell r="B193" t="str">
            <v>Electric Other Sales to Public Authorities</v>
          </cell>
          <cell r="C193">
            <v>14252334.766927101</v>
          </cell>
          <cell r="D193">
            <v>14082824.785038101</v>
          </cell>
          <cell r="E193">
            <v>14075144.052891999</v>
          </cell>
          <cell r="F193">
            <v>14469786.526844099</v>
          </cell>
          <cell r="G193">
            <v>15126654.239636401</v>
          </cell>
          <cell r="H193">
            <v>15825469.611916799</v>
          </cell>
          <cell r="I193">
            <v>15598911.313059499</v>
          </cell>
          <cell r="J193">
            <v>15876707.1291897</v>
          </cell>
          <cell r="K193">
            <v>17120435.946944401</v>
          </cell>
          <cell r="L193">
            <v>16312569.141280601</v>
          </cell>
          <cell r="M193">
            <v>15096855.8374497</v>
          </cell>
          <cell r="N193">
            <v>14554401.982874701</v>
          </cell>
          <cell r="O193">
            <v>182392095.33405307</v>
          </cell>
        </row>
        <row r="194">
          <cell r="A194" t="str">
            <v>9446000</v>
          </cell>
          <cell r="B194" t="str">
            <v>Electric Sales to Railroads And Railways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9447000</v>
          </cell>
          <cell r="B195" t="str">
            <v>Electric Sales For Resale</v>
          </cell>
          <cell r="C195">
            <v>151224</v>
          </cell>
          <cell r="D195">
            <v>147265</v>
          </cell>
          <cell r="E195">
            <v>158045</v>
          </cell>
          <cell r="F195">
            <v>155097</v>
          </cell>
          <cell r="G195">
            <v>164080</v>
          </cell>
          <cell r="H195">
            <v>169190</v>
          </cell>
          <cell r="I195">
            <v>157163</v>
          </cell>
          <cell r="J195">
            <v>157754</v>
          </cell>
          <cell r="K195">
            <v>162864</v>
          </cell>
          <cell r="L195">
            <v>149094</v>
          </cell>
          <cell r="M195">
            <v>148632</v>
          </cell>
          <cell r="N195">
            <v>149364</v>
          </cell>
          <cell r="O195">
            <v>1869772</v>
          </cell>
        </row>
        <row r="196">
          <cell r="A196" t="str">
            <v>9448000</v>
          </cell>
          <cell r="B196" t="str">
            <v>Electric Interdepartmental Sales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9449100</v>
          </cell>
          <cell r="B197" t="str">
            <v>Electric Provision for Rate Refunds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9450000</v>
          </cell>
          <cell r="B198" t="str">
            <v>Electric Forfeited Discounts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9451000</v>
          </cell>
          <cell r="B199" t="str">
            <v>Electric Miscellaneous Service Revenues</v>
          </cell>
          <cell r="C199">
            <v>2100320.3175641</v>
          </cell>
          <cell r="D199">
            <v>2104405.8145896001</v>
          </cell>
          <cell r="E199">
            <v>1978756.9123104</v>
          </cell>
          <cell r="F199">
            <v>1878330.2855334999</v>
          </cell>
          <cell r="G199">
            <v>1842550.2114748</v>
          </cell>
          <cell r="H199">
            <v>2197149.2333892002</v>
          </cell>
          <cell r="I199">
            <v>2298362.2815525001</v>
          </cell>
          <cell r="J199">
            <v>2326234.6635513999</v>
          </cell>
          <cell r="K199">
            <v>2373361.1332077002</v>
          </cell>
          <cell r="L199">
            <v>2074595.9828441001</v>
          </cell>
          <cell r="M199">
            <v>1976869.1478565</v>
          </cell>
          <cell r="N199">
            <v>2302049.8214909001</v>
          </cell>
          <cell r="O199">
            <v>25452985.805364698</v>
          </cell>
        </row>
        <row r="200">
          <cell r="A200" t="str">
            <v>9453000</v>
          </cell>
          <cell r="B200" t="str">
            <v>Sales of Water and Water Power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9454000</v>
          </cell>
          <cell r="B201" t="str">
            <v>Electric Rent from Electric Property</v>
          </cell>
          <cell r="C201">
            <v>1129253.3420019001</v>
          </cell>
          <cell r="D201">
            <v>726441.19112970005</v>
          </cell>
          <cell r="E201">
            <v>706117.19315609999</v>
          </cell>
          <cell r="F201">
            <v>784769.94245029998</v>
          </cell>
          <cell r="G201">
            <v>663440.81782500003</v>
          </cell>
          <cell r="H201">
            <v>702786.42290200002</v>
          </cell>
          <cell r="I201">
            <v>697102.78963420005</v>
          </cell>
          <cell r="J201">
            <v>866033.37196629995</v>
          </cell>
          <cell r="K201">
            <v>727340.40938249999</v>
          </cell>
          <cell r="L201">
            <v>831735.70599369996</v>
          </cell>
          <cell r="M201">
            <v>690475.24988270004</v>
          </cell>
          <cell r="N201">
            <v>700965.19927900005</v>
          </cell>
          <cell r="O201">
            <v>9226461.6356033981</v>
          </cell>
        </row>
        <row r="202">
          <cell r="A202" t="str">
            <v>9455000</v>
          </cell>
          <cell r="B202" t="str">
            <v>Electric Interdepartmental Rents</v>
          </cell>
          <cell r="C202">
            <v>322994.22544020001</v>
          </cell>
          <cell r="D202">
            <v>350604.63043650001</v>
          </cell>
          <cell r="E202">
            <v>350604.63043650001</v>
          </cell>
          <cell r="F202">
            <v>350604.63043650001</v>
          </cell>
          <cell r="G202">
            <v>350604.63043650001</v>
          </cell>
          <cell r="H202">
            <v>350601.25316259998</v>
          </cell>
          <cell r="I202">
            <v>347768.52445179998</v>
          </cell>
          <cell r="J202">
            <v>348868.4144518</v>
          </cell>
          <cell r="K202">
            <v>348868.4144518</v>
          </cell>
          <cell r="L202">
            <v>350341.09634210001</v>
          </cell>
          <cell r="M202">
            <v>350341.09634210001</v>
          </cell>
          <cell r="N202">
            <v>350492.7134443</v>
          </cell>
          <cell r="O202">
            <v>4172694.2598326998</v>
          </cell>
        </row>
        <row r="203">
          <cell r="A203" t="str">
            <v>9456000</v>
          </cell>
          <cell r="B203" t="str">
            <v>Electric Other Electric Revenues</v>
          </cell>
          <cell r="C203">
            <v>-2140206.8965795999</v>
          </cell>
          <cell r="D203">
            <v>-4119531.8436142998</v>
          </cell>
          <cell r="E203">
            <v>2463830</v>
          </cell>
          <cell r="F203">
            <v>4223301.6994417999</v>
          </cell>
          <cell r="G203">
            <v>8879842.0494486</v>
          </cell>
          <cell r="H203">
            <v>2380688.2156749</v>
          </cell>
          <cell r="I203">
            <v>1935673.6245857</v>
          </cell>
          <cell r="J203">
            <v>4152227.3304945002</v>
          </cell>
          <cell r="K203">
            <v>-6670778.3027831996</v>
          </cell>
          <cell r="L203">
            <v>-5168463.1456811996</v>
          </cell>
          <cell r="M203">
            <v>-6651642.3886267003</v>
          </cell>
          <cell r="N203">
            <v>1951013.2598568001</v>
          </cell>
          <cell r="O203">
            <v>1235953.6022173013</v>
          </cell>
        </row>
        <row r="204">
          <cell r="A204" t="str">
            <v>9456100</v>
          </cell>
          <cell r="B204" t="str">
            <v>Revenues frm Transmission of Electricity of Others</v>
          </cell>
          <cell r="C204">
            <v>670760.70352750004</v>
          </cell>
          <cell r="D204">
            <v>670760.70352750004</v>
          </cell>
          <cell r="E204">
            <v>670760.70352750004</v>
          </cell>
          <cell r="F204">
            <v>670760.70352750004</v>
          </cell>
          <cell r="G204">
            <v>670760.70352750004</v>
          </cell>
          <cell r="H204">
            <v>636820.23100000003</v>
          </cell>
          <cell r="I204">
            <v>636820.23100000003</v>
          </cell>
          <cell r="J204">
            <v>636820.23100000003</v>
          </cell>
          <cell r="K204">
            <v>636820.23100000003</v>
          </cell>
          <cell r="L204">
            <v>670760.70352750004</v>
          </cell>
          <cell r="M204">
            <v>670760.70352750004</v>
          </cell>
          <cell r="N204">
            <v>670760.70352750004</v>
          </cell>
          <cell r="O204">
            <v>7913366.552219999</v>
          </cell>
        </row>
        <row r="205">
          <cell r="A205" t="str">
            <v>9457100</v>
          </cell>
          <cell r="B205" t="str">
            <v>Regional Transmission Service Revenues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9457200</v>
          </cell>
          <cell r="B206" t="str">
            <v>Miscellaneous Revenues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 t="str">
            <v>9458100</v>
          </cell>
          <cell r="B207" t="str">
            <v>Svc Company Revenue- NonAssoc Co-Direct Costs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9480000</v>
          </cell>
          <cell r="B208" t="str">
            <v>Gas Residential Sales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9481000</v>
          </cell>
          <cell r="B209" t="str">
            <v>Gas Commercial and Industrial Sales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9482000</v>
          </cell>
          <cell r="B210" t="str">
            <v>Gas Other Sales to Public Authorities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9483000</v>
          </cell>
          <cell r="B211" t="str">
            <v>Gas Sales For Resale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9484000</v>
          </cell>
          <cell r="B212" t="str">
            <v>Gas Interdepartmental Sales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9485000</v>
          </cell>
          <cell r="B213" t="str">
            <v>Gas Intracompany Transfers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9487000</v>
          </cell>
          <cell r="B214" t="str">
            <v>Gas Forfeited Discounts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9488000</v>
          </cell>
          <cell r="B215" t="str">
            <v>Gas Miscellaneous Service Revenues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9489100</v>
          </cell>
          <cell r="B216" t="str">
            <v>Gas Rev Transport Gas of Others Gathering Facility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9489200</v>
          </cell>
          <cell r="B217" t="str">
            <v>Gas Rev Transport Gas of Others Transm Facility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9489300</v>
          </cell>
          <cell r="B218" t="str">
            <v>Gas Rev Transport Gas of Others Distrib Facility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9489400</v>
          </cell>
          <cell r="B219" t="str">
            <v>Gas Revenues from Storing Gas of Others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9490000</v>
          </cell>
          <cell r="B220" t="str">
            <v>Gas Sales of Products Extracted from Natural Gas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9491000</v>
          </cell>
          <cell r="B221" t="str">
            <v>Gas Revenues from Natural Gas Processed by Others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9492000</v>
          </cell>
          <cell r="B222" t="str">
            <v>Gas Incidental Gasoline and Oil Sales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9493000</v>
          </cell>
          <cell r="B223" t="str">
            <v>Gas Rent from Gas Property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9494000</v>
          </cell>
          <cell r="B224" t="str">
            <v>Gas Interdepartmental Rents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9495000</v>
          </cell>
          <cell r="B225" t="str">
            <v>Gas Other Gas Revenues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9496000</v>
          </cell>
          <cell r="B226" t="str">
            <v>Gas Provision For Rate Refunds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9500000</v>
          </cell>
          <cell r="B227" t="str">
            <v>Steam Operation Supervision And Engineering</v>
          </cell>
          <cell r="C227">
            <v>259126.91363240001</v>
          </cell>
          <cell r="D227">
            <v>250967.51919039999</v>
          </cell>
          <cell r="E227">
            <v>277813.87912400003</v>
          </cell>
          <cell r="F227">
            <v>268864.86438039999</v>
          </cell>
          <cell r="G227">
            <v>255480.43177359999</v>
          </cell>
          <cell r="H227">
            <v>266100.82119689998</v>
          </cell>
          <cell r="I227">
            <v>262891.4218909</v>
          </cell>
          <cell r="J227">
            <v>258934.0243661</v>
          </cell>
          <cell r="K227">
            <v>265433.30489540001</v>
          </cell>
          <cell r="L227">
            <v>259321.9378057</v>
          </cell>
          <cell r="M227">
            <v>270664.14253870002</v>
          </cell>
          <cell r="N227">
            <v>285354.30244639999</v>
          </cell>
          <cell r="O227">
            <v>3180953.5632408997</v>
          </cell>
        </row>
        <row r="228">
          <cell r="A228" t="str">
            <v>9501000</v>
          </cell>
          <cell r="B228" t="str">
            <v>Steam Fuel</v>
          </cell>
          <cell r="C228">
            <v>8246990.7606698005</v>
          </cell>
          <cell r="D228">
            <v>7754917.9770930996</v>
          </cell>
          <cell r="E228">
            <v>6436980.5542377997</v>
          </cell>
          <cell r="F228">
            <v>7059149.6644219998</v>
          </cell>
          <cell r="G228">
            <v>10410593.608898699</v>
          </cell>
          <cell r="H228">
            <v>10663768.382329</v>
          </cell>
          <cell r="I228">
            <v>10671351.9055066</v>
          </cell>
          <cell r="J228">
            <v>10954531.945832601</v>
          </cell>
          <cell r="K228">
            <v>10408603.560730601</v>
          </cell>
          <cell r="L228">
            <v>7932621.1739731003</v>
          </cell>
          <cell r="M228">
            <v>4063640.8966199998</v>
          </cell>
          <cell r="N228">
            <v>6274520.2679767003</v>
          </cell>
          <cell r="O228">
            <v>100877670.69829001</v>
          </cell>
        </row>
        <row r="229">
          <cell r="A229" t="str">
            <v>9502000</v>
          </cell>
          <cell r="B229" t="str">
            <v>Steam Expenses</v>
          </cell>
          <cell r="C229">
            <v>962942.70514059998</v>
          </cell>
          <cell r="D229">
            <v>1055211.1719368</v>
          </cell>
          <cell r="E229">
            <v>1101429.2752040999</v>
          </cell>
          <cell r="F229">
            <v>1063384.3834907</v>
          </cell>
          <cell r="G229">
            <v>980117.1840598</v>
          </cell>
          <cell r="H229">
            <v>993512.48388079996</v>
          </cell>
          <cell r="I229">
            <v>978952.74964079994</v>
          </cell>
          <cell r="J229">
            <v>978345.81751109997</v>
          </cell>
          <cell r="K229">
            <v>1029742.3822245999</v>
          </cell>
          <cell r="L229">
            <v>1005098.6174008</v>
          </cell>
          <cell r="M229">
            <v>1063794.8867752</v>
          </cell>
          <cell r="N229">
            <v>1086802.9364978999</v>
          </cell>
          <cell r="O229">
            <v>12299334.593763201</v>
          </cell>
        </row>
        <row r="230">
          <cell r="A230" t="str">
            <v>9503000</v>
          </cell>
          <cell r="B230" t="str">
            <v>Steam From Other Sources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9504000</v>
          </cell>
          <cell r="B231" t="str">
            <v>Steam Transferred - Credit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9505000</v>
          </cell>
          <cell r="B232" t="str">
            <v>Steam Electric Expenses</v>
          </cell>
          <cell r="C232">
            <v>227274.8923566</v>
          </cell>
          <cell r="D232">
            <v>210291.3699814</v>
          </cell>
          <cell r="E232">
            <v>234079.9460115</v>
          </cell>
          <cell r="F232">
            <v>231579.05431800001</v>
          </cell>
          <cell r="G232">
            <v>219149.5990405</v>
          </cell>
          <cell r="H232">
            <v>229915.16407510001</v>
          </cell>
          <cell r="I232">
            <v>234144.2087128</v>
          </cell>
          <cell r="J232">
            <v>227237.6145197</v>
          </cell>
          <cell r="K232">
            <v>230015.17077520001</v>
          </cell>
          <cell r="L232">
            <v>223323.19036519999</v>
          </cell>
          <cell r="M232">
            <v>229843.29744349999</v>
          </cell>
          <cell r="N232">
            <v>245912.36689569999</v>
          </cell>
          <cell r="O232">
            <v>2742765.8744951994</v>
          </cell>
        </row>
        <row r="233">
          <cell r="A233" t="str">
            <v>9506000</v>
          </cell>
          <cell r="B233" t="str">
            <v>Miscellaneous Steam Power Expenses</v>
          </cell>
          <cell r="C233">
            <v>614842.23691510002</v>
          </cell>
          <cell r="D233">
            <v>609105.76865790004</v>
          </cell>
          <cell r="E233">
            <v>694211.53292859998</v>
          </cell>
          <cell r="F233">
            <v>624946.77730740001</v>
          </cell>
          <cell r="G233">
            <v>598976.69888180005</v>
          </cell>
          <cell r="H233">
            <v>621107.02012909995</v>
          </cell>
          <cell r="I233">
            <v>594632.74445560004</v>
          </cell>
          <cell r="J233">
            <v>593717.0070027</v>
          </cell>
          <cell r="K233">
            <v>616798.06313699996</v>
          </cell>
          <cell r="L233">
            <v>596606.34973979997</v>
          </cell>
          <cell r="M233">
            <v>639650.07988400001</v>
          </cell>
          <cell r="N233">
            <v>681977.82681909995</v>
          </cell>
          <cell r="O233">
            <v>7486572.1058581006</v>
          </cell>
        </row>
        <row r="234">
          <cell r="A234" t="str">
            <v>9507000</v>
          </cell>
          <cell r="B234" t="str">
            <v>Steam Rents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9509000</v>
          </cell>
          <cell r="B235" t="str">
            <v>Steam Allowances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9510000</v>
          </cell>
          <cell r="B236" t="str">
            <v>Steam Maintenance Supervision and Engineering</v>
          </cell>
          <cell r="C236">
            <v>36621.8387258</v>
          </cell>
          <cell r="D236">
            <v>33624.584996799997</v>
          </cell>
          <cell r="E236">
            <v>37429.597669000002</v>
          </cell>
          <cell r="F236">
            <v>37179.449053199998</v>
          </cell>
          <cell r="G236">
            <v>35139.8231734</v>
          </cell>
          <cell r="H236">
            <v>36918.1090128</v>
          </cell>
          <cell r="I236">
            <v>37654.899785299996</v>
          </cell>
          <cell r="J236">
            <v>36455.875753200002</v>
          </cell>
          <cell r="K236">
            <v>36950.751795999997</v>
          </cell>
          <cell r="L236">
            <v>35771.521727500003</v>
          </cell>
          <cell r="M236">
            <v>36691.539573900001</v>
          </cell>
          <cell r="N236">
            <v>39337.767815799998</v>
          </cell>
          <cell r="O236">
            <v>439775.75908269995</v>
          </cell>
        </row>
        <row r="237">
          <cell r="A237" t="str">
            <v>9511000</v>
          </cell>
          <cell r="B237" t="str">
            <v>Steam Maintenance of Structures</v>
          </cell>
          <cell r="C237">
            <v>367086.48915380001</v>
          </cell>
          <cell r="D237">
            <v>412609.8136009</v>
          </cell>
          <cell r="E237">
            <v>466227.98997430003</v>
          </cell>
          <cell r="F237">
            <v>414158.71704279998</v>
          </cell>
          <cell r="G237">
            <v>390054.33949460002</v>
          </cell>
          <cell r="H237">
            <v>357507.19299309998</v>
          </cell>
          <cell r="I237">
            <v>356891.03970760002</v>
          </cell>
          <cell r="J237">
            <v>357292.64197920001</v>
          </cell>
          <cell r="K237">
            <v>375589.3179969</v>
          </cell>
          <cell r="L237">
            <v>378566.53564810002</v>
          </cell>
          <cell r="M237">
            <v>428266.95079480001</v>
          </cell>
          <cell r="N237">
            <v>410163.03057200002</v>
          </cell>
          <cell r="O237">
            <v>4714414.0589581002</v>
          </cell>
        </row>
        <row r="238">
          <cell r="A238" t="str">
            <v>9512000</v>
          </cell>
          <cell r="B238" t="str">
            <v>Steam Maintenance of Boiler Plant</v>
          </cell>
          <cell r="C238">
            <v>1686063.7199808999</v>
          </cell>
          <cell r="D238">
            <v>1864262.3231627999</v>
          </cell>
          <cell r="E238">
            <v>2108110.1628459999</v>
          </cell>
          <cell r="F238">
            <v>1891376.203612</v>
          </cell>
          <cell r="G238">
            <v>1780573.0234361</v>
          </cell>
          <cell r="H238">
            <v>1646137.7660405999</v>
          </cell>
          <cell r="I238">
            <v>1649386.4114756</v>
          </cell>
          <cell r="J238">
            <v>1644776.9224809001</v>
          </cell>
          <cell r="K238">
            <v>1721386.5689788</v>
          </cell>
          <cell r="L238">
            <v>1727285.3975616</v>
          </cell>
          <cell r="M238">
            <v>1938525.7257848999</v>
          </cell>
          <cell r="N238">
            <v>1869293.8122689</v>
          </cell>
          <cell r="O238">
            <v>21527178.037629101</v>
          </cell>
        </row>
        <row r="239">
          <cell r="A239" t="str">
            <v>9513000</v>
          </cell>
          <cell r="B239" t="str">
            <v>Steam Maintenance of Electric Plant</v>
          </cell>
          <cell r="C239">
            <v>377335.34894260002</v>
          </cell>
          <cell r="D239">
            <v>410236.82525180001</v>
          </cell>
          <cell r="E239">
            <v>460696.52676699997</v>
          </cell>
          <cell r="F239">
            <v>415687.05343129998</v>
          </cell>
          <cell r="G239">
            <v>392136.11704119999</v>
          </cell>
          <cell r="H239">
            <v>371850.494343</v>
          </cell>
          <cell r="I239">
            <v>370171.54579180002</v>
          </cell>
          <cell r="J239">
            <v>369309.5901192</v>
          </cell>
          <cell r="K239">
            <v>388943.08786680002</v>
          </cell>
          <cell r="L239">
            <v>387430.21752569999</v>
          </cell>
          <cell r="M239">
            <v>429704.43701729999</v>
          </cell>
          <cell r="N239">
            <v>421505.36504810001</v>
          </cell>
          <cell r="O239">
            <v>4795006.6091457997</v>
          </cell>
        </row>
        <row r="240">
          <cell r="A240" t="str">
            <v>9514000</v>
          </cell>
          <cell r="B240" t="str">
            <v>Maintenance of Miscellaneous Steam Plant</v>
          </cell>
          <cell r="C240">
            <v>217013.25318080001</v>
          </cell>
          <cell r="D240">
            <v>216343.57146840001</v>
          </cell>
          <cell r="E240">
            <v>240674.49974950001</v>
          </cell>
          <cell r="F240">
            <v>227596.43510179999</v>
          </cell>
          <cell r="G240">
            <v>215615.06439479999</v>
          </cell>
          <cell r="H240">
            <v>218865.02879859999</v>
          </cell>
          <cell r="I240">
            <v>219409.15954009999</v>
          </cell>
          <cell r="J240">
            <v>216088.22780729999</v>
          </cell>
          <cell r="K240">
            <v>224154.40451389999</v>
          </cell>
          <cell r="L240">
            <v>219001.6611724</v>
          </cell>
          <cell r="M240">
            <v>232245.08695920001</v>
          </cell>
          <cell r="N240">
            <v>240202.72990880001</v>
          </cell>
          <cell r="O240">
            <v>2687209.1225956003</v>
          </cell>
        </row>
        <row r="241">
          <cell r="A241" t="str">
            <v>9517000</v>
          </cell>
          <cell r="B241" t="str">
            <v>Nuclear Operation Supervision And Engineering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9518000</v>
          </cell>
          <cell r="B242" t="str">
            <v>Nuclear Fuel Expense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9519000</v>
          </cell>
          <cell r="B243" t="str">
            <v>Nuclear Coolants and Water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9520000</v>
          </cell>
          <cell r="B244" t="str">
            <v>Nuclear Steam Expenses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9521000</v>
          </cell>
          <cell r="B245" t="str">
            <v>Nuclear Steam from Other Sources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9522000</v>
          </cell>
          <cell r="B246" t="str">
            <v>Nuclear Steam Transferred - Credit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9523000</v>
          </cell>
          <cell r="B247" t="str">
            <v>Nuclear Electric Expenses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9524000</v>
          </cell>
          <cell r="B248" t="str">
            <v>Miscellaneous Nuclear Power Expenses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9525000</v>
          </cell>
          <cell r="B249" t="str">
            <v>Nuclear Rents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9528000</v>
          </cell>
          <cell r="B250" t="str">
            <v>Nuclear Maintenance Supervision and Engineering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9529000</v>
          </cell>
          <cell r="B251" t="str">
            <v>Nuclear Maintenance of Structures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9530000</v>
          </cell>
          <cell r="B252" t="str">
            <v>Nuclear Maintenance of Reactor Plant Equipment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9531000</v>
          </cell>
          <cell r="B253" t="str">
            <v>Nuclear Maintenance of Electric Plant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9532000</v>
          </cell>
          <cell r="B254" t="str">
            <v>Maintenance of Miscellaneous Nuclear Plant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9535000</v>
          </cell>
          <cell r="B255" t="str">
            <v>Hydraulic Operation Supervision and Engineering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9536000</v>
          </cell>
          <cell r="B256" t="str">
            <v>Hydraulic Water For Power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9537000</v>
          </cell>
          <cell r="B257" t="str">
            <v>Hydraulic Expenses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9538000</v>
          </cell>
          <cell r="B258" t="str">
            <v>Hydraulic Electric Expenses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9539000</v>
          </cell>
          <cell r="B259" t="str">
            <v>Miscellaneous Hydraulic Power Generation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9540000</v>
          </cell>
          <cell r="B260" t="str">
            <v>Hydraulic Rents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9541000</v>
          </cell>
          <cell r="B261" t="str">
            <v>Hydraulic Maintenance Supervision and Engineering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9542000</v>
          </cell>
          <cell r="B262" t="str">
            <v>Hydraulic Maintenance of Structures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9543000</v>
          </cell>
          <cell r="B263" t="str">
            <v>Hydraulic Maintenance Reservoirs Dams &amp; Waterways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9544000</v>
          </cell>
          <cell r="B264" t="str">
            <v>Hydraulic Maintenance of Electric Plant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9545000</v>
          </cell>
          <cell r="B265" t="str">
            <v>Maintenance of Miscellaneous Hydraulic Plant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9546000</v>
          </cell>
          <cell r="B266" t="str">
            <v>Other Power Operation Supervision and Engineering</v>
          </cell>
          <cell r="C266">
            <v>37418.849447000001</v>
          </cell>
          <cell r="D266">
            <v>34339.835718000002</v>
          </cell>
          <cell r="E266">
            <v>38148.783090199999</v>
          </cell>
          <cell r="F266">
            <v>37946.716074399999</v>
          </cell>
          <cell r="G266">
            <v>35890.073894599998</v>
          </cell>
          <cell r="H266">
            <v>37909.872834000002</v>
          </cell>
          <cell r="I266">
            <v>38415.350066500003</v>
          </cell>
          <cell r="J266">
            <v>37258.382674400003</v>
          </cell>
          <cell r="K266">
            <v>37740.892517200002</v>
          </cell>
          <cell r="L266">
            <v>36567.303348699999</v>
          </cell>
          <cell r="M266">
            <v>37489.427055100001</v>
          </cell>
          <cell r="N266">
            <v>40325.988631599997</v>
          </cell>
          <cell r="O266">
            <v>449451.47535169998</v>
          </cell>
        </row>
        <row r="267">
          <cell r="A267" t="str">
            <v>9547000</v>
          </cell>
          <cell r="B267" t="str">
            <v>Other Power Fuel</v>
          </cell>
          <cell r="C267">
            <v>34390225.550399996</v>
          </cell>
          <cell r="D267">
            <v>32158193.650400002</v>
          </cell>
          <cell r="E267">
            <v>36623069.402400002</v>
          </cell>
          <cell r="F267">
            <v>34680007.450400002</v>
          </cell>
          <cell r="G267">
            <v>39161917.406400003</v>
          </cell>
          <cell r="H267">
            <v>43529841.670400001</v>
          </cell>
          <cell r="I267">
            <v>45824637.010399997</v>
          </cell>
          <cell r="J267">
            <v>46285212.450400002</v>
          </cell>
          <cell r="K267">
            <v>44301139.090400003</v>
          </cell>
          <cell r="L267">
            <v>43224382.667999998</v>
          </cell>
          <cell r="M267">
            <v>36123198.986400001</v>
          </cell>
          <cell r="N267">
            <v>39351398.899999999</v>
          </cell>
          <cell r="O267">
            <v>475653224.23599994</v>
          </cell>
        </row>
        <row r="268">
          <cell r="A268" t="str">
            <v>9548000</v>
          </cell>
          <cell r="B268" t="str">
            <v>Other Power Generation Expenses</v>
          </cell>
          <cell r="C268">
            <v>1648620.1348784999</v>
          </cell>
          <cell r="D268">
            <v>1624228.6713469999</v>
          </cell>
          <cell r="E268">
            <v>1812143.3329038001</v>
          </cell>
          <cell r="F268">
            <v>1710702.0472315</v>
          </cell>
          <cell r="G268">
            <v>1627916.7773543999</v>
          </cell>
          <cell r="H268">
            <v>1688841.042588</v>
          </cell>
          <cell r="I268">
            <v>1657584.6780866999</v>
          </cell>
          <cell r="J268">
            <v>1633722.7316327</v>
          </cell>
          <cell r="K268">
            <v>1700287.1058416001</v>
          </cell>
          <cell r="L268">
            <v>1644223.6285629999</v>
          </cell>
          <cell r="M268">
            <v>1733242.6680465001</v>
          </cell>
          <cell r="N268">
            <v>1807862.0829723</v>
          </cell>
          <cell r="O268">
            <v>20289374.901445996</v>
          </cell>
        </row>
        <row r="269">
          <cell r="A269" t="str">
            <v>9548100</v>
          </cell>
          <cell r="B269" t="str">
            <v>Operation of Energy Storage Equipment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9549000</v>
          </cell>
          <cell r="B270" t="str">
            <v>Miscellaneous Other Power Generation Expenses</v>
          </cell>
          <cell r="C270">
            <v>573149.95287000004</v>
          </cell>
          <cell r="D270">
            <v>593094.35579299997</v>
          </cell>
          <cell r="E270">
            <v>661790.45948429999</v>
          </cell>
          <cell r="F270">
            <v>620057.1687866</v>
          </cell>
          <cell r="G270">
            <v>592944.64540579997</v>
          </cell>
          <cell r="H270">
            <v>595056.0514006</v>
          </cell>
          <cell r="I270">
            <v>583004.49580369995</v>
          </cell>
          <cell r="J270">
            <v>580386.1241589</v>
          </cell>
          <cell r="K270">
            <v>601768.5933224</v>
          </cell>
          <cell r="L270">
            <v>590911.03009859996</v>
          </cell>
          <cell r="M270">
            <v>628921.2194993</v>
          </cell>
          <cell r="N270">
            <v>635627.86448550003</v>
          </cell>
          <cell r="O270">
            <v>7256711.9611087013</v>
          </cell>
        </row>
        <row r="271">
          <cell r="A271" t="str">
            <v>9550000</v>
          </cell>
          <cell r="B271" t="str">
            <v>Other Power Rents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9551000</v>
          </cell>
          <cell r="B272" t="str">
            <v>Other Power Maintenance Supervision &amp; Engineering</v>
          </cell>
          <cell r="C272">
            <v>73243.677452300006</v>
          </cell>
          <cell r="D272">
            <v>67249.169993599993</v>
          </cell>
          <cell r="E272">
            <v>74859.195337099998</v>
          </cell>
          <cell r="F272">
            <v>74358.898105999993</v>
          </cell>
          <cell r="G272">
            <v>70279.6463468</v>
          </cell>
          <cell r="H272">
            <v>73836.218024899994</v>
          </cell>
          <cell r="I272">
            <v>75309.799570799994</v>
          </cell>
          <cell r="J272">
            <v>72911.751506700006</v>
          </cell>
          <cell r="K272">
            <v>73901.503591700006</v>
          </cell>
          <cell r="L272">
            <v>71543.043455100007</v>
          </cell>
          <cell r="M272">
            <v>73383.079147900004</v>
          </cell>
          <cell r="N272">
            <v>78675.535631999999</v>
          </cell>
          <cell r="O272">
            <v>879551.5181648999</v>
          </cell>
        </row>
        <row r="273">
          <cell r="A273" t="str">
            <v>9552000</v>
          </cell>
          <cell r="B273" t="str">
            <v>Other Power Maintenance of Structures</v>
          </cell>
          <cell r="C273">
            <v>249467.83918089999</v>
          </cell>
          <cell r="D273">
            <v>289630.8576778</v>
          </cell>
          <cell r="E273">
            <v>326898.30735890003</v>
          </cell>
          <cell r="F273">
            <v>284858.5199895</v>
          </cell>
          <cell r="G273">
            <v>268104.45641799999</v>
          </cell>
          <cell r="H273">
            <v>241855.280983</v>
          </cell>
          <cell r="I273">
            <v>239063.38665219999</v>
          </cell>
          <cell r="J273">
            <v>241296.95955639999</v>
          </cell>
          <cell r="K273">
            <v>257917.88575640001</v>
          </cell>
          <cell r="L273">
            <v>260359.85034040001</v>
          </cell>
          <cell r="M273">
            <v>298406.2367525</v>
          </cell>
          <cell r="N273">
            <v>281785.78834239999</v>
          </cell>
          <cell r="O273">
            <v>3239645.3690083995</v>
          </cell>
        </row>
        <row r="274">
          <cell r="A274" t="str">
            <v>9553000</v>
          </cell>
          <cell r="B274" t="str">
            <v>Other Power Maint Generating &amp; Electric Equipment</v>
          </cell>
          <cell r="C274">
            <v>792727.19446340005</v>
          </cell>
          <cell r="D274">
            <v>913218.5963638</v>
          </cell>
          <cell r="E274">
            <v>1032011.0805254</v>
          </cell>
          <cell r="F274">
            <v>903728.85305499996</v>
          </cell>
          <cell r="G274">
            <v>850064.90048139996</v>
          </cell>
          <cell r="H274">
            <v>768310.251957</v>
          </cell>
          <cell r="I274">
            <v>762140.89275430003</v>
          </cell>
          <cell r="J274">
            <v>767286.13638040004</v>
          </cell>
          <cell r="K274">
            <v>815711.69222690002</v>
          </cell>
          <cell r="L274">
            <v>823614.90420919994</v>
          </cell>
          <cell r="M274">
            <v>942225.13740969996</v>
          </cell>
          <cell r="N274">
            <v>892068.99583340005</v>
          </cell>
          <cell r="O274">
            <v>10263108.635659901</v>
          </cell>
        </row>
        <row r="275">
          <cell r="A275" t="str">
            <v>9553100</v>
          </cell>
          <cell r="B275" t="str">
            <v>Maintenance of Energy Storage Equipment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9554000</v>
          </cell>
          <cell r="B276" t="str">
            <v>Maintenance of Misc Other Power Generation Plant</v>
          </cell>
          <cell r="C276">
            <v>74663.669278600006</v>
          </cell>
          <cell r="D276">
            <v>79161.790753900001</v>
          </cell>
          <cell r="E276">
            <v>88799.4227809</v>
          </cell>
          <cell r="F276">
            <v>81206.447419499993</v>
          </cell>
          <cell r="G276">
            <v>76612.252111099995</v>
          </cell>
          <cell r="H276">
            <v>73779.824758100003</v>
          </cell>
          <cell r="I276">
            <v>73792.149179999993</v>
          </cell>
          <cell r="J276">
            <v>73229.805783999996</v>
          </cell>
          <cell r="K276">
            <v>76677.075123000002</v>
          </cell>
          <cell r="L276">
            <v>76014.913226599994</v>
          </cell>
          <cell r="M276">
            <v>83366.938113900003</v>
          </cell>
          <cell r="N276">
            <v>82842.7799772</v>
          </cell>
          <cell r="O276">
            <v>940147.06850679987</v>
          </cell>
        </row>
        <row r="277">
          <cell r="A277" t="str">
            <v>9555000</v>
          </cell>
          <cell r="B277" t="str">
            <v>Other Supply Purchased Power</v>
          </cell>
          <cell r="C277">
            <v>4605650.0991439996</v>
          </cell>
          <cell r="D277">
            <v>3241410.0991440001</v>
          </cell>
          <cell r="E277">
            <v>658540.09638999996</v>
          </cell>
          <cell r="F277">
            <v>559930.10310980002</v>
          </cell>
          <cell r="G277">
            <v>831450.09683060006</v>
          </cell>
          <cell r="H277">
            <v>991380.09991510003</v>
          </cell>
          <cell r="I277">
            <v>625670.09947450005</v>
          </cell>
          <cell r="J277">
            <v>713430.10046590003</v>
          </cell>
          <cell r="K277">
            <v>451010.09837289999</v>
          </cell>
          <cell r="L277">
            <v>3612740.0988134998</v>
          </cell>
          <cell r="M277">
            <v>382070.09694080002</v>
          </cell>
          <cell r="N277">
            <v>246940.10134719999</v>
          </cell>
          <cell r="O277">
            <v>16920221.189948302</v>
          </cell>
        </row>
        <row r="278">
          <cell r="A278" t="str">
            <v>9556000</v>
          </cell>
          <cell r="B278" t="str">
            <v>Other Supply System Control and Load Dispatching</v>
          </cell>
          <cell r="C278">
            <v>86010.483881099994</v>
          </cell>
          <cell r="D278">
            <v>79126.930828600001</v>
          </cell>
          <cell r="E278">
            <v>89964.289450700002</v>
          </cell>
          <cell r="F278">
            <v>90879.447445800004</v>
          </cell>
          <cell r="G278">
            <v>85815.765378099997</v>
          </cell>
          <cell r="H278">
            <v>91532.643276799994</v>
          </cell>
          <cell r="I278">
            <v>93310.671562599993</v>
          </cell>
          <cell r="J278">
            <v>91118.243398499995</v>
          </cell>
          <cell r="K278">
            <v>92123.291789700001</v>
          </cell>
          <cell r="L278">
            <v>86297.452738799999</v>
          </cell>
          <cell r="M278">
            <v>86624.739782599994</v>
          </cell>
          <cell r="N278">
            <v>93263.556596099996</v>
          </cell>
          <cell r="O278">
            <v>1066067.5161293999</v>
          </cell>
        </row>
        <row r="279">
          <cell r="A279" t="str">
            <v>9557000</v>
          </cell>
          <cell r="B279" t="str">
            <v>Other Supply Other Expenses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9560000</v>
          </cell>
          <cell r="B280" t="str">
            <v>Transmission Operation Supervision And Engineering</v>
          </cell>
          <cell r="C280">
            <v>49014.687587300003</v>
          </cell>
          <cell r="D280">
            <v>44579.915557200002</v>
          </cell>
          <cell r="E280">
            <v>52863.232707100004</v>
          </cell>
          <cell r="F280">
            <v>54490.726607899996</v>
          </cell>
          <cell r="G280">
            <v>50469.140587000002</v>
          </cell>
          <cell r="H280">
            <v>56322.064807100003</v>
          </cell>
          <cell r="I280">
            <v>55883.005888</v>
          </cell>
          <cell r="J280">
            <v>54483.015987600003</v>
          </cell>
          <cell r="K280">
            <v>55704.061673700002</v>
          </cell>
          <cell r="L280">
            <v>50366.537409899996</v>
          </cell>
          <cell r="M280">
            <v>49787.973502100001</v>
          </cell>
          <cell r="N280">
            <v>55661.770202899999</v>
          </cell>
          <cell r="O280">
            <v>629626.13251780008</v>
          </cell>
        </row>
        <row r="281">
          <cell r="A281" t="str">
            <v>9561000</v>
          </cell>
          <cell r="B281" t="str">
            <v>Transmission Load Dispatch - Do Not Use Locked in ECC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9561100</v>
          </cell>
          <cell r="B282" t="str">
            <v>Transmission Load Dispatch - Reliability</v>
          </cell>
          <cell r="C282">
            <v>4233.1466770999996</v>
          </cell>
          <cell r="D282">
            <v>3901.6661014000001</v>
          </cell>
          <cell r="E282">
            <v>4500.7454213999999</v>
          </cell>
          <cell r="F282">
            <v>4600.5840583999998</v>
          </cell>
          <cell r="G282">
            <v>4342.8499283000001</v>
          </cell>
          <cell r="H282">
            <v>4678.5346952999998</v>
          </cell>
          <cell r="I282">
            <v>4767.2682556999998</v>
          </cell>
          <cell r="J282">
            <v>4682.5995117000002</v>
          </cell>
          <cell r="K282">
            <v>4726.0904510999999</v>
          </cell>
          <cell r="L282">
            <v>4329.9718162999998</v>
          </cell>
          <cell r="M282">
            <v>4279.5558102000005</v>
          </cell>
          <cell r="N282">
            <v>4619.8048079999999</v>
          </cell>
          <cell r="O282">
            <v>53662.817534900001</v>
          </cell>
        </row>
        <row r="283">
          <cell r="A283" t="str">
            <v>9561200</v>
          </cell>
          <cell r="B283" t="str">
            <v>Transm Load Dispatch-Monitor Operate Transm System</v>
          </cell>
          <cell r="C283">
            <v>110733.03197149999</v>
          </cell>
          <cell r="D283">
            <v>102734.1933549</v>
          </cell>
          <cell r="E283">
            <v>117127.761195</v>
          </cell>
          <cell r="F283">
            <v>120463.15145980001</v>
          </cell>
          <cell r="G283">
            <v>113034.98188009999</v>
          </cell>
          <cell r="H283">
            <v>120566.39957369999</v>
          </cell>
          <cell r="I283">
            <v>121524.4861347</v>
          </cell>
          <cell r="J283">
            <v>121077.9835241</v>
          </cell>
          <cell r="K283">
            <v>121606.2957051</v>
          </cell>
          <cell r="L283">
            <v>111489.34931970001</v>
          </cell>
          <cell r="M283">
            <v>109536.26012599999</v>
          </cell>
          <cell r="N283">
            <v>119106.77919250001</v>
          </cell>
          <cell r="O283">
            <v>1389000.6734371001</v>
          </cell>
        </row>
        <row r="284">
          <cell r="A284" t="str">
            <v>9561300</v>
          </cell>
          <cell r="B284" t="str">
            <v>Transm Load Dispatch-Transmission Svc &amp; Scheduling</v>
          </cell>
          <cell r="C284">
            <v>77646.510728399997</v>
          </cell>
          <cell r="D284">
            <v>70884.770723199996</v>
          </cell>
          <cell r="E284">
            <v>83419.377548999997</v>
          </cell>
          <cell r="F284">
            <v>85267.888895099997</v>
          </cell>
          <cell r="G284">
            <v>79925.077540500002</v>
          </cell>
          <cell r="H284">
            <v>86880.998498000001</v>
          </cell>
          <cell r="I284">
            <v>88724.246058699995</v>
          </cell>
          <cell r="J284">
            <v>86970.314228300005</v>
          </cell>
          <cell r="K284">
            <v>87867.644817399996</v>
          </cell>
          <cell r="L284">
            <v>79697.503121799993</v>
          </cell>
          <cell r="M284">
            <v>78609.493265700003</v>
          </cell>
          <cell r="N284">
            <v>85676.037815400006</v>
          </cell>
          <cell r="O284">
            <v>991569.8632415001</v>
          </cell>
        </row>
        <row r="285">
          <cell r="A285" t="str">
            <v>9561400</v>
          </cell>
          <cell r="B285" t="str">
            <v>Transmission Scheduling Sys Control &amp; Dispatch Svc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9561500</v>
          </cell>
          <cell r="B286" t="str">
            <v>Transm Reliability Planning &amp; Standards Devlpmt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9561600</v>
          </cell>
          <cell r="B287" t="str">
            <v>Transmission Service Studies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9561700</v>
          </cell>
          <cell r="B288" t="str">
            <v>Transmission Generation Interconnection Studies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9561800</v>
          </cell>
          <cell r="B289" t="str">
            <v>Transm Billed Reliability Planning Stnrds Dev Svcs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9562000</v>
          </cell>
          <cell r="B290" t="str">
            <v>Transmission Station Expenses</v>
          </cell>
          <cell r="C290">
            <v>125765.94416689999</v>
          </cell>
          <cell r="D290">
            <v>119989.68376489999</v>
          </cell>
          <cell r="E290">
            <v>129352.52964019999</v>
          </cell>
          <cell r="F290">
            <v>135003.25047599999</v>
          </cell>
          <cell r="G290">
            <v>126267.82467279999</v>
          </cell>
          <cell r="H290">
            <v>130604.7079615</v>
          </cell>
          <cell r="I290">
            <v>127238.5886536</v>
          </cell>
          <cell r="J290">
            <v>129753.5824513</v>
          </cell>
          <cell r="K290">
            <v>130749.28684660001</v>
          </cell>
          <cell r="L290">
            <v>121582.1875194</v>
          </cell>
          <cell r="M290">
            <v>117772.4645977</v>
          </cell>
          <cell r="N290">
            <v>130576.0263141</v>
          </cell>
          <cell r="O290">
            <v>1524656.0770649998</v>
          </cell>
        </row>
        <row r="291">
          <cell r="A291" t="str">
            <v>9563000</v>
          </cell>
          <cell r="B291" t="str">
            <v>Transmission Overhead Line Expenses</v>
          </cell>
          <cell r="C291">
            <v>30724.627491300002</v>
          </cell>
          <cell r="D291">
            <v>29689.016092499998</v>
          </cell>
          <cell r="E291">
            <v>30461.103722600001</v>
          </cell>
          <cell r="F291">
            <v>36829.009033800001</v>
          </cell>
          <cell r="G291">
            <v>34243.190030600003</v>
          </cell>
          <cell r="H291">
            <v>30110.925239699998</v>
          </cell>
          <cell r="I291">
            <v>31145.914718700002</v>
          </cell>
          <cell r="J291">
            <v>34378.609634300003</v>
          </cell>
          <cell r="K291">
            <v>30184.969313199999</v>
          </cell>
          <cell r="L291">
            <v>27955.5295654</v>
          </cell>
          <cell r="M291">
            <v>26569.366288599998</v>
          </cell>
          <cell r="N291">
            <v>29567.1832813</v>
          </cell>
          <cell r="O291">
            <v>371859.44441200001</v>
          </cell>
        </row>
        <row r="292">
          <cell r="A292" t="str">
            <v>9564000</v>
          </cell>
          <cell r="B292" t="str">
            <v>Transmission Underground Line Expenses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9565000</v>
          </cell>
          <cell r="B293" t="str">
            <v>Transmission of Electricity by Others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9566000</v>
          </cell>
          <cell r="B294" t="str">
            <v>Miscellaneous Transmission Expenses</v>
          </cell>
          <cell r="C294">
            <v>84578.695725500002</v>
          </cell>
          <cell r="D294">
            <v>78359.317639300003</v>
          </cell>
          <cell r="E294">
            <v>89243.332387400005</v>
          </cell>
          <cell r="F294">
            <v>91511.260698099999</v>
          </cell>
          <cell r="G294">
            <v>86609.520153399993</v>
          </cell>
          <cell r="H294">
            <v>94523.978263700003</v>
          </cell>
          <cell r="I294">
            <v>94805.671842299998</v>
          </cell>
          <cell r="J294">
            <v>90819.138563800007</v>
          </cell>
          <cell r="K294">
            <v>94403.916054300003</v>
          </cell>
          <cell r="L294">
            <v>86543.2311415</v>
          </cell>
          <cell r="M294">
            <v>85547.602949499997</v>
          </cell>
          <cell r="N294">
            <v>94794.852870699993</v>
          </cell>
          <cell r="O294">
            <v>1071740.5182895001</v>
          </cell>
        </row>
        <row r="295">
          <cell r="A295" t="str">
            <v>9567000</v>
          </cell>
          <cell r="B295" t="str">
            <v>Transmission Rents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9568000</v>
          </cell>
          <cell r="B296" t="str">
            <v>Transmission Maintenance Supervision &amp; Engineering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9569000</v>
          </cell>
          <cell r="B297" t="str">
            <v>Transmission Maintenance of Structures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9569100</v>
          </cell>
          <cell r="B298" t="str">
            <v>Transmission Maintenance of Computer Hardware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9569200</v>
          </cell>
          <cell r="B299" t="str">
            <v>Transmission Maintenance of Computer Software</v>
          </cell>
          <cell r="C299">
            <v>263135.76663029997</v>
          </cell>
          <cell r="D299">
            <v>254504.55314999999</v>
          </cell>
          <cell r="E299">
            <v>270882.18818719999</v>
          </cell>
          <cell r="F299">
            <v>270634.55602700001</v>
          </cell>
          <cell r="G299">
            <v>251912.30102489999</v>
          </cell>
          <cell r="H299">
            <v>259991.8531061</v>
          </cell>
          <cell r="I299">
            <v>237070.72490440001</v>
          </cell>
          <cell r="J299">
            <v>256499.45668949999</v>
          </cell>
          <cell r="K299">
            <v>254173.6658977</v>
          </cell>
          <cell r="L299">
            <v>235474.46519449999</v>
          </cell>
          <cell r="M299">
            <v>231401.4106764</v>
          </cell>
          <cell r="N299">
            <v>267052.45958949998</v>
          </cell>
          <cell r="O299">
            <v>3052733.4010775005</v>
          </cell>
        </row>
        <row r="300">
          <cell r="A300" t="str">
            <v>9569300</v>
          </cell>
          <cell r="B300" t="str">
            <v>Transmission Maintenance Communication Equipment</v>
          </cell>
          <cell r="C300">
            <v>37614.904281499999</v>
          </cell>
          <cell r="D300">
            <v>35123.4761745</v>
          </cell>
          <cell r="E300">
            <v>39462.387505699997</v>
          </cell>
          <cell r="F300">
            <v>40521.593568199998</v>
          </cell>
          <cell r="G300">
            <v>38316.438249400002</v>
          </cell>
          <cell r="H300">
            <v>40564.335100800003</v>
          </cell>
          <cell r="I300">
            <v>41054.310473600002</v>
          </cell>
          <cell r="J300">
            <v>40343.1136243</v>
          </cell>
          <cell r="K300">
            <v>41127.512977500002</v>
          </cell>
          <cell r="L300">
            <v>37741.998350599999</v>
          </cell>
          <cell r="M300">
            <v>36996.166134400002</v>
          </cell>
          <cell r="N300">
            <v>40532.523374700002</v>
          </cell>
          <cell r="O300">
            <v>469398.7598152</v>
          </cell>
        </row>
        <row r="301">
          <cell r="A301" t="str">
            <v>9569400</v>
          </cell>
          <cell r="B301" t="str">
            <v>Transmisison Maint Msc Regional Transmission Plant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9570000</v>
          </cell>
          <cell r="B302" t="str">
            <v>Transmission Maintenance of Station Equipment</v>
          </cell>
          <cell r="C302">
            <v>104891.1611771</v>
          </cell>
          <cell r="D302">
            <v>99235.683659999995</v>
          </cell>
          <cell r="E302">
            <v>108543.90381259999</v>
          </cell>
          <cell r="F302">
            <v>110079.46953430001</v>
          </cell>
          <cell r="G302">
            <v>106419.185531</v>
          </cell>
          <cell r="H302">
            <v>108987.7860577</v>
          </cell>
          <cell r="I302">
            <v>114256.28438880001</v>
          </cell>
          <cell r="J302">
            <v>107602.427442</v>
          </cell>
          <cell r="K302">
            <v>114424.18871830001</v>
          </cell>
          <cell r="L302">
            <v>104260.1589407</v>
          </cell>
          <cell r="M302">
            <v>100617.0758703</v>
          </cell>
          <cell r="N302">
            <v>112708.8335659</v>
          </cell>
          <cell r="O302">
            <v>1292026.1586987001</v>
          </cell>
        </row>
        <row r="303">
          <cell r="A303" t="str">
            <v>9571000</v>
          </cell>
          <cell r="B303" t="str">
            <v>Transmission Maintenance of Overhead Lines</v>
          </cell>
          <cell r="C303">
            <v>346831.61615409999</v>
          </cell>
          <cell r="D303">
            <v>343425.9124804</v>
          </cell>
          <cell r="E303">
            <v>349711.6908639</v>
          </cell>
          <cell r="F303">
            <v>371398.79210329999</v>
          </cell>
          <cell r="G303">
            <v>364201.25840280001</v>
          </cell>
          <cell r="H303">
            <v>368571.03961069998</v>
          </cell>
          <cell r="I303">
            <v>375227.57551639999</v>
          </cell>
          <cell r="J303">
            <v>378295.09987139999</v>
          </cell>
          <cell r="K303">
            <v>381831.94252639997</v>
          </cell>
          <cell r="L303">
            <v>392772.33079029998</v>
          </cell>
          <cell r="M303">
            <v>388825.17188129999</v>
          </cell>
          <cell r="N303">
            <v>399527.69496639998</v>
          </cell>
          <cell r="O303">
            <v>4460620.1251673996</v>
          </cell>
        </row>
        <row r="304">
          <cell r="A304" t="str">
            <v>9572000</v>
          </cell>
          <cell r="B304" t="str">
            <v>Transmission Maintenance of Underground Lines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9573000</v>
          </cell>
          <cell r="B305" t="str">
            <v>Maintenance of Miscellaneous Transmission Plant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9575100</v>
          </cell>
          <cell r="B306" t="str">
            <v>Regional Market Operation Supervision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9575200</v>
          </cell>
          <cell r="B307" t="str">
            <v>Regional Day-Ahead &amp; Real-Time Market Facilitation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9575300</v>
          </cell>
          <cell r="B308" t="str">
            <v>Regional Transmission Rights Market Facilitation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9575400</v>
          </cell>
          <cell r="B309" t="str">
            <v>Regional Capacity Market Facilitation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9575500</v>
          </cell>
          <cell r="B310" t="str">
            <v>Regional Ancillary Services Market Facilitation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9575600</v>
          </cell>
          <cell r="B311" t="str">
            <v>Regional Market Monitoring And Compliance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9575700</v>
          </cell>
          <cell r="B312" t="str">
            <v>Regional Market Admin Monitoring &amp; Compliance Svcs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9575800</v>
          </cell>
          <cell r="B313" t="str">
            <v>Regional Market Rents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9576100</v>
          </cell>
          <cell r="B314" t="str">
            <v>Regional Market Maintenance Structures &amp; Improvm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9576200</v>
          </cell>
          <cell r="B315" t="str">
            <v>Regional Market Maintenance of Computer Hardware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9576300</v>
          </cell>
          <cell r="B316" t="str">
            <v>Regional Market Maintenance of Computer Software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9576400</v>
          </cell>
          <cell r="B317" t="str">
            <v>Regional Market Maintenance of Communication Equip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9576500</v>
          </cell>
          <cell r="B318" t="str">
            <v>Regional Maintenance Misc Market Operation Plant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9580000</v>
          </cell>
          <cell r="B319" t="str">
            <v>Distribution Operation Supervision And Engineering</v>
          </cell>
          <cell r="C319">
            <v>64789.042684</v>
          </cell>
          <cell r="D319">
            <v>60048.372316699999</v>
          </cell>
          <cell r="E319">
            <v>68669.862175500006</v>
          </cell>
          <cell r="F319">
            <v>71003.832817899995</v>
          </cell>
          <cell r="G319">
            <v>66035.348075600006</v>
          </cell>
          <cell r="H319">
            <v>71044.000717799994</v>
          </cell>
          <cell r="I319">
            <v>70531.859790899995</v>
          </cell>
          <cell r="J319">
            <v>70502.436252400003</v>
          </cell>
          <cell r="K319">
            <v>71007.018775999997</v>
          </cell>
          <cell r="L319">
            <v>64973.615373499997</v>
          </cell>
          <cell r="M319">
            <v>63615.001065999997</v>
          </cell>
          <cell r="N319">
            <v>70180.955405700006</v>
          </cell>
          <cell r="O319">
            <v>812401.34545200004</v>
          </cell>
        </row>
        <row r="320">
          <cell r="A320" t="str">
            <v>9581000</v>
          </cell>
          <cell r="B320" t="str">
            <v>Distribution Load Dispatching</v>
          </cell>
          <cell r="C320">
            <v>64875.573701699999</v>
          </cell>
          <cell r="D320">
            <v>58325.719318299998</v>
          </cell>
          <cell r="E320">
            <v>70681.983093999996</v>
          </cell>
          <cell r="F320">
            <v>72882.937991400002</v>
          </cell>
          <cell r="G320">
            <v>66912.067606199998</v>
          </cell>
          <cell r="H320">
            <v>73389.295644400001</v>
          </cell>
          <cell r="I320">
            <v>74490.143996400002</v>
          </cell>
          <cell r="J320">
            <v>73734.447128300002</v>
          </cell>
          <cell r="K320">
            <v>74296.745596799999</v>
          </cell>
          <cell r="L320">
            <v>65955.498512999999</v>
          </cell>
          <cell r="M320">
            <v>64423.525420500002</v>
          </cell>
          <cell r="N320">
            <v>72199.541747199997</v>
          </cell>
          <cell r="O320">
            <v>832167.47975819989</v>
          </cell>
        </row>
        <row r="321">
          <cell r="A321" t="str">
            <v>9581100</v>
          </cell>
          <cell r="B321" t="str">
            <v>Distribution Line and Station Supplies &amp; Expenses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9582000</v>
          </cell>
          <cell r="B322" t="str">
            <v>Distribution Station Expenses</v>
          </cell>
          <cell r="C322">
            <v>106490.3477725</v>
          </cell>
          <cell r="D322">
            <v>103019.132274</v>
          </cell>
          <cell r="E322">
            <v>108706.6367719</v>
          </cell>
          <cell r="F322">
            <v>113531.6507857</v>
          </cell>
          <cell r="G322">
            <v>106451.6536848</v>
          </cell>
          <cell r="H322">
            <v>108405.75738710001</v>
          </cell>
          <cell r="I322">
            <v>104375.3548311</v>
          </cell>
          <cell r="J322">
            <v>107965.8142753</v>
          </cell>
          <cell r="K322">
            <v>108067.8851573</v>
          </cell>
          <cell r="L322">
            <v>101589.1394388</v>
          </cell>
          <cell r="M322">
            <v>98123.768692500002</v>
          </cell>
          <cell r="N322">
            <v>108640.0117646</v>
          </cell>
          <cell r="O322">
            <v>1275367.1528355998</v>
          </cell>
        </row>
        <row r="323">
          <cell r="A323" t="str">
            <v>9583000</v>
          </cell>
          <cell r="B323" t="str">
            <v>Distribution Overhead Line Expenses</v>
          </cell>
          <cell r="C323">
            <v>463731.64543799998</v>
          </cell>
          <cell r="D323">
            <v>440492.77605360001</v>
          </cell>
          <cell r="E323">
            <v>481061.20366629999</v>
          </cell>
          <cell r="F323">
            <v>502487.8602853</v>
          </cell>
          <cell r="G323">
            <v>466691.29269999999</v>
          </cell>
          <cell r="H323">
            <v>488891.37788099999</v>
          </cell>
          <cell r="I323">
            <v>472860.91903799999</v>
          </cell>
          <cell r="J323">
            <v>477255.41031150002</v>
          </cell>
          <cell r="K323">
            <v>487107.0761751</v>
          </cell>
          <cell r="L323">
            <v>448230.55153400003</v>
          </cell>
          <cell r="M323">
            <v>432567.63608289999</v>
          </cell>
          <cell r="N323">
            <v>491953.54960550001</v>
          </cell>
          <cell r="O323">
            <v>5653331.2987711998</v>
          </cell>
        </row>
        <row r="324">
          <cell r="A324" t="str">
            <v>9584000</v>
          </cell>
          <cell r="B324" t="str">
            <v>Distribution Underground Line Expenses</v>
          </cell>
          <cell r="C324">
            <v>36592.295775600003</v>
          </cell>
          <cell r="D324">
            <v>33502.899373499997</v>
          </cell>
          <cell r="E324">
            <v>39412.257969999999</v>
          </cell>
          <cell r="F324">
            <v>40961.239901100002</v>
          </cell>
          <cell r="G324">
            <v>37357.2517162</v>
          </cell>
          <cell r="H324">
            <v>40092.809704799998</v>
          </cell>
          <cell r="I324">
            <v>39886.082116500002</v>
          </cell>
          <cell r="J324">
            <v>40521.327366700003</v>
          </cell>
          <cell r="K324">
            <v>40463.228537399998</v>
          </cell>
          <cell r="L324">
            <v>36125.761507099996</v>
          </cell>
          <cell r="M324">
            <v>34933.523765500002</v>
          </cell>
          <cell r="N324">
            <v>39511.343419500001</v>
          </cell>
          <cell r="O324">
            <v>459360.02115390002</v>
          </cell>
        </row>
        <row r="325">
          <cell r="A325" t="str">
            <v>9585000</v>
          </cell>
          <cell r="B325" t="str">
            <v>Distribution Street Lighting and Signal System Exp</v>
          </cell>
          <cell r="C325">
            <v>46783.9926547</v>
          </cell>
          <cell r="D325">
            <v>44390.630741599998</v>
          </cell>
          <cell r="E325">
            <v>48266.000721600001</v>
          </cell>
          <cell r="F325">
            <v>49851.670959199997</v>
          </cell>
          <cell r="G325">
            <v>47198.4162621</v>
          </cell>
          <cell r="H325">
            <v>49114.692510599998</v>
          </cell>
          <cell r="I325">
            <v>49025.597226999998</v>
          </cell>
          <cell r="J325">
            <v>48202.372816700001</v>
          </cell>
          <cell r="K325">
            <v>49775.968860599998</v>
          </cell>
          <cell r="L325">
            <v>46040.376259299999</v>
          </cell>
          <cell r="M325">
            <v>44615.837890499999</v>
          </cell>
          <cell r="N325">
            <v>49680.663796100001</v>
          </cell>
          <cell r="O325">
            <v>572946.22069999995</v>
          </cell>
        </row>
        <row r="326">
          <cell r="A326" t="str">
            <v>9586000</v>
          </cell>
          <cell r="B326" t="str">
            <v>Distribution Meter Expenses</v>
          </cell>
          <cell r="C326">
            <v>334818.33431100001</v>
          </cell>
          <cell r="D326">
            <v>312098.6666841</v>
          </cell>
          <cell r="E326">
            <v>352988.9470552</v>
          </cell>
          <cell r="F326">
            <v>363431.17574989999</v>
          </cell>
          <cell r="G326">
            <v>340644.51699929999</v>
          </cell>
          <cell r="H326">
            <v>360064.49245979998</v>
          </cell>
          <cell r="I326">
            <v>362976.96135649999</v>
          </cell>
          <cell r="J326">
            <v>359100.98215699999</v>
          </cell>
          <cell r="K326">
            <v>365672.51824910002</v>
          </cell>
          <cell r="L326">
            <v>333234.66402069997</v>
          </cell>
          <cell r="M326">
            <v>324182.67508479999</v>
          </cell>
          <cell r="N326">
            <v>359917.07639260002</v>
          </cell>
          <cell r="O326">
            <v>4169131.01052</v>
          </cell>
        </row>
        <row r="327">
          <cell r="A327" t="str">
            <v>9587000</v>
          </cell>
          <cell r="B327" t="str">
            <v>Distribution Customer Installations Expenses</v>
          </cell>
          <cell r="C327">
            <v>8197.4126866999995</v>
          </cell>
          <cell r="D327">
            <v>7349.5948175000003</v>
          </cell>
          <cell r="E327">
            <v>8984.1616696000001</v>
          </cell>
          <cell r="F327">
            <v>9178.2800358000004</v>
          </cell>
          <cell r="G327">
            <v>8491.2743568000005</v>
          </cell>
          <cell r="H327">
            <v>9385.1497335999993</v>
          </cell>
          <cell r="I327">
            <v>9622.9138963999994</v>
          </cell>
          <cell r="J327">
            <v>9397.6299113000005</v>
          </cell>
          <cell r="K327">
            <v>9512.1790117</v>
          </cell>
          <cell r="L327">
            <v>8469.7726516999992</v>
          </cell>
          <cell r="M327">
            <v>8321.4199695000007</v>
          </cell>
          <cell r="N327">
            <v>9232.6739631</v>
          </cell>
          <cell r="O327">
            <v>106142.4627037</v>
          </cell>
        </row>
        <row r="328">
          <cell r="A328" t="str">
            <v>9588000</v>
          </cell>
          <cell r="B328" t="str">
            <v>Miscellaneous Distribution Expenses</v>
          </cell>
          <cell r="C328">
            <v>863986.04520109994</v>
          </cell>
          <cell r="D328">
            <v>819460.76353</v>
          </cell>
          <cell r="E328">
            <v>906779.9463527</v>
          </cell>
          <cell r="F328">
            <v>877861.97633600002</v>
          </cell>
          <cell r="G328">
            <v>833807.67357320001</v>
          </cell>
          <cell r="H328">
            <v>899643.69120929996</v>
          </cell>
          <cell r="I328">
            <v>846084.1881262</v>
          </cell>
          <cell r="J328">
            <v>864503.8177599</v>
          </cell>
          <cell r="K328">
            <v>878517.60048629995</v>
          </cell>
          <cell r="L328">
            <v>809794.96227769996</v>
          </cell>
          <cell r="M328">
            <v>815315.28869800002</v>
          </cell>
          <cell r="N328">
            <v>929263.32324559998</v>
          </cell>
          <cell r="O328">
            <v>10345019.276796002</v>
          </cell>
        </row>
        <row r="329">
          <cell r="A329" t="str">
            <v>9589000</v>
          </cell>
          <cell r="B329" t="str">
            <v>Distribution Rents</v>
          </cell>
          <cell r="C329">
            <v>28533.000954800002</v>
          </cell>
          <cell r="D329">
            <v>28533.000954800002</v>
          </cell>
          <cell r="E329">
            <v>28533.000954800002</v>
          </cell>
          <cell r="F329">
            <v>28533.000954800002</v>
          </cell>
          <cell r="G329">
            <v>28533.000954800002</v>
          </cell>
          <cell r="H329">
            <v>28533.000954800002</v>
          </cell>
          <cell r="I329">
            <v>28533.000954800002</v>
          </cell>
          <cell r="J329">
            <v>28533.000954800002</v>
          </cell>
          <cell r="K329">
            <v>28533.000954800002</v>
          </cell>
          <cell r="L329">
            <v>28533.000954800002</v>
          </cell>
          <cell r="M329">
            <v>28533.000954800002</v>
          </cell>
          <cell r="N329">
            <v>28533.000954800002</v>
          </cell>
          <cell r="O329">
            <v>342396.01145759999</v>
          </cell>
        </row>
        <row r="330">
          <cell r="A330" t="str">
            <v>9590000</v>
          </cell>
          <cell r="B330" t="str">
            <v>Distribution Maintenance Supervision &amp; Engineering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9591000</v>
          </cell>
          <cell r="B331" t="str">
            <v>Distribution Maintenance of Structures</v>
          </cell>
          <cell r="C331">
            <v>37260.7067914</v>
          </cell>
          <cell r="D331">
            <v>34082.100515099999</v>
          </cell>
          <cell r="E331">
            <v>39905.930572199999</v>
          </cell>
          <cell r="F331">
            <v>41618.911548399999</v>
          </cell>
          <cell r="G331">
            <v>37903.803374000003</v>
          </cell>
          <cell r="H331">
            <v>39793.587274700003</v>
          </cell>
          <cell r="I331">
            <v>40343.770204400003</v>
          </cell>
          <cell r="J331">
            <v>40045.601971900003</v>
          </cell>
          <cell r="K331">
            <v>41320.318953900001</v>
          </cell>
          <cell r="L331">
            <v>35946.223980399998</v>
          </cell>
          <cell r="M331">
            <v>33922.979145199999</v>
          </cell>
          <cell r="N331">
            <v>40315.012660300003</v>
          </cell>
          <cell r="O331">
            <v>462458.94699189998</v>
          </cell>
        </row>
        <row r="332">
          <cell r="A332" t="str">
            <v>9592000</v>
          </cell>
          <cell r="B332" t="str">
            <v>Distribution Maintenance of Station Equipment</v>
          </cell>
          <cell r="C332">
            <v>175769.53994369999</v>
          </cell>
          <cell r="D332">
            <v>165669.690925</v>
          </cell>
          <cell r="E332">
            <v>182939.75901509999</v>
          </cell>
          <cell r="F332">
            <v>186465.33899729999</v>
          </cell>
          <cell r="G332">
            <v>178588.07969720001</v>
          </cell>
          <cell r="H332">
            <v>185089.95860489999</v>
          </cell>
          <cell r="I332">
            <v>190875.31912080001</v>
          </cell>
          <cell r="J332">
            <v>184141.22491429999</v>
          </cell>
          <cell r="K332">
            <v>191174.59825469999</v>
          </cell>
          <cell r="L332">
            <v>175323.07967189999</v>
          </cell>
          <cell r="M332">
            <v>170392.79878320001</v>
          </cell>
          <cell r="N332">
            <v>188084.85519929999</v>
          </cell>
          <cell r="O332">
            <v>2174514.2431274001</v>
          </cell>
        </row>
        <row r="333">
          <cell r="A333" t="str">
            <v>9592100</v>
          </cell>
          <cell r="B333" t="str">
            <v>Distribution Maintenance of Structures &amp; Equipment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9593000</v>
          </cell>
          <cell r="B334" t="str">
            <v>Distribution Maintenance of Overhead Lines</v>
          </cell>
          <cell r="C334">
            <v>2486252.6090142</v>
          </cell>
          <cell r="D334">
            <v>2447404.2830600999</v>
          </cell>
          <cell r="E334">
            <v>2522020.0920930998</v>
          </cell>
          <cell r="F334">
            <v>2679886.2311722999</v>
          </cell>
          <cell r="G334">
            <v>2632167.790242</v>
          </cell>
          <cell r="H334">
            <v>2666668.8466452002</v>
          </cell>
          <cell r="I334">
            <v>2733487.5644065998</v>
          </cell>
          <cell r="J334">
            <v>2745717.5016429001</v>
          </cell>
          <cell r="K334">
            <v>2741561.6001566998</v>
          </cell>
          <cell r="L334">
            <v>2803142.5307032</v>
          </cell>
          <cell r="M334">
            <v>2785437.5943670999</v>
          </cell>
          <cell r="N334">
            <v>2848504.1327415998</v>
          </cell>
          <cell r="O334">
            <v>32092250.776245005</v>
          </cell>
        </row>
        <row r="335">
          <cell r="A335" t="str">
            <v>9594000</v>
          </cell>
          <cell r="B335" t="str">
            <v>Distribution Maintenance of Underground Lines</v>
          </cell>
          <cell r="C335">
            <v>221700.43025949999</v>
          </cell>
          <cell r="D335">
            <v>212660.00840680001</v>
          </cell>
          <cell r="E335">
            <v>228684.37842940001</v>
          </cell>
          <cell r="F335">
            <v>243467.4577385</v>
          </cell>
          <cell r="G335">
            <v>220112.20992309999</v>
          </cell>
          <cell r="H335">
            <v>220635.5588841</v>
          </cell>
          <cell r="I335">
            <v>208431.3707464</v>
          </cell>
          <cell r="J335">
            <v>226119.49527849999</v>
          </cell>
          <cell r="K335">
            <v>222147.81816</v>
          </cell>
          <cell r="L335">
            <v>202025.3163491</v>
          </cell>
          <cell r="M335">
            <v>189903.42715539999</v>
          </cell>
          <cell r="N335">
            <v>220136.6727574</v>
          </cell>
          <cell r="O335">
            <v>2616024.1440882003</v>
          </cell>
        </row>
        <row r="336">
          <cell r="A336" t="str">
            <v>9595000</v>
          </cell>
          <cell r="B336" t="str">
            <v>Distribution Maintenance of Line Transformers</v>
          </cell>
          <cell r="C336">
            <v>30255.9644099</v>
          </cell>
          <cell r="D336">
            <v>28621.819004600002</v>
          </cell>
          <cell r="E336">
            <v>31413.822440100001</v>
          </cell>
          <cell r="F336">
            <v>32631.0686499</v>
          </cell>
          <cell r="G336">
            <v>30514.567080199999</v>
          </cell>
          <cell r="H336">
            <v>31516.631888799999</v>
          </cell>
          <cell r="I336">
            <v>31291.420992300002</v>
          </cell>
          <cell r="J336">
            <v>31789.6448652</v>
          </cell>
          <cell r="K336">
            <v>31951.441218200001</v>
          </cell>
          <cell r="L336">
            <v>29375.206121899999</v>
          </cell>
          <cell r="M336">
            <v>28436.6688503</v>
          </cell>
          <cell r="N336">
            <v>31478.065143899999</v>
          </cell>
          <cell r="O336">
            <v>369276.32066530007</v>
          </cell>
        </row>
        <row r="337">
          <cell r="A337" t="str">
            <v>9596000</v>
          </cell>
          <cell r="B337" t="str">
            <v>Distribution Maint Street Lighting &amp; Signal System</v>
          </cell>
          <cell r="C337">
            <v>119319.2772114</v>
          </cell>
          <cell r="D337">
            <v>114145.9368997</v>
          </cell>
          <cell r="E337">
            <v>123844.2630257</v>
          </cell>
          <cell r="F337">
            <v>123865.40626</v>
          </cell>
          <cell r="G337">
            <v>115914.02287060001</v>
          </cell>
          <cell r="H337">
            <v>121106.25422620001</v>
          </cell>
          <cell r="I337">
            <v>113687.9906762</v>
          </cell>
          <cell r="J337">
            <v>119602.8169572</v>
          </cell>
          <cell r="K337">
            <v>119372.69861950001</v>
          </cell>
          <cell r="L337">
            <v>110205.482342</v>
          </cell>
          <cell r="M337">
            <v>108659.2036143</v>
          </cell>
          <cell r="N337">
            <v>123545.2183426</v>
          </cell>
          <cell r="O337">
            <v>1413268.5710454001</v>
          </cell>
        </row>
        <row r="338">
          <cell r="A338" t="str">
            <v>9597000</v>
          </cell>
          <cell r="B338" t="str">
            <v>Distribution Maintenance of Meters</v>
          </cell>
          <cell r="C338">
            <v>30995.169506900002</v>
          </cell>
          <cell r="D338">
            <v>28737.9961716</v>
          </cell>
          <cell r="E338">
            <v>32605.665099500002</v>
          </cell>
          <cell r="F338">
            <v>32825.600453500003</v>
          </cell>
          <cell r="G338">
            <v>31784.585253699999</v>
          </cell>
          <cell r="H338">
            <v>33344.143453899997</v>
          </cell>
          <cell r="I338">
            <v>35580.596088699996</v>
          </cell>
          <cell r="J338">
            <v>32891.7521165</v>
          </cell>
          <cell r="K338">
            <v>35092.8139667</v>
          </cell>
          <cell r="L338">
            <v>31658.387325</v>
          </cell>
          <cell r="M338">
            <v>30795.704486999999</v>
          </cell>
          <cell r="N338">
            <v>34289.020733899997</v>
          </cell>
          <cell r="O338">
            <v>390601.43465690006</v>
          </cell>
        </row>
        <row r="339">
          <cell r="A339" t="str">
            <v>9598000</v>
          </cell>
          <cell r="B339" t="str">
            <v>Maintenance of Miscellaneous Distribution Plant</v>
          </cell>
          <cell r="C339">
            <v>1606.1694725</v>
          </cell>
          <cell r="D339">
            <v>1607.0897567</v>
          </cell>
          <cell r="E339">
            <v>1586.133241</v>
          </cell>
          <cell r="F339">
            <v>1740.3246750999999</v>
          </cell>
          <cell r="G339">
            <v>1550.6987846</v>
          </cell>
          <cell r="H339">
            <v>1454.3082956000001</v>
          </cell>
          <cell r="I339">
            <v>1264.3717457</v>
          </cell>
          <cell r="J339">
            <v>1521.3628329000001</v>
          </cell>
          <cell r="K339">
            <v>1437.3487993000001</v>
          </cell>
          <cell r="L339">
            <v>1346.9205517</v>
          </cell>
          <cell r="M339">
            <v>1234.6778694</v>
          </cell>
          <cell r="N339">
            <v>1450.1740345999999</v>
          </cell>
          <cell r="O339">
            <v>17799.580059100001</v>
          </cell>
        </row>
        <row r="340">
          <cell r="A340" t="str">
            <v>9800000</v>
          </cell>
          <cell r="B340" t="str">
            <v>Natural Gas Well Head Purchases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9800100</v>
          </cell>
          <cell r="B341" t="str">
            <v>Natural Gas Well Head Purch Intracompany Transfers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9801000</v>
          </cell>
          <cell r="B342" t="str">
            <v>Natural Gas Field Line Purchases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9802000</v>
          </cell>
          <cell r="B343" t="str">
            <v>Natural Gas Gasoline Plant Outlet Purchases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9803000</v>
          </cell>
          <cell r="B344" t="str">
            <v>Natural Gas Transmission Line Purchases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9804000</v>
          </cell>
          <cell r="B345" t="str">
            <v>Natural Gas City Gate Purchases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9804100</v>
          </cell>
          <cell r="B346" t="str">
            <v>Liquefied Natural Gas Purchases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9805000</v>
          </cell>
          <cell r="B347" t="str">
            <v>Other Gas Purchases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9805100</v>
          </cell>
          <cell r="B348" t="str">
            <v>Purchased Gas Cost Adjustments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 t="str">
            <v>9806000</v>
          </cell>
          <cell r="B349" t="str">
            <v>Exchange Gas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9807100</v>
          </cell>
          <cell r="B350" t="str">
            <v>Well Expenses - Purchased Gas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9807200</v>
          </cell>
          <cell r="B351" t="str">
            <v>Operation of Purchased Gas Measuring Stations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9807300</v>
          </cell>
          <cell r="B352" t="str">
            <v>Maintenance of Purchased Gas Measuring Stations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9807400</v>
          </cell>
          <cell r="B353" t="str">
            <v>Purchased Gas Calculations Expenses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9807500</v>
          </cell>
          <cell r="B354" t="str">
            <v>Other Purchased Gas Expenses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9808100</v>
          </cell>
          <cell r="B355" t="str">
            <v>Gas Withdrawn From Storage - Debit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9808200</v>
          </cell>
          <cell r="B356" t="str">
            <v>Gas Delivered To Storage - Credit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9809100</v>
          </cell>
          <cell r="B357" t="str">
            <v>Withdrawals Liquefied Natural Gas Processing-Debit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9809200</v>
          </cell>
          <cell r="B358" t="str">
            <v>Deliveries of Natural Gas for Processing - Credit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9810000</v>
          </cell>
          <cell r="B359" t="str">
            <v>Gas Used For Compressor Station Fuel - Credit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9811000</v>
          </cell>
          <cell r="B360" t="str">
            <v>Gas Used For Products Extraction - Credit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9812000</v>
          </cell>
          <cell r="B361" t="str">
            <v>Gas Used For Other Utility Operations - Credit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 t="str">
            <v>9813000</v>
          </cell>
          <cell r="B362" t="str">
            <v>Other Gas Supply Expenses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9826000</v>
          </cell>
          <cell r="B363" t="str">
            <v>Rents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9850000</v>
          </cell>
          <cell r="B364" t="str">
            <v>Gas Transm Operation Supervison and Engineering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9851000</v>
          </cell>
          <cell r="B365" t="str">
            <v>Gas Transm Oper System Control and Load Dispatch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9852000</v>
          </cell>
          <cell r="B366" t="str">
            <v>Gas Transm Operation Communication System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9853000</v>
          </cell>
          <cell r="B367" t="str">
            <v>Gas Transm Operation Compressor Station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9854000</v>
          </cell>
          <cell r="B368" t="str">
            <v>Gas Transm Operation Gas Compressor Station Fuel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9855000</v>
          </cell>
          <cell r="B369" t="str">
            <v>Gas Transm Oper Oth Fuel Power Compresor Station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9856000</v>
          </cell>
          <cell r="B370" t="str">
            <v>Gas Transm Operation Mains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9857000</v>
          </cell>
          <cell r="B371" t="str">
            <v>Gas Transm Oper Measuring and Regulating Station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9858000</v>
          </cell>
          <cell r="B372" t="str">
            <v>Gas Transm Operation Transm Compres Gas by Other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9859000</v>
          </cell>
          <cell r="B373" t="str">
            <v>Gas Transm Operation Other Expenses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9860000</v>
          </cell>
          <cell r="B374" t="str">
            <v>Gas Transm Operation Rents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9861000</v>
          </cell>
          <cell r="B375" t="str">
            <v>Gas Transm Maintenance Supervision &amp; Engineering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9862000</v>
          </cell>
          <cell r="B376" t="str">
            <v>Gas Transm Maintenance Structures n Improvements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9863000</v>
          </cell>
          <cell r="B377" t="str">
            <v>Gas Transm Maintenance Mains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9864000</v>
          </cell>
          <cell r="B378" t="str">
            <v>Gas Transm Maintenance Compressor Station Equip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9865000</v>
          </cell>
          <cell r="B379" t="str">
            <v>Gas Transm Maint Measuring Regulating Stn Equip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 t="str">
            <v>9866000</v>
          </cell>
          <cell r="B380" t="str">
            <v>Gas Transm Maintenance Communication Equipment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9867000</v>
          </cell>
          <cell r="B381" t="str">
            <v>Gas Transm Maintenance Other Equipment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9870000</v>
          </cell>
          <cell r="B382" t="str">
            <v>Gas Distribution Oper Supervision &amp; Engineering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9871000</v>
          </cell>
          <cell r="B383" t="str">
            <v>Gas Distribution Load Dispatching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9872000</v>
          </cell>
          <cell r="B384" t="str">
            <v>Gas Compressor Station Labor and Expenses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 t="str">
            <v>9873000</v>
          </cell>
          <cell r="B385" t="str">
            <v>Gas Compressor Station Fuel and Power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9874000</v>
          </cell>
          <cell r="B386" t="str">
            <v>Gas Mains and Services Expenses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9875000</v>
          </cell>
          <cell r="B387" t="str">
            <v>Gas Measuring &amp; Regulating Station Exp-General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9876000</v>
          </cell>
          <cell r="B388" t="str">
            <v>Gas Measuring &amp; Regulating Station Exp-Industrial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9877000</v>
          </cell>
          <cell r="B389" t="str">
            <v>Gas Measuring &amp; Regulating Exp-City Gate Chk Statn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9878000</v>
          </cell>
          <cell r="B390" t="str">
            <v>Gas Meter and House Regulator Expenses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9879000</v>
          </cell>
          <cell r="B391" t="str">
            <v>Gas Distribution Customer Installations Expenses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9880000</v>
          </cell>
          <cell r="B392" t="str">
            <v>Gas Distribution Other Expenses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9881000</v>
          </cell>
          <cell r="B393" t="str">
            <v>Gas Distribution Rents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9885000</v>
          </cell>
          <cell r="B394" t="str">
            <v>Gas Distribution Maint Supervision &amp; Engineering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 t="str">
            <v>9886000</v>
          </cell>
          <cell r="B395" t="str">
            <v>Gas Distrib Maintenance Structures &amp; Improvements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 t="str">
            <v>9887000</v>
          </cell>
          <cell r="B396" t="str">
            <v>Gas Distribution Maintenance of Mains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9888000</v>
          </cell>
          <cell r="B397" t="str">
            <v>Gas Distrib Maintenance Compressor Station Equip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9889000</v>
          </cell>
          <cell r="B398" t="str">
            <v>Gas Distrib Maint Meas Reg Station Exp-General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 t="str">
            <v>9890000</v>
          </cell>
          <cell r="B399" t="str">
            <v>Gas Distrib Maint Meas Reg Station Exp-Industrial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9891000</v>
          </cell>
          <cell r="B400" t="str">
            <v>Gas Distrib Maint Meas Reg Exp-City Gate Chk Statn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9892000</v>
          </cell>
          <cell r="B401" t="str">
            <v>Gas Distribution Maintenance of Services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9893000</v>
          </cell>
          <cell r="B402" t="str">
            <v>Gas Distribution Maint Meters and House Regulators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9894000</v>
          </cell>
          <cell r="B403" t="str">
            <v>Gas Distribution Maintenance of Other Equipment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9901000</v>
          </cell>
          <cell r="B404" t="str">
            <v>Customer Accts Supervision</v>
          </cell>
          <cell r="C404">
            <v>371645.65376249998</v>
          </cell>
          <cell r="D404">
            <v>353861.42686589999</v>
          </cell>
          <cell r="E404">
            <v>399379.42925420002</v>
          </cell>
          <cell r="F404">
            <v>485912.0911355</v>
          </cell>
          <cell r="G404">
            <v>365758.5064368</v>
          </cell>
          <cell r="H404">
            <v>396937.7610461</v>
          </cell>
          <cell r="I404">
            <v>500664.01247389999</v>
          </cell>
          <cell r="J404">
            <v>374506.6508221</v>
          </cell>
          <cell r="K404">
            <v>504126.29376670002</v>
          </cell>
          <cell r="L404">
            <v>473385.7651735</v>
          </cell>
          <cell r="M404">
            <v>389908.47436569998</v>
          </cell>
          <cell r="N404">
            <v>455881.37114220002</v>
          </cell>
          <cell r="O404">
            <v>5071967.4362451006</v>
          </cell>
        </row>
        <row r="405">
          <cell r="A405" t="str">
            <v>9902000</v>
          </cell>
          <cell r="B405" t="str">
            <v>Customer Accts Meter Reading Expenses</v>
          </cell>
          <cell r="C405">
            <v>259897.3660827</v>
          </cell>
          <cell r="D405">
            <v>253688.47473839999</v>
          </cell>
          <cell r="E405">
            <v>262645.60937309999</v>
          </cell>
          <cell r="F405">
            <v>281277.09958400001</v>
          </cell>
          <cell r="G405">
            <v>255920.5277759</v>
          </cell>
          <cell r="H405">
            <v>251807.75285799999</v>
          </cell>
          <cell r="I405">
            <v>232932.4305366</v>
          </cell>
          <cell r="J405">
            <v>259136.80626720001</v>
          </cell>
          <cell r="K405">
            <v>250867.399125</v>
          </cell>
          <cell r="L405">
            <v>233625.54201490001</v>
          </cell>
          <cell r="M405">
            <v>220552.90731790001</v>
          </cell>
          <cell r="N405">
            <v>250254.29155339999</v>
          </cell>
          <cell r="O405">
            <v>3012606.2072271006</v>
          </cell>
        </row>
        <row r="406">
          <cell r="A406" t="str">
            <v>9903000</v>
          </cell>
          <cell r="B406" t="str">
            <v>Customer Accts Customer Records and Collection Exp</v>
          </cell>
          <cell r="C406">
            <v>1976987.8614767999</v>
          </cell>
          <cell r="D406">
            <v>1865054.2373776999</v>
          </cell>
          <cell r="E406">
            <v>2098614.6992817</v>
          </cell>
          <cell r="F406">
            <v>2419666.1201852001</v>
          </cell>
          <cell r="G406">
            <v>2009743.5725604999</v>
          </cell>
          <cell r="H406">
            <v>2070362.6099242</v>
          </cell>
          <cell r="I406">
            <v>2463534.5250693001</v>
          </cell>
          <cell r="J406">
            <v>2055977.4727087</v>
          </cell>
          <cell r="K406">
            <v>2460567.7910071001</v>
          </cell>
          <cell r="L406">
            <v>2352556.6543449</v>
          </cell>
          <cell r="M406">
            <v>2096095.0789409</v>
          </cell>
          <cell r="N406">
            <v>2250923.4742272999</v>
          </cell>
          <cell r="O406">
            <v>26120084.097104304</v>
          </cell>
        </row>
        <row r="407">
          <cell r="A407" t="str">
            <v>9904000</v>
          </cell>
          <cell r="B407" t="str">
            <v>Customer Uncollectible Accounts</v>
          </cell>
          <cell r="C407">
            <v>782150.26017879997</v>
          </cell>
          <cell r="D407">
            <v>598075.05636020005</v>
          </cell>
          <cell r="E407">
            <v>608262.31456960004</v>
          </cell>
          <cell r="F407">
            <v>416579.1470075</v>
          </cell>
          <cell r="G407">
            <v>419284.11074490001</v>
          </cell>
          <cell r="H407">
            <v>486348.27922839997</v>
          </cell>
          <cell r="I407">
            <v>397206.11291810003</v>
          </cell>
          <cell r="J407">
            <v>-330458.4572142</v>
          </cell>
          <cell r="K407">
            <v>396366.9930514</v>
          </cell>
          <cell r="L407">
            <v>299938.63087529998</v>
          </cell>
          <cell r="M407">
            <v>234991.16796729999</v>
          </cell>
          <cell r="N407">
            <v>413603.86960719997</v>
          </cell>
          <cell r="O407">
            <v>4722347.4852945004</v>
          </cell>
        </row>
        <row r="408">
          <cell r="A408" t="str">
            <v>9905000</v>
          </cell>
          <cell r="B408" t="str">
            <v>Miscellaneous Customer Accounts Expense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9907000</v>
          </cell>
          <cell r="B409" t="str">
            <v>Customer Service Supervision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9908000</v>
          </cell>
          <cell r="B410" t="str">
            <v>Customer Assistance Expenses</v>
          </cell>
          <cell r="C410">
            <v>3211678.5284231999</v>
          </cell>
          <cell r="D410">
            <v>3131220.4955282002</v>
          </cell>
          <cell r="E410">
            <v>3115276.1040580999</v>
          </cell>
          <cell r="F410">
            <v>3213948.2372156</v>
          </cell>
          <cell r="G410">
            <v>3105690.7195708998</v>
          </cell>
          <cell r="H410">
            <v>3236619.8557918998</v>
          </cell>
          <cell r="I410">
            <v>3421866.5872223</v>
          </cell>
          <cell r="J410">
            <v>3155430.139802</v>
          </cell>
          <cell r="K410">
            <v>3331699.5287398999</v>
          </cell>
          <cell r="L410">
            <v>3214882.0459432001</v>
          </cell>
          <cell r="M410">
            <v>3182949.0098601002</v>
          </cell>
          <cell r="N410">
            <v>3224466.8810208999</v>
          </cell>
          <cell r="O410">
            <v>38545728.133176297</v>
          </cell>
        </row>
        <row r="411">
          <cell r="A411" t="str">
            <v>9909000</v>
          </cell>
          <cell r="B411" t="str">
            <v>Cust Svc Informational &amp; Instructional Advertising</v>
          </cell>
          <cell r="C411">
            <v>99690.800664399998</v>
          </cell>
          <cell r="D411">
            <v>92799.633124400003</v>
          </cell>
          <cell r="E411">
            <v>96027.984664400006</v>
          </cell>
          <cell r="F411">
            <v>178326.0605244</v>
          </cell>
          <cell r="G411">
            <v>95845.764664400005</v>
          </cell>
          <cell r="H411">
            <v>166357.05976440001</v>
          </cell>
          <cell r="I411">
            <v>288789.18966440001</v>
          </cell>
          <cell r="J411">
            <v>94944.084664399998</v>
          </cell>
          <cell r="K411">
            <v>127292.76866440001</v>
          </cell>
          <cell r="L411">
            <v>125782.76466440001</v>
          </cell>
          <cell r="M411">
            <v>99368.094664400007</v>
          </cell>
          <cell r="N411">
            <v>129798.3566244</v>
          </cell>
          <cell r="O411">
            <v>1595022.5623528</v>
          </cell>
        </row>
        <row r="412">
          <cell r="A412" t="str">
            <v>9910000</v>
          </cell>
          <cell r="B412" t="str">
            <v>Misc Customer Service and Informational Expenses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9911000</v>
          </cell>
          <cell r="B413" t="str">
            <v>Sales Exp Supervision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9912000</v>
          </cell>
          <cell r="B414" t="str">
            <v>Sales Demonstrating and Selling Expenses</v>
          </cell>
          <cell r="C414">
            <v>32029.48</v>
          </cell>
          <cell r="D414">
            <v>30110</v>
          </cell>
          <cell r="E414">
            <v>13286</v>
          </cell>
          <cell r="F414">
            <v>9198</v>
          </cell>
          <cell r="G414">
            <v>31288.53</v>
          </cell>
          <cell r="H414">
            <v>47012</v>
          </cell>
          <cell r="I414">
            <v>35153.300000000003</v>
          </cell>
          <cell r="J414">
            <v>31796.3</v>
          </cell>
          <cell r="K414">
            <v>26251.95</v>
          </cell>
          <cell r="L414">
            <v>72996.350000000006</v>
          </cell>
          <cell r="M414">
            <v>10731</v>
          </cell>
          <cell r="N414">
            <v>1890.7</v>
          </cell>
          <cell r="O414">
            <v>341743.61000000004</v>
          </cell>
        </row>
        <row r="415">
          <cell r="A415" t="str">
            <v>9913000</v>
          </cell>
          <cell r="B415" t="str">
            <v>Sales Advertising Expenses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9916000</v>
          </cell>
          <cell r="B416" t="str">
            <v>Miscellaneous Sales Expenses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9920000</v>
          </cell>
          <cell r="B417" t="str">
            <v>Administrative and General Salaries</v>
          </cell>
          <cell r="C417">
            <v>5350631.5899422001</v>
          </cell>
          <cell r="D417">
            <v>5002768.5885284003</v>
          </cell>
          <cell r="E417">
            <v>5409250.6632634997</v>
          </cell>
          <cell r="F417">
            <v>5413514.1488049002</v>
          </cell>
          <cell r="G417">
            <v>5175505.6107905004</v>
          </cell>
          <cell r="H417">
            <v>5338973.3982862001</v>
          </cell>
          <cell r="I417">
            <v>5462055.5017646998</v>
          </cell>
          <cell r="J417">
            <v>5292950.5096164001</v>
          </cell>
          <cell r="K417">
            <v>5468348.4271516996</v>
          </cell>
          <cell r="L417">
            <v>5322766.8427170999</v>
          </cell>
          <cell r="M417">
            <v>5319252.7824692996</v>
          </cell>
          <cell r="N417">
            <v>5587141.3270236002</v>
          </cell>
          <cell r="O417">
            <v>64143159.3903585</v>
          </cell>
        </row>
        <row r="418">
          <cell r="A418" t="str">
            <v>9921000</v>
          </cell>
          <cell r="B418" t="str">
            <v>Office Supplies and Expenses</v>
          </cell>
          <cell r="C418">
            <v>576772.81994359998</v>
          </cell>
          <cell r="D418">
            <v>631014.77314529999</v>
          </cell>
          <cell r="E418">
            <v>719920.6351061</v>
          </cell>
          <cell r="F418">
            <v>571036.56837430003</v>
          </cell>
          <cell r="G418">
            <v>529661.42265630001</v>
          </cell>
          <cell r="H418">
            <v>425951.77167669998</v>
          </cell>
          <cell r="I418">
            <v>641476.3472207</v>
          </cell>
          <cell r="J418">
            <v>506501.33718889998</v>
          </cell>
          <cell r="K418">
            <v>606111.59499300004</v>
          </cell>
          <cell r="L418">
            <v>603037.52534699999</v>
          </cell>
          <cell r="M418">
            <v>479029.21452590002</v>
          </cell>
          <cell r="N418">
            <v>558681.18729559996</v>
          </cell>
          <cell r="O418">
            <v>6849195.1974734003</v>
          </cell>
        </row>
        <row r="419">
          <cell r="A419" t="str">
            <v>9922000</v>
          </cell>
          <cell r="B419" t="str">
            <v>Administrative Expenses Transferred - Credit</v>
          </cell>
          <cell r="C419">
            <v>-4182384.8416669001</v>
          </cell>
          <cell r="D419">
            <v>-3960710.8378764</v>
          </cell>
          <cell r="E419">
            <v>-4226986.6416523997</v>
          </cell>
          <cell r="F419">
            <v>-3986288.2883335999</v>
          </cell>
          <cell r="G419">
            <v>-3931452.791398</v>
          </cell>
          <cell r="H419">
            <v>-4225030.0872481</v>
          </cell>
          <cell r="I419">
            <v>-4057052.3108107001</v>
          </cell>
          <cell r="J419">
            <v>-3953162.7023024</v>
          </cell>
          <cell r="K419">
            <v>-4181858.4815949001</v>
          </cell>
          <cell r="L419">
            <v>-3953605.9150168998</v>
          </cell>
          <cell r="M419">
            <v>-3994042.7335713999</v>
          </cell>
          <cell r="N419">
            <v>-4266649.6275439002</v>
          </cell>
          <cell r="O419">
            <v>-48919225.259015605</v>
          </cell>
        </row>
        <row r="420">
          <cell r="A420" t="str">
            <v>9923000</v>
          </cell>
          <cell r="B420" t="str">
            <v>Outside Services Employed</v>
          </cell>
          <cell r="C420">
            <v>1768512.9030335001</v>
          </cell>
          <cell r="D420">
            <v>1382666.0085658999</v>
          </cell>
          <cell r="E420">
            <v>1661067.3346209</v>
          </cell>
          <cell r="F420">
            <v>1527989.2984873001</v>
          </cell>
          <cell r="G420">
            <v>1430525.0313714</v>
          </cell>
          <cell r="H420">
            <v>1785799.0540573001</v>
          </cell>
          <cell r="I420">
            <v>1505239.2258882001</v>
          </cell>
          <cell r="J420">
            <v>1454640.3550011001</v>
          </cell>
          <cell r="K420">
            <v>1674470.5757776001</v>
          </cell>
          <cell r="L420">
            <v>1367166.3653537</v>
          </cell>
          <cell r="M420">
            <v>1313991.2413470999</v>
          </cell>
          <cell r="N420">
            <v>1769884.7614953001</v>
          </cell>
          <cell r="O420">
            <v>18641952.154999297</v>
          </cell>
        </row>
        <row r="421">
          <cell r="A421" t="str">
            <v>9924000</v>
          </cell>
          <cell r="B421" t="str">
            <v>Property Insurance</v>
          </cell>
          <cell r="C421">
            <v>829690.79</v>
          </cell>
          <cell r="D421">
            <v>829690.81</v>
          </cell>
          <cell r="E421">
            <v>1188380.95</v>
          </cell>
          <cell r="F421">
            <v>1188380.98</v>
          </cell>
          <cell r="G421">
            <v>1188380.98</v>
          </cell>
          <cell r="H421">
            <v>1188380.98</v>
          </cell>
          <cell r="I421">
            <v>1188380.98</v>
          </cell>
          <cell r="J421">
            <v>1188380.98</v>
          </cell>
          <cell r="K421">
            <v>1188975.05</v>
          </cell>
          <cell r="L421">
            <v>1188975.05</v>
          </cell>
          <cell r="M421">
            <v>1188975.05</v>
          </cell>
          <cell r="N421">
            <v>1188975.05</v>
          </cell>
          <cell r="O421">
            <v>13545567.650000004</v>
          </cell>
        </row>
        <row r="422">
          <cell r="A422" t="str">
            <v>9925000</v>
          </cell>
          <cell r="B422" t="str">
            <v>Injuries and Damages</v>
          </cell>
          <cell r="C422">
            <v>1309970.4900001001</v>
          </cell>
          <cell r="D422">
            <v>1309970.4800001001</v>
          </cell>
          <cell r="E422">
            <v>1309970.4800001001</v>
          </cell>
          <cell r="F422">
            <v>1309970.4800001001</v>
          </cell>
          <cell r="G422">
            <v>1310053.5600000999</v>
          </cell>
          <cell r="H422">
            <v>1521305.3200000999</v>
          </cell>
          <cell r="I422">
            <v>1521305.2700000999</v>
          </cell>
          <cell r="J422">
            <v>1527258.0900001</v>
          </cell>
          <cell r="K422">
            <v>1527258.1100001</v>
          </cell>
          <cell r="L422">
            <v>1527258.1100001</v>
          </cell>
          <cell r="M422">
            <v>1527258.1100001</v>
          </cell>
          <cell r="N422">
            <v>1958414.7900000999</v>
          </cell>
          <cell r="O422">
            <v>17659993.290001202</v>
          </cell>
        </row>
        <row r="423">
          <cell r="A423" t="str">
            <v>9926000</v>
          </cell>
          <cell r="B423" t="str">
            <v>Employee Pensions and Benefits</v>
          </cell>
          <cell r="C423">
            <v>3740772.6561646</v>
          </cell>
          <cell r="D423">
            <v>4425000.9365135003</v>
          </cell>
          <cell r="E423">
            <v>5233684.6352688</v>
          </cell>
          <cell r="F423">
            <v>3616245.4775590999</v>
          </cell>
          <cell r="G423">
            <v>4225552.2848584</v>
          </cell>
          <cell r="H423">
            <v>5224130.5336576002</v>
          </cell>
          <cell r="I423">
            <v>3509320.8665848002</v>
          </cell>
          <cell r="J423">
            <v>4142764.2428044002</v>
          </cell>
          <cell r="K423">
            <v>5168288.28663</v>
          </cell>
          <cell r="L423">
            <v>3589384.3121345001</v>
          </cell>
          <cell r="M423">
            <v>3596269.3107856</v>
          </cell>
          <cell r="N423">
            <v>5647785.1618563002</v>
          </cell>
          <cell r="O423">
            <v>52119198.704817593</v>
          </cell>
        </row>
        <row r="424">
          <cell r="A424" t="str">
            <v>9927000</v>
          </cell>
          <cell r="B424" t="str">
            <v>Franchise Requirements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9928000</v>
          </cell>
          <cell r="B425" t="str">
            <v>Regulatory Commission Expenses</v>
          </cell>
          <cell r="C425">
            <v>164607.85735169999</v>
          </cell>
          <cell r="D425">
            <v>134048.4536183</v>
          </cell>
          <cell r="E425">
            <v>150431.5042998</v>
          </cell>
          <cell r="F425">
            <v>140483.82975209999</v>
          </cell>
          <cell r="G425">
            <v>136059.4684367</v>
          </cell>
          <cell r="H425">
            <v>163276.03669919999</v>
          </cell>
          <cell r="I425">
            <v>141950.7825686</v>
          </cell>
          <cell r="J425">
            <v>132765.94260529999</v>
          </cell>
          <cell r="K425">
            <v>147475.7355519</v>
          </cell>
          <cell r="L425">
            <v>125655.6244454</v>
          </cell>
          <cell r="M425">
            <v>122671.902067</v>
          </cell>
          <cell r="N425">
            <v>161063.23856709999</v>
          </cell>
          <cell r="O425">
            <v>1720490.3759631002</v>
          </cell>
        </row>
        <row r="426">
          <cell r="A426" t="str">
            <v>9929000</v>
          </cell>
          <cell r="B426" t="str">
            <v>Duplicate Charges - Credit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9930100</v>
          </cell>
          <cell r="B427" t="str">
            <v>General Advertising Expenses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9930200</v>
          </cell>
          <cell r="B428" t="str">
            <v>Miscellaneous General Expenses</v>
          </cell>
          <cell r="C428">
            <v>1632766.418793</v>
          </cell>
          <cell r="D428">
            <v>1141132.5667389999</v>
          </cell>
          <cell r="E428">
            <v>2570031.9883593</v>
          </cell>
          <cell r="F428">
            <v>1092912.4923264</v>
          </cell>
          <cell r="G428">
            <v>1082603.1391906</v>
          </cell>
          <cell r="H428">
            <v>2493975.8238852001</v>
          </cell>
          <cell r="I428">
            <v>1116630.8988330001</v>
          </cell>
          <cell r="J428">
            <v>1107037.2946531</v>
          </cell>
          <cell r="K428">
            <v>2498366.7722839001</v>
          </cell>
          <cell r="L428">
            <v>1082846.9930264</v>
          </cell>
          <cell r="M428">
            <v>1079008.5711926001</v>
          </cell>
          <cell r="N428">
            <v>2079746.9281433001</v>
          </cell>
          <cell r="O428">
            <v>18977059.887425803</v>
          </cell>
        </row>
        <row r="429">
          <cell r="A429" t="str">
            <v>9931000</v>
          </cell>
          <cell r="B429" t="str">
            <v>Admin &amp; General Rents</v>
          </cell>
          <cell r="C429">
            <v>137001.09912</v>
          </cell>
          <cell r="D429">
            <v>141119.79999999999</v>
          </cell>
          <cell r="E429">
            <v>136999.09599999999</v>
          </cell>
          <cell r="F429">
            <v>136999.09599999999</v>
          </cell>
          <cell r="G429">
            <v>136999.09599999999</v>
          </cell>
          <cell r="H429">
            <v>141119.79999999999</v>
          </cell>
          <cell r="I429">
            <v>136999.09599999999</v>
          </cell>
          <cell r="J429">
            <v>136999.09599999999</v>
          </cell>
          <cell r="K429">
            <v>141119.79999999999</v>
          </cell>
          <cell r="L429">
            <v>136999.09599999999</v>
          </cell>
          <cell r="M429">
            <v>136999.09599999999</v>
          </cell>
          <cell r="N429">
            <v>141329.46400000001</v>
          </cell>
          <cell r="O429">
            <v>1660683.6351199998</v>
          </cell>
        </row>
        <row r="430">
          <cell r="A430" t="str">
            <v>9932000</v>
          </cell>
          <cell r="B430" t="str">
            <v>Admin &amp; General Gas Maintenance of General Plant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9935000</v>
          </cell>
          <cell r="B431" t="str">
            <v>Admin &amp; General Elec Maintenance of General Plant</v>
          </cell>
          <cell r="C431">
            <v>393267.34986000002</v>
          </cell>
          <cell r="D431">
            <v>325031.71202189999</v>
          </cell>
          <cell r="E431">
            <v>368029.9284339</v>
          </cell>
          <cell r="F431">
            <v>351064.20645689999</v>
          </cell>
          <cell r="G431">
            <v>336001.74044239998</v>
          </cell>
          <cell r="H431">
            <v>368554.30076970003</v>
          </cell>
          <cell r="I431">
            <v>358402.33598879998</v>
          </cell>
          <cell r="J431">
            <v>349027.16284890001</v>
          </cell>
          <cell r="K431">
            <v>364234.9854452</v>
          </cell>
          <cell r="L431">
            <v>339034.66583130002</v>
          </cell>
          <cell r="M431">
            <v>343645.085349</v>
          </cell>
          <cell r="N431">
            <v>387094.5725141</v>
          </cell>
          <cell r="O431">
            <v>4283388.0459621008</v>
          </cell>
        </row>
        <row r="432">
          <cell r="A432" t="str">
            <v>9999996</v>
          </cell>
          <cell r="B432" t="str">
            <v>FERC Intercompany Receivable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9999997</v>
          </cell>
          <cell r="B433" t="str">
            <v>FERC Intercompany Payable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9999998</v>
          </cell>
          <cell r="B434" t="str">
            <v>FERC Balance Sheet Offset Account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 t="str">
            <v>9999999</v>
          </cell>
          <cell r="B435" t="str">
            <v>FERC P&amp;L Offset Account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</row>
      </sheetData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ULTRAUS"/>
      <sheetName val="ULTCONSOL"/>
      <sheetName val="TCAEUS"/>
      <sheetName val="TCAEUS-QTR"/>
      <sheetName val="GOCONSOL"/>
      <sheetName val="SJCONSOL"/>
      <sheetName val="IPCONSOL"/>
      <sheetName val="TEJASCONSOL"/>
      <sheetName val="PVCONSOL"/>
      <sheetName val="TPSPVCONS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3"/>
      <sheetName val="E-13a"/>
      <sheetName val="E-13b"/>
      <sheetName val="E-13c"/>
      <sheetName val="E-13d"/>
      <sheetName val="F-14"/>
      <sheetName val="E-16"/>
      <sheetName val="F-4"/>
      <sheetName val="Data-Histor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.bin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4.bin"/><Relationship Id="rId1" Type="http://schemas.openxmlformats.org/officeDocument/2006/relationships/customProperty" Target="../customProperty2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8.bin"/><Relationship Id="rId1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6.bin"/><Relationship Id="rId1" Type="http://schemas.openxmlformats.org/officeDocument/2006/relationships/customProperty" Target="../customProperty15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customProperty" Target="../customProperty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1BD8-F59B-4043-81AB-4780FA381CD8}">
  <sheetPr>
    <tabColor rgb="FFFF0000"/>
  </sheetPr>
  <dimension ref="A1:AC106"/>
  <sheetViews>
    <sheetView topLeftCell="A61" zoomScaleNormal="100" zoomScaleSheetLayoutView="100" workbookViewId="0">
      <selection activeCell="X22" sqref="X22"/>
    </sheetView>
  </sheetViews>
  <sheetFormatPr defaultColWidth="9" defaultRowHeight="14.1" customHeight="1" x14ac:dyDescent="0.2"/>
  <cols>
    <col min="1" max="1" width="3.5546875" style="3" customWidth="1"/>
    <col min="2" max="2" width="5.6640625" style="3" customWidth="1"/>
    <col min="3" max="3" width="11.88671875" style="3" customWidth="1"/>
    <col min="4" max="18" width="9.5546875" style="3" customWidth="1"/>
    <col min="19" max="19" width="12.6640625" style="3" customWidth="1"/>
    <col min="20" max="256" width="9" style="3"/>
    <col min="257" max="257" width="3.5546875" style="3" customWidth="1"/>
    <col min="258" max="258" width="5.6640625" style="3" customWidth="1"/>
    <col min="259" max="274" width="9.5546875" style="3" customWidth="1"/>
    <col min="275" max="275" width="10.6640625" style="3" customWidth="1"/>
    <col min="276" max="512" width="9" style="3"/>
    <col min="513" max="513" width="3.5546875" style="3" customWidth="1"/>
    <col min="514" max="514" width="5.6640625" style="3" customWidth="1"/>
    <col min="515" max="530" width="9.5546875" style="3" customWidth="1"/>
    <col min="531" max="531" width="10.6640625" style="3" customWidth="1"/>
    <col min="532" max="768" width="9" style="3"/>
    <col min="769" max="769" width="3.5546875" style="3" customWidth="1"/>
    <col min="770" max="770" width="5.6640625" style="3" customWidth="1"/>
    <col min="771" max="786" width="9.5546875" style="3" customWidth="1"/>
    <col min="787" max="787" width="10.6640625" style="3" customWidth="1"/>
    <col min="788" max="1024" width="9" style="3"/>
    <col min="1025" max="1025" width="3.5546875" style="3" customWidth="1"/>
    <col min="1026" max="1026" width="5.6640625" style="3" customWidth="1"/>
    <col min="1027" max="1042" width="9.5546875" style="3" customWidth="1"/>
    <col min="1043" max="1043" width="10.6640625" style="3" customWidth="1"/>
    <col min="1044" max="1280" width="9" style="3"/>
    <col min="1281" max="1281" width="3.5546875" style="3" customWidth="1"/>
    <col min="1282" max="1282" width="5.6640625" style="3" customWidth="1"/>
    <col min="1283" max="1298" width="9.5546875" style="3" customWidth="1"/>
    <col min="1299" max="1299" width="10.6640625" style="3" customWidth="1"/>
    <col min="1300" max="1536" width="9" style="3"/>
    <col min="1537" max="1537" width="3.5546875" style="3" customWidth="1"/>
    <col min="1538" max="1538" width="5.6640625" style="3" customWidth="1"/>
    <col min="1539" max="1554" width="9.5546875" style="3" customWidth="1"/>
    <col min="1555" max="1555" width="10.6640625" style="3" customWidth="1"/>
    <col min="1556" max="1792" width="9" style="3"/>
    <col min="1793" max="1793" width="3.5546875" style="3" customWidth="1"/>
    <col min="1794" max="1794" width="5.6640625" style="3" customWidth="1"/>
    <col min="1795" max="1810" width="9.5546875" style="3" customWidth="1"/>
    <col min="1811" max="1811" width="10.6640625" style="3" customWidth="1"/>
    <col min="1812" max="2048" width="9" style="3"/>
    <col min="2049" max="2049" width="3.5546875" style="3" customWidth="1"/>
    <col min="2050" max="2050" width="5.6640625" style="3" customWidth="1"/>
    <col min="2051" max="2066" width="9.5546875" style="3" customWidth="1"/>
    <col min="2067" max="2067" width="10.6640625" style="3" customWidth="1"/>
    <col min="2068" max="2304" width="9" style="3"/>
    <col min="2305" max="2305" width="3.5546875" style="3" customWidth="1"/>
    <col min="2306" max="2306" width="5.6640625" style="3" customWidth="1"/>
    <col min="2307" max="2322" width="9.5546875" style="3" customWidth="1"/>
    <col min="2323" max="2323" width="10.6640625" style="3" customWidth="1"/>
    <col min="2324" max="2560" width="9" style="3"/>
    <col min="2561" max="2561" width="3.5546875" style="3" customWidth="1"/>
    <col min="2562" max="2562" width="5.6640625" style="3" customWidth="1"/>
    <col min="2563" max="2578" width="9.5546875" style="3" customWidth="1"/>
    <col min="2579" max="2579" width="10.6640625" style="3" customWidth="1"/>
    <col min="2580" max="2816" width="9" style="3"/>
    <col min="2817" max="2817" width="3.5546875" style="3" customWidth="1"/>
    <col min="2818" max="2818" width="5.6640625" style="3" customWidth="1"/>
    <col min="2819" max="2834" width="9.5546875" style="3" customWidth="1"/>
    <col min="2835" max="2835" width="10.6640625" style="3" customWidth="1"/>
    <col min="2836" max="3072" width="9" style="3"/>
    <col min="3073" max="3073" width="3.5546875" style="3" customWidth="1"/>
    <col min="3074" max="3074" width="5.6640625" style="3" customWidth="1"/>
    <col min="3075" max="3090" width="9.5546875" style="3" customWidth="1"/>
    <col min="3091" max="3091" width="10.6640625" style="3" customWidth="1"/>
    <col min="3092" max="3328" width="9" style="3"/>
    <col min="3329" max="3329" width="3.5546875" style="3" customWidth="1"/>
    <col min="3330" max="3330" width="5.6640625" style="3" customWidth="1"/>
    <col min="3331" max="3346" width="9.5546875" style="3" customWidth="1"/>
    <col min="3347" max="3347" width="10.6640625" style="3" customWidth="1"/>
    <col min="3348" max="3584" width="9" style="3"/>
    <col min="3585" max="3585" width="3.5546875" style="3" customWidth="1"/>
    <col min="3586" max="3586" width="5.6640625" style="3" customWidth="1"/>
    <col min="3587" max="3602" width="9.5546875" style="3" customWidth="1"/>
    <col min="3603" max="3603" width="10.6640625" style="3" customWidth="1"/>
    <col min="3604" max="3840" width="9" style="3"/>
    <col min="3841" max="3841" width="3.5546875" style="3" customWidth="1"/>
    <col min="3842" max="3842" width="5.6640625" style="3" customWidth="1"/>
    <col min="3843" max="3858" width="9.5546875" style="3" customWidth="1"/>
    <col min="3859" max="3859" width="10.6640625" style="3" customWidth="1"/>
    <col min="3860" max="4096" width="9" style="3"/>
    <col min="4097" max="4097" width="3.5546875" style="3" customWidth="1"/>
    <col min="4098" max="4098" width="5.6640625" style="3" customWidth="1"/>
    <col min="4099" max="4114" width="9.5546875" style="3" customWidth="1"/>
    <col min="4115" max="4115" width="10.6640625" style="3" customWidth="1"/>
    <col min="4116" max="4352" width="9" style="3"/>
    <col min="4353" max="4353" width="3.5546875" style="3" customWidth="1"/>
    <col min="4354" max="4354" width="5.6640625" style="3" customWidth="1"/>
    <col min="4355" max="4370" width="9.5546875" style="3" customWidth="1"/>
    <col min="4371" max="4371" width="10.6640625" style="3" customWidth="1"/>
    <col min="4372" max="4608" width="9" style="3"/>
    <col min="4609" max="4609" width="3.5546875" style="3" customWidth="1"/>
    <col min="4610" max="4610" width="5.6640625" style="3" customWidth="1"/>
    <col min="4611" max="4626" width="9.5546875" style="3" customWidth="1"/>
    <col min="4627" max="4627" width="10.6640625" style="3" customWidth="1"/>
    <col min="4628" max="4864" width="9" style="3"/>
    <col min="4865" max="4865" width="3.5546875" style="3" customWidth="1"/>
    <col min="4866" max="4866" width="5.6640625" style="3" customWidth="1"/>
    <col min="4867" max="4882" width="9.5546875" style="3" customWidth="1"/>
    <col min="4883" max="4883" width="10.6640625" style="3" customWidth="1"/>
    <col min="4884" max="5120" width="9" style="3"/>
    <col min="5121" max="5121" width="3.5546875" style="3" customWidth="1"/>
    <col min="5122" max="5122" width="5.6640625" style="3" customWidth="1"/>
    <col min="5123" max="5138" width="9.5546875" style="3" customWidth="1"/>
    <col min="5139" max="5139" width="10.6640625" style="3" customWidth="1"/>
    <col min="5140" max="5376" width="9" style="3"/>
    <col min="5377" max="5377" width="3.5546875" style="3" customWidth="1"/>
    <col min="5378" max="5378" width="5.6640625" style="3" customWidth="1"/>
    <col min="5379" max="5394" width="9.5546875" style="3" customWidth="1"/>
    <col min="5395" max="5395" width="10.6640625" style="3" customWidth="1"/>
    <col min="5396" max="5632" width="9" style="3"/>
    <col min="5633" max="5633" width="3.5546875" style="3" customWidth="1"/>
    <col min="5634" max="5634" width="5.6640625" style="3" customWidth="1"/>
    <col min="5635" max="5650" width="9.5546875" style="3" customWidth="1"/>
    <col min="5651" max="5651" width="10.6640625" style="3" customWidth="1"/>
    <col min="5652" max="5888" width="9" style="3"/>
    <col min="5889" max="5889" width="3.5546875" style="3" customWidth="1"/>
    <col min="5890" max="5890" width="5.6640625" style="3" customWidth="1"/>
    <col min="5891" max="5906" width="9.5546875" style="3" customWidth="1"/>
    <col min="5907" max="5907" width="10.6640625" style="3" customWidth="1"/>
    <col min="5908" max="6144" width="9" style="3"/>
    <col min="6145" max="6145" width="3.5546875" style="3" customWidth="1"/>
    <col min="6146" max="6146" width="5.6640625" style="3" customWidth="1"/>
    <col min="6147" max="6162" width="9.5546875" style="3" customWidth="1"/>
    <col min="6163" max="6163" width="10.6640625" style="3" customWidth="1"/>
    <col min="6164" max="6400" width="9" style="3"/>
    <col min="6401" max="6401" width="3.5546875" style="3" customWidth="1"/>
    <col min="6402" max="6402" width="5.6640625" style="3" customWidth="1"/>
    <col min="6403" max="6418" width="9.5546875" style="3" customWidth="1"/>
    <col min="6419" max="6419" width="10.6640625" style="3" customWidth="1"/>
    <col min="6420" max="6656" width="9" style="3"/>
    <col min="6657" max="6657" width="3.5546875" style="3" customWidth="1"/>
    <col min="6658" max="6658" width="5.6640625" style="3" customWidth="1"/>
    <col min="6659" max="6674" width="9.5546875" style="3" customWidth="1"/>
    <col min="6675" max="6675" width="10.6640625" style="3" customWidth="1"/>
    <col min="6676" max="6912" width="9" style="3"/>
    <col min="6913" max="6913" width="3.5546875" style="3" customWidth="1"/>
    <col min="6914" max="6914" width="5.6640625" style="3" customWidth="1"/>
    <col min="6915" max="6930" width="9.5546875" style="3" customWidth="1"/>
    <col min="6931" max="6931" width="10.6640625" style="3" customWidth="1"/>
    <col min="6932" max="7168" width="9" style="3"/>
    <col min="7169" max="7169" width="3.5546875" style="3" customWidth="1"/>
    <col min="7170" max="7170" width="5.6640625" style="3" customWidth="1"/>
    <col min="7171" max="7186" width="9.5546875" style="3" customWidth="1"/>
    <col min="7187" max="7187" width="10.6640625" style="3" customWidth="1"/>
    <col min="7188" max="7424" width="9" style="3"/>
    <col min="7425" max="7425" width="3.5546875" style="3" customWidth="1"/>
    <col min="7426" max="7426" width="5.6640625" style="3" customWidth="1"/>
    <col min="7427" max="7442" width="9.5546875" style="3" customWidth="1"/>
    <col min="7443" max="7443" width="10.6640625" style="3" customWidth="1"/>
    <col min="7444" max="7680" width="9" style="3"/>
    <col min="7681" max="7681" width="3.5546875" style="3" customWidth="1"/>
    <col min="7682" max="7682" width="5.6640625" style="3" customWidth="1"/>
    <col min="7683" max="7698" width="9.5546875" style="3" customWidth="1"/>
    <col min="7699" max="7699" width="10.6640625" style="3" customWidth="1"/>
    <col min="7700" max="7936" width="9" style="3"/>
    <col min="7937" max="7937" width="3.5546875" style="3" customWidth="1"/>
    <col min="7938" max="7938" width="5.6640625" style="3" customWidth="1"/>
    <col min="7939" max="7954" width="9.5546875" style="3" customWidth="1"/>
    <col min="7955" max="7955" width="10.6640625" style="3" customWidth="1"/>
    <col min="7956" max="8192" width="9" style="3"/>
    <col min="8193" max="8193" width="3.5546875" style="3" customWidth="1"/>
    <col min="8194" max="8194" width="5.6640625" style="3" customWidth="1"/>
    <col min="8195" max="8210" width="9.5546875" style="3" customWidth="1"/>
    <col min="8211" max="8211" width="10.6640625" style="3" customWidth="1"/>
    <col min="8212" max="8448" width="9" style="3"/>
    <col min="8449" max="8449" width="3.5546875" style="3" customWidth="1"/>
    <col min="8450" max="8450" width="5.6640625" style="3" customWidth="1"/>
    <col min="8451" max="8466" width="9.5546875" style="3" customWidth="1"/>
    <col min="8467" max="8467" width="10.6640625" style="3" customWidth="1"/>
    <col min="8468" max="8704" width="9" style="3"/>
    <col min="8705" max="8705" width="3.5546875" style="3" customWidth="1"/>
    <col min="8706" max="8706" width="5.6640625" style="3" customWidth="1"/>
    <col min="8707" max="8722" width="9.5546875" style="3" customWidth="1"/>
    <col min="8723" max="8723" width="10.6640625" style="3" customWidth="1"/>
    <col min="8724" max="8960" width="9" style="3"/>
    <col min="8961" max="8961" width="3.5546875" style="3" customWidth="1"/>
    <col min="8962" max="8962" width="5.6640625" style="3" customWidth="1"/>
    <col min="8963" max="8978" width="9.5546875" style="3" customWidth="1"/>
    <col min="8979" max="8979" width="10.6640625" style="3" customWidth="1"/>
    <col min="8980" max="9216" width="9" style="3"/>
    <col min="9217" max="9217" width="3.5546875" style="3" customWidth="1"/>
    <col min="9218" max="9218" width="5.6640625" style="3" customWidth="1"/>
    <col min="9219" max="9234" width="9.5546875" style="3" customWidth="1"/>
    <col min="9235" max="9235" width="10.6640625" style="3" customWidth="1"/>
    <col min="9236" max="9472" width="9" style="3"/>
    <col min="9473" max="9473" width="3.5546875" style="3" customWidth="1"/>
    <col min="9474" max="9474" width="5.6640625" style="3" customWidth="1"/>
    <col min="9475" max="9490" width="9.5546875" style="3" customWidth="1"/>
    <col min="9491" max="9491" width="10.6640625" style="3" customWidth="1"/>
    <col min="9492" max="9728" width="9" style="3"/>
    <col min="9729" max="9729" width="3.5546875" style="3" customWidth="1"/>
    <col min="9730" max="9730" width="5.6640625" style="3" customWidth="1"/>
    <col min="9731" max="9746" width="9.5546875" style="3" customWidth="1"/>
    <col min="9747" max="9747" width="10.6640625" style="3" customWidth="1"/>
    <col min="9748" max="9984" width="9" style="3"/>
    <col min="9985" max="9985" width="3.5546875" style="3" customWidth="1"/>
    <col min="9986" max="9986" width="5.6640625" style="3" customWidth="1"/>
    <col min="9987" max="10002" width="9.5546875" style="3" customWidth="1"/>
    <col min="10003" max="10003" width="10.6640625" style="3" customWidth="1"/>
    <col min="10004" max="10240" width="9" style="3"/>
    <col min="10241" max="10241" width="3.5546875" style="3" customWidth="1"/>
    <col min="10242" max="10242" width="5.6640625" style="3" customWidth="1"/>
    <col min="10243" max="10258" width="9.5546875" style="3" customWidth="1"/>
    <col min="10259" max="10259" width="10.6640625" style="3" customWidth="1"/>
    <col min="10260" max="10496" width="9" style="3"/>
    <col min="10497" max="10497" width="3.5546875" style="3" customWidth="1"/>
    <col min="10498" max="10498" width="5.6640625" style="3" customWidth="1"/>
    <col min="10499" max="10514" width="9.5546875" style="3" customWidth="1"/>
    <col min="10515" max="10515" width="10.6640625" style="3" customWidth="1"/>
    <col min="10516" max="10752" width="9" style="3"/>
    <col min="10753" max="10753" width="3.5546875" style="3" customWidth="1"/>
    <col min="10754" max="10754" width="5.6640625" style="3" customWidth="1"/>
    <col min="10755" max="10770" width="9.5546875" style="3" customWidth="1"/>
    <col min="10771" max="10771" width="10.6640625" style="3" customWidth="1"/>
    <col min="10772" max="11008" width="9" style="3"/>
    <col min="11009" max="11009" width="3.5546875" style="3" customWidth="1"/>
    <col min="11010" max="11010" width="5.6640625" style="3" customWidth="1"/>
    <col min="11011" max="11026" width="9.5546875" style="3" customWidth="1"/>
    <col min="11027" max="11027" width="10.6640625" style="3" customWidth="1"/>
    <col min="11028" max="11264" width="9" style="3"/>
    <col min="11265" max="11265" width="3.5546875" style="3" customWidth="1"/>
    <col min="11266" max="11266" width="5.6640625" style="3" customWidth="1"/>
    <col min="11267" max="11282" width="9.5546875" style="3" customWidth="1"/>
    <col min="11283" max="11283" width="10.6640625" style="3" customWidth="1"/>
    <col min="11284" max="11520" width="9" style="3"/>
    <col min="11521" max="11521" width="3.5546875" style="3" customWidth="1"/>
    <col min="11522" max="11522" width="5.6640625" style="3" customWidth="1"/>
    <col min="11523" max="11538" width="9.5546875" style="3" customWidth="1"/>
    <col min="11539" max="11539" width="10.6640625" style="3" customWidth="1"/>
    <col min="11540" max="11776" width="9" style="3"/>
    <col min="11777" max="11777" width="3.5546875" style="3" customWidth="1"/>
    <col min="11778" max="11778" width="5.6640625" style="3" customWidth="1"/>
    <col min="11779" max="11794" width="9.5546875" style="3" customWidth="1"/>
    <col min="11795" max="11795" width="10.6640625" style="3" customWidth="1"/>
    <col min="11796" max="12032" width="9" style="3"/>
    <col min="12033" max="12033" width="3.5546875" style="3" customWidth="1"/>
    <col min="12034" max="12034" width="5.6640625" style="3" customWidth="1"/>
    <col min="12035" max="12050" width="9.5546875" style="3" customWidth="1"/>
    <col min="12051" max="12051" width="10.6640625" style="3" customWidth="1"/>
    <col min="12052" max="12288" width="9" style="3"/>
    <col min="12289" max="12289" width="3.5546875" style="3" customWidth="1"/>
    <col min="12290" max="12290" width="5.6640625" style="3" customWidth="1"/>
    <col min="12291" max="12306" width="9.5546875" style="3" customWidth="1"/>
    <col min="12307" max="12307" width="10.6640625" style="3" customWidth="1"/>
    <col min="12308" max="12544" width="9" style="3"/>
    <col min="12545" max="12545" width="3.5546875" style="3" customWidth="1"/>
    <col min="12546" max="12546" width="5.6640625" style="3" customWidth="1"/>
    <col min="12547" max="12562" width="9.5546875" style="3" customWidth="1"/>
    <col min="12563" max="12563" width="10.6640625" style="3" customWidth="1"/>
    <col min="12564" max="12800" width="9" style="3"/>
    <col min="12801" max="12801" width="3.5546875" style="3" customWidth="1"/>
    <col min="12802" max="12802" width="5.6640625" style="3" customWidth="1"/>
    <col min="12803" max="12818" width="9.5546875" style="3" customWidth="1"/>
    <col min="12819" max="12819" width="10.6640625" style="3" customWidth="1"/>
    <col min="12820" max="13056" width="9" style="3"/>
    <col min="13057" max="13057" width="3.5546875" style="3" customWidth="1"/>
    <col min="13058" max="13058" width="5.6640625" style="3" customWidth="1"/>
    <col min="13059" max="13074" width="9.5546875" style="3" customWidth="1"/>
    <col min="13075" max="13075" width="10.6640625" style="3" customWidth="1"/>
    <col min="13076" max="13312" width="9" style="3"/>
    <col min="13313" max="13313" width="3.5546875" style="3" customWidth="1"/>
    <col min="13314" max="13314" width="5.6640625" style="3" customWidth="1"/>
    <col min="13315" max="13330" width="9.5546875" style="3" customWidth="1"/>
    <col min="13331" max="13331" width="10.6640625" style="3" customWidth="1"/>
    <col min="13332" max="13568" width="9" style="3"/>
    <col min="13569" max="13569" width="3.5546875" style="3" customWidth="1"/>
    <col min="13570" max="13570" width="5.6640625" style="3" customWidth="1"/>
    <col min="13571" max="13586" width="9.5546875" style="3" customWidth="1"/>
    <col min="13587" max="13587" width="10.6640625" style="3" customWidth="1"/>
    <col min="13588" max="13824" width="9" style="3"/>
    <col min="13825" max="13825" width="3.5546875" style="3" customWidth="1"/>
    <col min="13826" max="13826" width="5.6640625" style="3" customWidth="1"/>
    <col min="13827" max="13842" width="9.5546875" style="3" customWidth="1"/>
    <col min="13843" max="13843" width="10.6640625" style="3" customWidth="1"/>
    <col min="13844" max="14080" width="9" style="3"/>
    <col min="14081" max="14081" width="3.5546875" style="3" customWidth="1"/>
    <col min="14082" max="14082" width="5.6640625" style="3" customWidth="1"/>
    <col min="14083" max="14098" width="9.5546875" style="3" customWidth="1"/>
    <col min="14099" max="14099" width="10.6640625" style="3" customWidth="1"/>
    <col min="14100" max="14336" width="9" style="3"/>
    <col min="14337" max="14337" width="3.5546875" style="3" customWidth="1"/>
    <col min="14338" max="14338" width="5.6640625" style="3" customWidth="1"/>
    <col min="14339" max="14354" width="9.5546875" style="3" customWidth="1"/>
    <col min="14355" max="14355" width="10.6640625" style="3" customWidth="1"/>
    <col min="14356" max="14592" width="9" style="3"/>
    <col min="14593" max="14593" width="3.5546875" style="3" customWidth="1"/>
    <col min="14594" max="14594" width="5.6640625" style="3" customWidth="1"/>
    <col min="14595" max="14610" width="9.5546875" style="3" customWidth="1"/>
    <col min="14611" max="14611" width="10.6640625" style="3" customWidth="1"/>
    <col min="14612" max="14848" width="9" style="3"/>
    <col min="14849" max="14849" width="3.5546875" style="3" customWidth="1"/>
    <col min="14850" max="14850" width="5.6640625" style="3" customWidth="1"/>
    <col min="14851" max="14866" width="9.5546875" style="3" customWidth="1"/>
    <col min="14867" max="14867" width="10.6640625" style="3" customWidth="1"/>
    <col min="14868" max="15104" width="9" style="3"/>
    <col min="15105" max="15105" width="3.5546875" style="3" customWidth="1"/>
    <col min="15106" max="15106" width="5.6640625" style="3" customWidth="1"/>
    <col min="15107" max="15122" width="9.5546875" style="3" customWidth="1"/>
    <col min="15123" max="15123" width="10.6640625" style="3" customWidth="1"/>
    <col min="15124" max="15360" width="9" style="3"/>
    <col min="15361" max="15361" width="3.5546875" style="3" customWidth="1"/>
    <col min="15362" max="15362" width="5.6640625" style="3" customWidth="1"/>
    <col min="15363" max="15378" width="9.5546875" style="3" customWidth="1"/>
    <col min="15379" max="15379" width="10.6640625" style="3" customWidth="1"/>
    <col min="15380" max="15616" width="9" style="3"/>
    <col min="15617" max="15617" width="3.5546875" style="3" customWidth="1"/>
    <col min="15618" max="15618" width="5.6640625" style="3" customWidth="1"/>
    <col min="15619" max="15634" width="9.5546875" style="3" customWidth="1"/>
    <col min="15635" max="15635" width="10.6640625" style="3" customWidth="1"/>
    <col min="15636" max="15872" width="9" style="3"/>
    <col min="15873" max="15873" width="3.5546875" style="3" customWidth="1"/>
    <col min="15874" max="15874" width="5.6640625" style="3" customWidth="1"/>
    <col min="15875" max="15890" width="9.5546875" style="3" customWidth="1"/>
    <col min="15891" max="15891" width="10.6640625" style="3" customWidth="1"/>
    <col min="15892" max="16128" width="9" style="3"/>
    <col min="16129" max="16129" width="3.5546875" style="3" customWidth="1"/>
    <col min="16130" max="16130" width="5.6640625" style="3" customWidth="1"/>
    <col min="16131" max="16146" width="9.5546875" style="3" customWidth="1"/>
    <col min="16147" max="16147" width="10.6640625" style="3" customWidth="1"/>
    <col min="16148" max="16384" width="9" style="3"/>
  </cols>
  <sheetData>
    <row r="1" spans="1:29" ht="14.1" customHeight="1" thickBot="1" x14ac:dyDescent="0.25">
      <c r="A1" s="1" t="s">
        <v>0</v>
      </c>
      <c r="B1" s="2"/>
      <c r="C1" s="2"/>
      <c r="D1" s="2"/>
      <c r="E1" s="2"/>
      <c r="F1" s="2"/>
      <c r="G1" s="2"/>
      <c r="H1" s="2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2" t="s">
        <v>2</v>
      </c>
    </row>
    <row r="2" spans="1:29" ht="14.1" customHeight="1" x14ac:dyDescent="0.2">
      <c r="A2" s="3" t="s">
        <v>3</v>
      </c>
      <c r="F2" s="4" t="s">
        <v>4</v>
      </c>
      <c r="G2" s="3" t="s">
        <v>5</v>
      </c>
      <c r="K2" s="5"/>
      <c r="L2" s="5"/>
      <c r="N2" s="5"/>
      <c r="O2" s="5"/>
      <c r="P2" s="5" t="s">
        <v>6</v>
      </c>
      <c r="S2" s="6"/>
    </row>
    <row r="3" spans="1:29" ht="14.1" customHeight="1" x14ac:dyDescent="0.2">
      <c r="G3" s="3" t="s">
        <v>7</v>
      </c>
      <c r="K3" s="4"/>
      <c r="L3" s="6"/>
      <c r="O3" s="4"/>
      <c r="P3" s="4" t="s">
        <v>8</v>
      </c>
      <c r="Q3" s="7" t="s">
        <v>9</v>
      </c>
      <c r="R3" s="8"/>
      <c r="S3" s="9"/>
      <c r="T3" s="8"/>
      <c r="U3" s="8"/>
      <c r="V3" s="8"/>
      <c r="W3" s="8"/>
    </row>
    <row r="4" spans="1:29" ht="14.1" customHeight="1" x14ac:dyDescent="0.2">
      <c r="A4" s="3" t="s">
        <v>10</v>
      </c>
      <c r="G4" s="3" t="s">
        <v>11</v>
      </c>
      <c r="K4" s="4"/>
      <c r="L4" s="6"/>
      <c r="M4" s="4"/>
      <c r="P4" s="4" t="s">
        <v>8</v>
      </c>
      <c r="Q4" s="7" t="s">
        <v>12</v>
      </c>
      <c r="R4" s="8"/>
      <c r="S4" s="9"/>
      <c r="T4" s="8"/>
      <c r="U4" s="8"/>
      <c r="V4" s="8"/>
      <c r="W4" s="8"/>
    </row>
    <row r="5" spans="1:29" ht="14.1" customHeight="1" x14ac:dyDescent="0.2">
      <c r="G5" s="3" t="s">
        <v>11</v>
      </c>
      <c r="K5" s="4"/>
      <c r="L5" s="6"/>
      <c r="M5" s="4"/>
      <c r="P5" s="4" t="s">
        <v>11</v>
      </c>
      <c r="Q5" s="7" t="s">
        <v>13</v>
      </c>
      <c r="R5" s="8"/>
      <c r="S5" s="9"/>
      <c r="T5" s="8"/>
      <c r="U5" s="8"/>
      <c r="V5" s="8"/>
      <c r="W5" s="8"/>
    </row>
    <row r="6" spans="1:29" ht="14.1" customHeight="1" x14ac:dyDescent="0.2">
      <c r="G6" s="3" t="s">
        <v>11</v>
      </c>
      <c r="K6" s="4"/>
      <c r="L6" s="6"/>
      <c r="M6" s="4"/>
      <c r="P6" s="4"/>
      <c r="Q6" s="10" t="s">
        <v>14</v>
      </c>
      <c r="S6" s="4"/>
    </row>
    <row r="7" spans="1:29" ht="14.1" customHeight="1" thickBot="1" x14ac:dyDescent="0.25">
      <c r="A7" s="2" t="s">
        <v>15</v>
      </c>
      <c r="B7" s="2"/>
      <c r="C7" s="2"/>
      <c r="D7" s="2"/>
      <c r="E7" s="2"/>
      <c r="F7" s="2"/>
      <c r="G7" s="2"/>
      <c r="H7" s="2"/>
      <c r="I7" s="11" t="s">
        <v>16</v>
      </c>
      <c r="J7" s="2"/>
      <c r="K7" s="2"/>
      <c r="L7" s="2"/>
      <c r="M7" s="2"/>
      <c r="N7" s="2"/>
      <c r="O7" s="2"/>
      <c r="P7" s="2"/>
      <c r="Q7" s="12" t="s">
        <v>17</v>
      </c>
      <c r="R7" s="2"/>
      <c r="S7" s="2"/>
    </row>
    <row r="8" spans="1:29" ht="14.1" customHeight="1" x14ac:dyDescent="0.2">
      <c r="B8" s="13"/>
      <c r="C8" s="14" t="s">
        <v>18</v>
      </c>
      <c r="D8" s="14"/>
      <c r="E8" s="15" t="s">
        <v>19</v>
      </c>
      <c r="F8" s="14"/>
      <c r="G8" s="14"/>
      <c r="H8" s="14" t="s">
        <v>20</v>
      </c>
      <c r="I8" s="14"/>
      <c r="J8" s="14" t="s">
        <v>21</v>
      </c>
      <c r="K8" s="14"/>
      <c r="L8" s="14" t="s">
        <v>22</v>
      </c>
      <c r="M8" s="14"/>
      <c r="N8" s="14" t="s">
        <v>23</v>
      </c>
      <c r="O8" s="14"/>
      <c r="P8" s="14" t="s">
        <v>24</v>
      </c>
      <c r="Q8" s="14"/>
      <c r="R8" s="14" t="s">
        <v>25</v>
      </c>
      <c r="S8" s="14"/>
    </row>
    <row r="9" spans="1:29" ht="14.1" customHeight="1" x14ac:dyDescent="0.2">
      <c r="B9" s="13"/>
      <c r="C9" s="14"/>
      <c r="D9" s="14"/>
      <c r="E9" s="15"/>
      <c r="F9" s="14"/>
      <c r="G9" s="14"/>
      <c r="H9" s="14"/>
      <c r="I9" s="14"/>
      <c r="J9" s="14"/>
      <c r="K9" s="13"/>
      <c r="L9" s="16"/>
      <c r="M9" s="16" t="s">
        <v>26</v>
      </c>
      <c r="N9" s="17"/>
      <c r="O9" s="14"/>
      <c r="P9" s="13" t="s">
        <v>27</v>
      </c>
      <c r="Q9" s="14"/>
      <c r="R9" s="14"/>
      <c r="S9" s="14"/>
    </row>
    <row r="10" spans="1:29" ht="14.1" customHeight="1" x14ac:dyDescent="0.2">
      <c r="B10" s="13"/>
      <c r="C10" s="13"/>
      <c r="D10" s="13"/>
      <c r="F10" s="13"/>
      <c r="G10" s="13"/>
      <c r="H10" s="14" t="s">
        <v>28</v>
      </c>
      <c r="I10" s="14"/>
      <c r="J10" s="14" t="s">
        <v>29</v>
      </c>
      <c r="K10" s="13"/>
      <c r="L10" s="13" t="s">
        <v>30</v>
      </c>
      <c r="M10" s="13"/>
      <c r="N10" s="13" t="s">
        <v>31</v>
      </c>
      <c r="O10" s="13"/>
      <c r="P10" s="13" t="s">
        <v>32</v>
      </c>
      <c r="Q10" s="13"/>
      <c r="R10" s="13"/>
      <c r="S10" s="13"/>
    </row>
    <row r="11" spans="1:29" ht="14.1" customHeight="1" x14ac:dyDescent="0.2">
      <c r="A11" s="3" t="s">
        <v>33</v>
      </c>
      <c r="B11" s="13"/>
      <c r="C11" s="13" t="s">
        <v>34</v>
      </c>
      <c r="D11" s="13"/>
      <c r="F11" s="14"/>
      <c r="G11" s="13"/>
      <c r="H11" s="13" t="s">
        <v>35</v>
      </c>
      <c r="I11" s="13"/>
      <c r="J11" s="13" t="s">
        <v>35</v>
      </c>
      <c r="K11" s="14"/>
      <c r="L11" s="14" t="s">
        <v>36</v>
      </c>
      <c r="M11" s="14"/>
      <c r="N11" s="13" t="s">
        <v>37</v>
      </c>
      <c r="O11" s="13"/>
      <c r="P11" s="13" t="s">
        <v>38</v>
      </c>
      <c r="Q11" s="14"/>
      <c r="R11" s="14"/>
      <c r="S11" s="13"/>
    </row>
    <row r="12" spans="1:29" ht="14.1" customHeight="1" thickBot="1" x14ac:dyDescent="0.25">
      <c r="A12" s="2" t="s">
        <v>39</v>
      </c>
      <c r="B12" s="11"/>
      <c r="C12" s="11" t="s">
        <v>40</v>
      </c>
      <c r="D12" s="11"/>
      <c r="E12" s="2" t="s">
        <v>34</v>
      </c>
      <c r="F12" s="11"/>
      <c r="G12" s="18"/>
      <c r="H12" s="19" t="s">
        <v>41</v>
      </c>
      <c r="I12" s="18"/>
      <c r="J12" s="19" t="s">
        <v>42</v>
      </c>
      <c r="K12" s="18"/>
      <c r="L12" s="18" t="s">
        <v>43</v>
      </c>
      <c r="M12" s="20"/>
      <c r="N12" s="19" t="s">
        <v>44</v>
      </c>
      <c r="O12" s="19"/>
      <c r="P12" s="21" t="e">
        <f>#REF!*0.0005</f>
        <v>#REF!</v>
      </c>
      <c r="Q12" s="1"/>
      <c r="R12" s="1" t="s">
        <v>45</v>
      </c>
      <c r="S12" s="19"/>
    </row>
    <row r="13" spans="1:29" ht="14.1" customHeight="1" x14ac:dyDescent="0.2">
      <c r="A13" s="3">
        <v>1</v>
      </c>
      <c r="B13" s="22"/>
      <c r="S13" s="22"/>
    </row>
    <row r="14" spans="1:29" ht="14.1" customHeight="1" x14ac:dyDescent="0.2">
      <c r="A14" s="3">
        <v>2</v>
      </c>
      <c r="B14" s="23"/>
      <c r="C14" s="24">
        <v>501</v>
      </c>
      <c r="E14" s="25" t="str">
        <f>'[71]C-4 (2019)'!E20</f>
        <v>Fuel</v>
      </c>
      <c r="F14" s="26"/>
      <c r="G14" s="26"/>
      <c r="H14" s="27" t="e">
        <f>VLOOKUP($C14,#REF!,21,FALSE)/1000</f>
        <v>#REF!</v>
      </c>
      <c r="I14" s="27"/>
      <c r="J14" s="27" t="e">
        <f>VLOOKUP($C14,#REF!,19,FALSE)/1000</f>
        <v>#REF!</v>
      </c>
      <c r="K14" s="28"/>
      <c r="L14" s="28" t="e">
        <f>H14-J14</f>
        <v>#REF!</v>
      </c>
      <c r="M14" s="26"/>
      <c r="N14" s="29" t="e">
        <f>L14/J14*100</f>
        <v>#REF!</v>
      </c>
      <c r="O14" s="26"/>
      <c r="P14" s="30" t="s">
        <v>46</v>
      </c>
      <c r="Q14" s="26"/>
      <c r="R14" s="31" t="s">
        <v>47</v>
      </c>
      <c r="S14" s="28"/>
      <c r="W14" s="152" t="s">
        <v>48</v>
      </c>
      <c r="X14" s="153"/>
      <c r="Y14" s="153"/>
      <c r="Z14" s="153"/>
      <c r="AA14" s="153"/>
      <c r="AB14" s="153"/>
      <c r="AC14" s="153"/>
    </row>
    <row r="15" spans="1:29" ht="14.1" customHeight="1" x14ac:dyDescent="0.2">
      <c r="A15" s="3">
        <v>3</v>
      </c>
      <c r="B15" s="28"/>
      <c r="H15" s="32"/>
      <c r="I15" s="32"/>
      <c r="J15" s="32"/>
      <c r="K15" s="22"/>
      <c r="L15" s="22"/>
      <c r="N15" s="33"/>
      <c r="S15" s="26"/>
    </row>
    <row r="16" spans="1:29" ht="14.1" customHeight="1" x14ac:dyDescent="0.2">
      <c r="A16" s="3">
        <v>4</v>
      </c>
      <c r="B16" s="28"/>
      <c r="C16" s="24">
        <v>555</v>
      </c>
      <c r="E16" s="25" t="s">
        <v>49</v>
      </c>
      <c r="F16" s="26"/>
      <c r="G16" s="26"/>
      <c r="H16" s="27" t="e">
        <f>VLOOKUP($C16,#REF!,21,FALSE)/1000</f>
        <v>#REF!</v>
      </c>
      <c r="I16" s="27"/>
      <c r="J16" s="27" t="e">
        <f>VLOOKUP($C16,#REF!,19,FALSE)/1000</f>
        <v>#REF!</v>
      </c>
      <c r="K16" s="28"/>
      <c r="L16" s="28" t="e">
        <f>H16-J16</f>
        <v>#REF!</v>
      </c>
      <c r="M16" s="26"/>
      <c r="N16" s="29" t="e">
        <f>L16/J16*100</f>
        <v>#REF!</v>
      </c>
      <c r="O16" s="26"/>
      <c r="P16" s="30" t="s">
        <v>46</v>
      </c>
      <c r="Q16" s="26"/>
      <c r="R16" s="31" t="s">
        <v>47</v>
      </c>
    </row>
    <row r="17" spans="1:24" ht="14.1" customHeight="1" x14ac:dyDescent="0.2">
      <c r="A17" s="3">
        <v>5</v>
      </c>
      <c r="B17" s="28"/>
      <c r="C17" s="34"/>
      <c r="E17" s="25"/>
      <c r="F17" s="26"/>
      <c r="G17" s="26"/>
      <c r="H17" s="27"/>
      <c r="I17" s="27"/>
      <c r="J17" s="27"/>
      <c r="K17" s="28"/>
      <c r="L17" s="28"/>
      <c r="M17" s="26"/>
      <c r="N17" s="29"/>
      <c r="O17" s="26"/>
      <c r="P17" s="30"/>
      <c r="Q17" s="26"/>
      <c r="R17" s="31"/>
      <c r="S17" s="26"/>
    </row>
    <row r="18" spans="1:24" ht="14.1" customHeight="1" x14ac:dyDescent="0.2">
      <c r="A18" s="3">
        <v>6</v>
      </c>
      <c r="B18" s="28"/>
      <c r="C18" s="24" t="s">
        <v>50</v>
      </c>
      <c r="E18" s="25" t="s">
        <v>51</v>
      </c>
      <c r="F18" s="26"/>
      <c r="G18" s="26"/>
      <c r="H18" s="27" t="e">
        <f>VLOOKUP($V18,#REF!,20,FALSE)/1000</f>
        <v>#REF!</v>
      </c>
      <c r="I18" s="27"/>
      <c r="J18" s="27" t="e">
        <f>VLOOKUP($V18,#REF!,18,FALSE)/1000</f>
        <v>#REF!</v>
      </c>
      <c r="K18" s="28"/>
      <c r="L18" s="28" t="e">
        <f>H18-J18</f>
        <v>#REF!</v>
      </c>
      <c r="M18" s="26"/>
      <c r="N18" s="29" t="e">
        <f>L18/J18*100</f>
        <v>#REF!</v>
      </c>
      <c r="O18" s="26"/>
      <c r="P18" s="30" t="s">
        <v>46</v>
      </c>
      <c r="Q18" s="26"/>
      <c r="R18" s="31" t="s">
        <v>47</v>
      </c>
      <c r="S18" s="26"/>
      <c r="V18" s="24">
        <v>4073021</v>
      </c>
      <c r="X18" s="25" t="s">
        <v>52</v>
      </c>
    </row>
    <row r="19" spans="1:24" ht="14.1" customHeight="1" x14ac:dyDescent="0.2">
      <c r="A19" s="3">
        <v>7</v>
      </c>
      <c r="B19" s="28"/>
      <c r="C19" s="34"/>
      <c r="E19" s="25"/>
      <c r="F19" s="26"/>
      <c r="G19" s="26"/>
      <c r="H19" s="27"/>
      <c r="I19" s="27"/>
      <c r="J19" s="27"/>
      <c r="K19" s="28"/>
      <c r="L19" s="28"/>
      <c r="M19" s="26"/>
      <c r="N19" s="29"/>
      <c r="O19" s="26"/>
      <c r="P19" s="30"/>
      <c r="Q19" s="26"/>
      <c r="R19" s="31"/>
      <c r="S19" s="26"/>
      <c r="V19" s="34"/>
      <c r="X19" s="25"/>
    </row>
    <row r="20" spans="1:24" ht="14.1" customHeight="1" x14ac:dyDescent="0.2">
      <c r="A20" s="3">
        <v>8</v>
      </c>
      <c r="B20" s="28"/>
      <c r="C20" s="24" t="s">
        <v>50</v>
      </c>
      <c r="E20" s="25" t="s">
        <v>53</v>
      </c>
      <c r="F20" s="26"/>
      <c r="G20" s="26"/>
      <c r="H20" s="27" t="e">
        <f>VLOOKUP($V20,#REF!,20,FALSE)/1000</f>
        <v>#REF!</v>
      </c>
      <c r="I20" s="27"/>
      <c r="J20" s="27" t="e">
        <f>VLOOKUP($V20,#REF!,18,FALSE)/1000</f>
        <v>#REF!</v>
      </c>
      <c r="K20" s="28"/>
      <c r="L20" s="28" t="e">
        <f>H20-J20</f>
        <v>#REF!</v>
      </c>
      <c r="M20" s="26"/>
      <c r="N20" s="29" t="e">
        <f>L20/J20*100</f>
        <v>#REF!</v>
      </c>
      <c r="O20" s="26"/>
      <c r="P20" s="30" t="s">
        <v>46</v>
      </c>
      <c r="Q20" s="26"/>
      <c r="R20" s="31" t="s">
        <v>47</v>
      </c>
      <c r="S20" s="26"/>
      <c r="V20" s="24">
        <v>4073051</v>
      </c>
      <c r="X20" s="25" t="s">
        <v>54</v>
      </c>
    </row>
    <row r="21" spans="1:24" ht="14.1" customHeight="1" x14ac:dyDescent="0.2">
      <c r="A21" s="3">
        <v>9</v>
      </c>
      <c r="B21" s="28"/>
      <c r="C21" s="34"/>
      <c r="E21" s="25"/>
      <c r="H21" s="27"/>
      <c r="I21" s="27"/>
      <c r="J21" s="27"/>
      <c r="K21" s="28"/>
      <c r="L21" s="28"/>
      <c r="M21" s="26"/>
      <c r="N21" s="29"/>
      <c r="S21" s="26"/>
      <c r="V21" s="34"/>
      <c r="X21" s="25"/>
    </row>
    <row r="22" spans="1:24" ht="14.1" customHeight="1" x14ac:dyDescent="0.2">
      <c r="A22" s="3">
        <v>10</v>
      </c>
      <c r="B22" s="28"/>
      <c r="C22" s="24" t="s">
        <v>50</v>
      </c>
      <c r="E22" s="25" t="s">
        <v>55</v>
      </c>
      <c r="F22" s="26"/>
      <c r="G22" s="26"/>
      <c r="H22" s="27" t="e">
        <f>VLOOKUP($V22,#REF!,20,FALSE)/1000</f>
        <v>#REF!</v>
      </c>
      <c r="I22" s="27"/>
      <c r="J22" s="27" t="e">
        <f>VLOOKUP($V22,#REF!,18,FALSE)/1000</f>
        <v>#REF!</v>
      </c>
      <c r="K22" s="28"/>
      <c r="L22" s="28" t="e">
        <f>H22-J22</f>
        <v>#REF!</v>
      </c>
      <c r="M22" s="26"/>
      <c r="N22" s="29" t="e">
        <f>L22/J22*100</f>
        <v>#REF!</v>
      </c>
      <c r="O22" s="26"/>
      <c r="P22" s="30" t="s">
        <v>46</v>
      </c>
      <c r="Q22" s="26"/>
      <c r="R22" s="31" t="s">
        <v>47</v>
      </c>
      <c r="S22" s="26"/>
      <c r="V22" s="35">
        <v>4073091</v>
      </c>
      <c r="X22" s="25" t="s">
        <v>56</v>
      </c>
    </row>
    <row r="23" spans="1:24" ht="14.1" customHeight="1" x14ac:dyDescent="0.2">
      <c r="A23" s="3">
        <v>11</v>
      </c>
      <c r="B23" s="28"/>
      <c r="C23" s="13"/>
      <c r="E23" s="25"/>
      <c r="H23" s="27"/>
      <c r="I23" s="27"/>
      <c r="J23" s="27"/>
      <c r="K23" s="28"/>
      <c r="L23" s="28"/>
      <c r="M23" s="26"/>
      <c r="N23" s="29"/>
      <c r="P23" s="26"/>
      <c r="Q23" s="26"/>
      <c r="R23" s="26"/>
      <c r="S23" s="26"/>
      <c r="V23" s="13"/>
      <c r="X23" s="25"/>
    </row>
    <row r="24" spans="1:24" ht="14.1" customHeight="1" x14ac:dyDescent="0.2">
      <c r="A24" s="3">
        <v>12</v>
      </c>
      <c r="B24" s="28"/>
      <c r="C24" s="24" t="s">
        <v>50</v>
      </c>
      <c r="E24" s="25" t="s">
        <v>57</v>
      </c>
      <c r="F24" s="26"/>
      <c r="G24" s="26"/>
      <c r="H24" s="27" t="e">
        <f>VLOOKUP($V24,#REF!,20,FALSE)/1000</f>
        <v>#REF!</v>
      </c>
      <c r="I24" s="27"/>
      <c r="J24" s="27" t="e">
        <f>VLOOKUP($V24,#REF!,18,FALSE)/1000</f>
        <v>#REF!</v>
      </c>
      <c r="K24" s="28"/>
      <c r="L24" s="28" t="e">
        <f>H24-J24+0.05</f>
        <v>#REF!</v>
      </c>
      <c r="M24" s="26"/>
      <c r="N24" s="29" t="e">
        <f>L24/J24*100</f>
        <v>#REF!</v>
      </c>
      <c r="O24" s="26"/>
      <c r="P24" s="30" t="s">
        <v>46</v>
      </c>
      <c r="Q24" s="26"/>
      <c r="R24" s="31" t="s">
        <v>47</v>
      </c>
      <c r="S24" s="26"/>
      <c r="V24" s="24">
        <v>4074030</v>
      </c>
      <c r="X24" s="25" t="s">
        <v>58</v>
      </c>
    </row>
    <row r="25" spans="1:24" ht="14.1" customHeight="1" x14ac:dyDescent="0.2">
      <c r="A25" s="3">
        <v>13</v>
      </c>
      <c r="B25" s="28"/>
      <c r="C25" s="34"/>
      <c r="E25" s="25"/>
      <c r="F25" s="26"/>
      <c r="G25" s="26"/>
      <c r="H25" s="27"/>
      <c r="I25" s="27"/>
      <c r="J25" s="27"/>
      <c r="K25" s="28"/>
      <c r="L25" s="28"/>
      <c r="M25" s="26"/>
      <c r="N25" s="29"/>
      <c r="O25" s="26"/>
      <c r="P25" s="30"/>
      <c r="Q25" s="26"/>
      <c r="R25" s="31"/>
      <c r="S25" s="26"/>
      <c r="V25" s="34"/>
      <c r="X25" s="25"/>
    </row>
    <row r="26" spans="1:24" ht="14.1" customHeight="1" x14ac:dyDescent="0.2">
      <c r="A26" s="3">
        <v>14</v>
      </c>
      <c r="B26" s="23"/>
      <c r="C26" s="24" t="s">
        <v>50</v>
      </c>
      <c r="E26" s="25" t="s">
        <v>59</v>
      </c>
      <c r="F26" s="26"/>
      <c r="G26" s="26"/>
      <c r="H26" s="27" t="e">
        <f>VLOOKUP($V26,#REF!,20,FALSE)/1000</f>
        <v>#REF!</v>
      </c>
      <c r="I26" s="27"/>
      <c r="J26" s="27" t="e">
        <f>VLOOKUP($V26,#REF!,18,FALSE)/1000</f>
        <v>#REF!</v>
      </c>
      <c r="K26" s="28"/>
      <c r="L26" s="28" t="e">
        <f>H26-J26+0.2</f>
        <v>#REF!</v>
      </c>
      <c r="M26" s="26"/>
      <c r="N26" s="29" t="e">
        <f>L26/J26*100</f>
        <v>#REF!</v>
      </c>
      <c r="O26" s="26"/>
      <c r="P26" s="30" t="s">
        <v>46</v>
      </c>
      <c r="Q26" s="26"/>
      <c r="R26" s="31" t="s">
        <v>47</v>
      </c>
      <c r="S26" s="26"/>
      <c r="V26" s="24">
        <v>4074050</v>
      </c>
      <c r="X26" s="25" t="s">
        <v>60</v>
      </c>
    </row>
    <row r="27" spans="1:24" ht="14.1" customHeight="1" x14ac:dyDescent="0.2">
      <c r="A27" s="3">
        <v>15</v>
      </c>
      <c r="B27" s="28"/>
      <c r="C27" s="34"/>
      <c r="E27" s="25"/>
      <c r="F27" s="26"/>
      <c r="G27" s="26"/>
      <c r="H27" s="27"/>
      <c r="I27" s="27"/>
      <c r="J27" s="27"/>
      <c r="K27" s="28"/>
      <c r="L27" s="28"/>
      <c r="M27" s="26"/>
      <c r="N27" s="29"/>
      <c r="O27" s="26"/>
      <c r="P27" s="30"/>
      <c r="Q27" s="26"/>
      <c r="R27" s="31"/>
      <c r="S27" s="26"/>
      <c r="V27" s="34"/>
      <c r="X27" s="25"/>
    </row>
    <row r="28" spans="1:24" ht="14.1" customHeight="1" x14ac:dyDescent="0.2">
      <c r="A28" s="3">
        <v>16</v>
      </c>
      <c r="B28" s="22"/>
      <c r="C28" s="24" t="s">
        <v>50</v>
      </c>
      <c r="E28" s="25" t="s">
        <v>55</v>
      </c>
      <c r="F28" s="26"/>
      <c r="G28" s="26"/>
      <c r="H28" s="27" t="e">
        <f>VLOOKUP($V28,#REF!,20,FALSE)/1000</f>
        <v>#REF!</v>
      </c>
      <c r="I28" s="27"/>
      <c r="J28" s="27" t="e">
        <f>VLOOKUP($V28,#REF!,18,FALSE)/1000</f>
        <v>#REF!</v>
      </c>
      <c r="K28" s="28"/>
      <c r="L28" s="28" t="e">
        <f>H28-J28</f>
        <v>#REF!</v>
      </c>
      <c r="M28" s="26"/>
      <c r="N28" s="29" t="e">
        <f>L28/J28*100</f>
        <v>#REF!</v>
      </c>
      <c r="O28" s="26"/>
      <c r="P28" s="30" t="s">
        <v>46</v>
      </c>
      <c r="Q28" s="24"/>
      <c r="R28" s="31" t="s">
        <v>47</v>
      </c>
      <c r="S28" s="26"/>
      <c r="V28" s="24">
        <v>4074090</v>
      </c>
      <c r="X28" s="25" t="s">
        <v>61</v>
      </c>
    </row>
    <row r="29" spans="1:24" ht="14.1" customHeight="1" x14ac:dyDescent="0.2">
      <c r="A29" s="3">
        <v>17</v>
      </c>
      <c r="B29" s="22"/>
      <c r="C29" s="34"/>
      <c r="E29" s="25"/>
      <c r="H29" s="27"/>
      <c r="I29" s="27"/>
      <c r="J29" s="27"/>
      <c r="K29" s="28"/>
      <c r="L29" s="28"/>
      <c r="M29" s="26"/>
      <c r="N29" s="29"/>
      <c r="P29" s="30"/>
      <c r="Q29" s="26"/>
      <c r="R29" s="26"/>
      <c r="S29" s="26"/>
    </row>
    <row r="30" spans="1:24" ht="14.1" customHeight="1" x14ac:dyDescent="0.2">
      <c r="A30" s="3">
        <v>18</v>
      </c>
      <c r="B30" s="22"/>
      <c r="C30" s="24">
        <v>904</v>
      </c>
      <c r="E30" s="25" t="s">
        <v>62</v>
      </c>
      <c r="F30" s="26"/>
      <c r="G30" s="26"/>
      <c r="H30" s="27" t="e">
        <f>VLOOKUP($C30,#REF!,21,FALSE)/1000</f>
        <v>#REF!</v>
      </c>
      <c r="I30" s="27"/>
      <c r="J30" s="27" t="e">
        <f>VLOOKUP($C30,#REF!,19,FALSE)/1000</f>
        <v>#REF!</v>
      </c>
      <c r="K30" s="28"/>
      <c r="L30" s="28" t="e">
        <f>H30-J30</f>
        <v>#REF!</v>
      </c>
      <c r="M30" s="26"/>
      <c r="N30" s="29" t="e">
        <f>L30/J30*100</f>
        <v>#REF!</v>
      </c>
      <c r="O30" s="26"/>
      <c r="P30" s="30" t="s">
        <v>46</v>
      </c>
      <c r="Q30" s="24"/>
      <c r="R30" s="31" t="s">
        <v>47</v>
      </c>
      <c r="S30" s="26"/>
    </row>
    <row r="31" spans="1:24" ht="14.1" customHeight="1" x14ac:dyDescent="0.2">
      <c r="A31" s="3">
        <v>19</v>
      </c>
      <c r="B31" s="22"/>
      <c r="C31" s="34"/>
      <c r="E31" s="25"/>
      <c r="H31" s="27"/>
      <c r="I31" s="27"/>
      <c r="J31" s="27"/>
      <c r="K31" s="28"/>
      <c r="L31" s="28"/>
      <c r="M31" s="26"/>
      <c r="N31" s="29"/>
      <c r="P31" s="30"/>
      <c r="Q31" s="26"/>
      <c r="R31" s="26"/>
      <c r="S31" s="26"/>
    </row>
    <row r="32" spans="1:24" ht="14.1" customHeight="1" x14ac:dyDescent="0.2">
      <c r="A32" s="3">
        <v>20</v>
      </c>
      <c r="B32" s="22"/>
      <c r="C32" s="24">
        <v>924</v>
      </c>
      <c r="E32" s="25" t="s">
        <v>63</v>
      </c>
      <c r="F32" s="26"/>
      <c r="G32" s="26"/>
      <c r="H32" s="27" t="e">
        <f>VLOOKUP($C32,#REF!,21,FALSE)/1000</f>
        <v>#REF!</v>
      </c>
      <c r="I32" s="27"/>
      <c r="J32" s="27" t="e">
        <f>VLOOKUP($C32,#REF!,19,FALSE)/1000</f>
        <v>#REF!</v>
      </c>
      <c r="K32" s="28"/>
      <c r="L32" s="28" t="e">
        <f>H32-J32</f>
        <v>#REF!</v>
      </c>
      <c r="M32" s="26"/>
      <c r="N32" s="29" t="e">
        <f>L32/J32*100</f>
        <v>#REF!</v>
      </c>
      <c r="P32" s="30" t="s">
        <v>46</v>
      </c>
      <c r="Q32" s="36"/>
      <c r="R32" s="31" t="s">
        <v>47</v>
      </c>
      <c r="S32" s="26"/>
    </row>
    <row r="33" spans="1:19" ht="14.1" customHeight="1" x14ac:dyDescent="0.2">
      <c r="A33" s="3">
        <v>21</v>
      </c>
      <c r="B33" s="22"/>
      <c r="C33" s="34"/>
      <c r="E33" s="25"/>
      <c r="H33" s="27"/>
      <c r="I33" s="27"/>
      <c r="J33" s="27"/>
      <c r="K33" s="28"/>
      <c r="L33" s="28"/>
      <c r="M33" s="26"/>
      <c r="N33" s="29"/>
      <c r="P33" s="30"/>
      <c r="Q33" s="26"/>
      <c r="R33" s="26"/>
      <c r="S33" s="26"/>
    </row>
    <row r="34" spans="1:19" ht="14.1" customHeight="1" x14ac:dyDescent="0.2">
      <c r="A34" s="3">
        <v>22</v>
      </c>
      <c r="B34" s="22"/>
      <c r="C34" s="37"/>
      <c r="E34" s="25"/>
      <c r="F34" s="26"/>
      <c r="G34" s="26"/>
      <c r="H34" s="27"/>
      <c r="I34" s="27"/>
      <c r="J34" s="27"/>
      <c r="K34" s="28"/>
      <c r="L34" s="28"/>
      <c r="M34" s="26"/>
      <c r="N34" s="29"/>
      <c r="P34" s="30"/>
      <c r="Q34" s="36"/>
      <c r="R34" s="31"/>
      <c r="S34" s="26"/>
    </row>
    <row r="35" spans="1:19" ht="14.1" customHeight="1" x14ac:dyDescent="0.2">
      <c r="A35" s="3">
        <v>23</v>
      </c>
      <c r="B35" s="22"/>
      <c r="C35" s="34"/>
      <c r="E35" s="25"/>
      <c r="H35" s="27"/>
      <c r="I35" s="27"/>
      <c r="J35" s="27"/>
      <c r="K35" s="28"/>
      <c r="L35" s="28"/>
      <c r="M35" s="26"/>
      <c r="N35" s="29"/>
      <c r="P35" s="30"/>
      <c r="Q35" s="26"/>
      <c r="R35" s="26"/>
      <c r="S35" s="26"/>
    </row>
    <row r="36" spans="1:19" ht="14.1" customHeight="1" x14ac:dyDescent="0.2">
      <c r="A36" s="3">
        <v>24</v>
      </c>
      <c r="B36" s="22"/>
      <c r="C36" s="37"/>
      <c r="E36" s="25"/>
      <c r="F36" s="26"/>
      <c r="G36" s="26"/>
      <c r="H36" s="27"/>
      <c r="I36" s="27"/>
      <c r="J36" s="27"/>
      <c r="K36" s="28"/>
      <c r="L36" s="28"/>
      <c r="M36" s="26"/>
      <c r="N36" s="29"/>
      <c r="P36" s="30"/>
      <c r="Q36" s="36"/>
      <c r="R36" s="31"/>
      <c r="S36" s="26"/>
    </row>
    <row r="37" spans="1:19" ht="14.1" customHeight="1" x14ac:dyDescent="0.2">
      <c r="A37" s="3">
        <v>25</v>
      </c>
      <c r="B37" s="22"/>
      <c r="C37" s="13"/>
      <c r="E37" s="25"/>
      <c r="H37" s="27"/>
      <c r="I37" s="27"/>
      <c r="J37" s="27"/>
      <c r="K37" s="28"/>
      <c r="L37" s="28"/>
      <c r="M37" s="26"/>
      <c r="N37" s="29"/>
      <c r="P37" s="30"/>
      <c r="Q37" s="26"/>
      <c r="R37" s="26"/>
      <c r="S37" s="26"/>
    </row>
    <row r="38" spans="1:19" ht="14.1" customHeight="1" x14ac:dyDescent="0.2">
      <c r="A38" s="3">
        <v>26</v>
      </c>
      <c r="B38" s="38"/>
      <c r="C38" s="24"/>
      <c r="E38" s="25"/>
      <c r="F38" s="26"/>
      <c r="G38" s="26"/>
      <c r="H38" s="27"/>
      <c r="I38" s="27"/>
      <c r="J38" s="27"/>
      <c r="K38" s="28"/>
      <c r="L38" s="28"/>
      <c r="M38" s="26"/>
      <c r="N38" s="29"/>
      <c r="P38" s="30"/>
      <c r="Q38" s="36"/>
      <c r="R38" s="31"/>
      <c r="S38" s="26"/>
    </row>
    <row r="39" spans="1:19" ht="14.1" customHeight="1" x14ac:dyDescent="0.2">
      <c r="A39" s="3">
        <v>27</v>
      </c>
      <c r="B39" s="22"/>
      <c r="C39" s="39"/>
      <c r="E39" s="40"/>
      <c r="F39" s="26"/>
      <c r="G39" s="26"/>
      <c r="H39" s="27"/>
      <c r="I39" s="27"/>
      <c r="J39" s="41"/>
      <c r="K39" s="28"/>
      <c r="L39" s="28"/>
      <c r="M39" s="26"/>
      <c r="N39" s="29"/>
      <c r="P39" s="30"/>
      <c r="Q39" s="26"/>
      <c r="R39" s="31"/>
      <c r="S39" s="26"/>
    </row>
    <row r="40" spans="1:19" ht="14.1" customHeight="1" x14ac:dyDescent="0.2">
      <c r="A40" s="3">
        <v>28</v>
      </c>
      <c r="B40" s="22"/>
      <c r="C40" s="24"/>
      <c r="E40" s="15"/>
      <c r="F40" s="26"/>
      <c r="G40" s="26"/>
      <c r="H40" s="27"/>
      <c r="I40" s="27"/>
      <c r="J40" s="27"/>
      <c r="K40" s="28"/>
      <c r="L40" s="28"/>
      <c r="M40" s="26"/>
      <c r="N40" s="29"/>
      <c r="O40" s="26"/>
      <c r="P40" s="30"/>
      <c r="Q40" s="34"/>
      <c r="R40" s="31"/>
      <c r="S40" s="26"/>
    </row>
    <row r="41" spans="1:19" ht="14.1" customHeight="1" x14ac:dyDescent="0.2">
      <c r="A41" s="3">
        <v>29</v>
      </c>
      <c r="B41" s="22"/>
      <c r="C41" s="24"/>
      <c r="H41" s="26"/>
      <c r="I41" s="27"/>
      <c r="J41" s="27"/>
      <c r="K41" s="28"/>
      <c r="L41" s="28"/>
      <c r="N41" s="29"/>
      <c r="P41" s="26"/>
      <c r="Q41" s="26"/>
      <c r="R41" s="26"/>
      <c r="S41" s="26"/>
    </row>
    <row r="42" spans="1:19" ht="14.1" customHeight="1" x14ac:dyDescent="0.2">
      <c r="A42" s="3">
        <v>30</v>
      </c>
      <c r="B42" s="22"/>
      <c r="C42" s="24"/>
      <c r="E42" s="25"/>
      <c r="F42" s="26"/>
      <c r="G42" s="26"/>
      <c r="H42" s="27"/>
      <c r="I42" s="27"/>
      <c r="J42" s="27"/>
      <c r="K42" s="28"/>
      <c r="L42" s="28"/>
      <c r="M42" s="26"/>
      <c r="N42" s="29"/>
      <c r="O42" s="26"/>
      <c r="P42" s="30"/>
      <c r="Q42" s="26"/>
      <c r="R42" s="26"/>
      <c r="S42" s="26"/>
    </row>
    <row r="43" spans="1:19" ht="14.1" customHeight="1" x14ac:dyDescent="0.2">
      <c r="A43" s="3">
        <v>31</v>
      </c>
      <c r="B43" s="22"/>
      <c r="C43" s="34"/>
      <c r="F43" s="26"/>
      <c r="G43" s="26"/>
      <c r="I43" s="26"/>
      <c r="J43" s="26"/>
      <c r="K43" s="26"/>
      <c r="L43" s="26"/>
      <c r="M43" s="26"/>
      <c r="N43" s="29"/>
      <c r="O43" s="26"/>
      <c r="P43" s="30"/>
      <c r="Q43" s="26"/>
      <c r="R43" s="31"/>
      <c r="S43" s="26"/>
    </row>
    <row r="44" spans="1:19" ht="14.1" customHeight="1" x14ac:dyDescent="0.2">
      <c r="A44" s="3">
        <v>32</v>
      </c>
      <c r="B44" s="22"/>
      <c r="C44" s="24"/>
      <c r="D44" s="24"/>
      <c r="E44" s="25"/>
      <c r="F44" s="36"/>
      <c r="G44" s="36"/>
      <c r="I44" s="26"/>
      <c r="J44" s="27"/>
      <c r="K44" s="26"/>
      <c r="L44" s="28"/>
      <c r="M44" s="26"/>
      <c r="N44" s="29"/>
      <c r="O44" s="26"/>
      <c r="P44" s="30"/>
      <c r="Q44" s="26"/>
      <c r="R44" s="26"/>
      <c r="S44" s="26"/>
    </row>
    <row r="45" spans="1:19" ht="14.1" customHeight="1" x14ac:dyDescent="0.2">
      <c r="A45" s="3">
        <v>33</v>
      </c>
      <c r="B45" s="22"/>
      <c r="C45" s="24"/>
      <c r="E45" s="15"/>
      <c r="F45" s="26"/>
      <c r="G45" s="26"/>
      <c r="H45" s="26"/>
      <c r="I45" s="26"/>
      <c r="J45" s="26"/>
      <c r="K45" s="26"/>
      <c r="L45" s="26"/>
      <c r="M45" s="26"/>
      <c r="N45" s="29"/>
      <c r="O45" s="26"/>
      <c r="P45" s="30"/>
      <c r="Q45" s="26"/>
      <c r="R45" s="31"/>
      <c r="S45" s="26"/>
    </row>
    <row r="46" spans="1:19" ht="14.1" customHeight="1" x14ac:dyDescent="0.2">
      <c r="A46" s="3">
        <v>34</v>
      </c>
      <c r="B46" s="22"/>
      <c r="C46" s="13"/>
      <c r="H46" s="27"/>
      <c r="J46" s="27"/>
      <c r="L46" s="28"/>
      <c r="M46" s="26"/>
      <c r="N46" s="29"/>
      <c r="O46" s="26"/>
      <c r="P46" s="30"/>
      <c r="Q46" s="26"/>
      <c r="R46" s="26"/>
      <c r="S46" s="26"/>
    </row>
    <row r="47" spans="1:19" ht="14.1" customHeight="1" x14ac:dyDescent="0.2">
      <c r="A47" s="3">
        <v>35</v>
      </c>
      <c r="B47" s="22"/>
      <c r="C47" s="13"/>
      <c r="S47" s="26"/>
    </row>
    <row r="48" spans="1:19" ht="14.1" customHeight="1" x14ac:dyDescent="0.2">
      <c r="A48" s="3">
        <v>36</v>
      </c>
      <c r="B48" s="22"/>
      <c r="C48" s="13"/>
      <c r="H48" s="27"/>
      <c r="J48" s="27"/>
      <c r="L48" s="28"/>
      <c r="M48" s="26"/>
      <c r="N48" s="29"/>
      <c r="O48" s="26"/>
      <c r="P48" s="30"/>
      <c r="Q48" s="26"/>
      <c r="R48" s="26"/>
      <c r="S48" s="26"/>
    </row>
    <row r="49" spans="1:19" ht="14.1" customHeight="1" x14ac:dyDescent="0.2">
      <c r="A49" s="3">
        <v>37</v>
      </c>
      <c r="B49" s="22"/>
      <c r="C49" s="13"/>
      <c r="N49" s="33"/>
      <c r="S49" s="26"/>
    </row>
    <row r="50" spans="1:19" ht="14.1" customHeight="1" x14ac:dyDescent="0.2">
      <c r="A50" s="3">
        <v>38</v>
      </c>
      <c r="B50" s="22"/>
      <c r="C50" s="13"/>
      <c r="H50" s="27"/>
      <c r="J50" s="27"/>
      <c r="L50" s="28"/>
      <c r="M50" s="26"/>
      <c r="N50" s="29"/>
      <c r="O50" s="26"/>
      <c r="P50" s="30"/>
      <c r="Q50" s="26"/>
      <c r="R50" s="26"/>
      <c r="S50" s="26"/>
    </row>
    <row r="51" spans="1:19" ht="14.1" customHeight="1" x14ac:dyDescent="0.2">
      <c r="A51" s="3">
        <v>39</v>
      </c>
      <c r="B51" s="22"/>
      <c r="C51" s="13"/>
      <c r="J51" s="27"/>
      <c r="N51" s="33"/>
      <c r="S51" s="26"/>
    </row>
    <row r="52" spans="1:19" ht="14.1" customHeight="1" thickBot="1" x14ac:dyDescent="0.25">
      <c r="A52" s="42">
        <v>40</v>
      </c>
      <c r="B52" s="1"/>
      <c r="C52" s="43" t="s">
        <v>64</v>
      </c>
      <c r="D52" s="2"/>
      <c r="E52" s="2"/>
      <c r="F52" s="44"/>
      <c r="G52" s="44"/>
      <c r="H52" s="44"/>
      <c r="I52" s="44"/>
      <c r="J52" s="44"/>
      <c r="K52" s="44"/>
      <c r="L52" s="44"/>
      <c r="M52" s="44"/>
      <c r="N52" s="45"/>
      <c r="O52" s="44"/>
      <c r="P52" s="44"/>
      <c r="Q52" s="44"/>
      <c r="R52" s="44"/>
      <c r="S52" s="2"/>
    </row>
    <row r="53" spans="1:19" ht="14.1" customHeight="1" x14ac:dyDescent="0.2">
      <c r="A53" s="3" t="s">
        <v>65</v>
      </c>
      <c r="C53" s="24"/>
      <c r="F53" s="26"/>
      <c r="G53" s="26"/>
      <c r="H53" s="46"/>
      <c r="I53" s="26"/>
      <c r="J53" s="46"/>
      <c r="K53" s="26"/>
      <c r="L53" s="46"/>
      <c r="M53" s="26"/>
      <c r="N53" s="47"/>
      <c r="O53" s="26"/>
      <c r="P53" s="26"/>
      <c r="Q53" s="26" t="s">
        <v>66</v>
      </c>
      <c r="R53" s="26"/>
    </row>
    <row r="54" spans="1:19" ht="14.1" customHeight="1" thickBot="1" x14ac:dyDescent="0.25">
      <c r="A54" s="1" t="s">
        <v>0</v>
      </c>
      <c r="B54" s="2"/>
      <c r="C54" s="2"/>
      <c r="D54" s="2"/>
      <c r="E54" s="2"/>
      <c r="F54" s="2"/>
      <c r="G54" s="2"/>
      <c r="H54" s="2" t="s">
        <v>1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 t="s">
        <v>67</v>
      </c>
    </row>
    <row r="55" spans="1:19" ht="14.1" customHeight="1" x14ac:dyDescent="0.2">
      <c r="A55" s="3" t="s">
        <v>3</v>
      </c>
      <c r="F55" s="4" t="s">
        <v>4</v>
      </c>
      <c r="G55" s="3" t="s">
        <v>5</v>
      </c>
      <c r="K55" s="5"/>
      <c r="L55" s="5"/>
      <c r="N55" s="5"/>
      <c r="O55" s="5"/>
      <c r="P55" s="5" t="s">
        <v>6</v>
      </c>
      <c r="S55" s="6"/>
    </row>
    <row r="56" spans="1:19" ht="14.1" customHeight="1" x14ac:dyDescent="0.2">
      <c r="G56" s="3" t="s">
        <v>7</v>
      </c>
      <c r="K56" s="4"/>
      <c r="L56" s="6"/>
      <c r="O56" s="4"/>
      <c r="P56" s="4" t="s">
        <v>8</v>
      </c>
      <c r="Q56" s="7" t="s">
        <v>9</v>
      </c>
      <c r="R56" s="8"/>
      <c r="S56" s="9"/>
    </row>
    <row r="57" spans="1:19" ht="14.1" customHeight="1" x14ac:dyDescent="0.2">
      <c r="A57" s="3" t="s">
        <v>10</v>
      </c>
      <c r="G57" s="3" t="s">
        <v>11</v>
      </c>
      <c r="K57" s="4"/>
      <c r="L57" s="6"/>
      <c r="M57" s="4"/>
      <c r="P57" s="4" t="s">
        <v>8</v>
      </c>
      <c r="Q57" s="7" t="s">
        <v>12</v>
      </c>
      <c r="R57" s="8"/>
      <c r="S57" s="9"/>
    </row>
    <row r="58" spans="1:19" ht="14.1" customHeight="1" x14ac:dyDescent="0.2">
      <c r="G58" s="3" t="s">
        <v>11</v>
      </c>
      <c r="K58" s="4"/>
      <c r="L58" s="6"/>
      <c r="M58" s="4"/>
      <c r="P58" s="4" t="s">
        <v>11</v>
      </c>
      <c r="Q58" s="7" t="s">
        <v>13</v>
      </c>
      <c r="R58" s="8"/>
      <c r="S58" s="9"/>
    </row>
    <row r="59" spans="1:19" ht="14.1" customHeight="1" x14ac:dyDescent="0.2">
      <c r="G59" s="3" t="s">
        <v>11</v>
      </c>
      <c r="K59" s="4"/>
      <c r="L59" s="6"/>
      <c r="M59" s="4"/>
      <c r="P59" s="4"/>
      <c r="Q59" s="10" t="s">
        <v>68</v>
      </c>
      <c r="S59" s="4"/>
    </row>
    <row r="60" spans="1:19" ht="14.1" customHeight="1" thickBot="1" x14ac:dyDescent="0.25">
      <c r="A60" s="2" t="s">
        <v>15</v>
      </c>
      <c r="B60" s="2"/>
      <c r="C60" s="2"/>
      <c r="D60" s="2"/>
      <c r="E60" s="2"/>
      <c r="F60" s="2"/>
      <c r="G60" s="2"/>
      <c r="H60" s="2"/>
      <c r="I60" s="11" t="s">
        <v>16</v>
      </c>
      <c r="J60" s="2"/>
      <c r="K60" s="2"/>
      <c r="L60" s="2"/>
      <c r="M60" s="2"/>
      <c r="N60" s="2"/>
      <c r="O60" s="2"/>
      <c r="P60" s="2"/>
      <c r="Q60" s="12" t="s">
        <v>17</v>
      </c>
      <c r="R60" s="2"/>
      <c r="S60" s="2"/>
    </row>
    <row r="61" spans="1:19" ht="14.1" customHeight="1" x14ac:dyDescent="0.2">
      <c r="B61" s="13"/>
      <c r="C61" s="14" t="s">
        <v>18</v>
      </c>
      <c r="D61" s="14"/>
      <c r="E61" s="15" t="s">
        <v>19</v>
      </c>
      <c r="F61" s="14"/>
      <c r="G61" s="14"/>
      <c r="H61" s="14" t="s">
        <v>20</v>
      </c>
      <c r="I61" s="14"/>
      <c r="J61" s="14" t="s">
        <v>21</v>
      </c>
      <c r="K61" s="14"/>
      <c r="L61" s="14" t="s">
        <v>22</v>
      </c>
      <c r="M61" s="14"/>
      <c r="N61" s="14" t="s">
        <v>23</v>
      </c>
      <c r="O61" s="14"/>
      <c r="P61" s="14" t="s">
        <v>24</v>
      </c>
      <c r="Q61" s="14"/>
      <c r="R61" s="14" t="s">
        <v>25</v>
      </c>
      <c r="S61" s="14"/>
    </row>
    <row r="62" spans="1:19" ht="14.1" customHeight="1" x14ac:dyDescent="0.2">
      <c r="B62" s="13"/>
      <c r="C62" s="14"/>
      <c r="D62" s="14"/>
      <c r="E62" s="15"/>
      <c r="F62" s="14"/>
      <c r="G62" s="14"/>
      <c r="H62" s="14"/>
      <c r="I62" s="14"/>
      <c r="J62" s="14"/>
      <c r="K62" s="13"/>
      <c r="L62" s="16"/>
      <c r="M62" s="16" t="s">
        <v>26</v>
      </c>
      <c r="N62" s="17"/>
      <c r="O62" s="14"/>
      <c r="P62" s="13" t="s">
        <v>27</v>
      </c>
      <c r="Q62" s="14"/>
      <c r="R62" s="14"/>
      <c r="S62" s="14"/>
    </row>
    <row r="63" spans="1:19" ht="14.1" customHeight="1" x14ac:dyDescent="0.2">
      <c r="B63" s="13"/>
      <c r="C63" s="13"/>
      <c r="D63" s="13"/>
      <c r="F63" s="13"/>
      <c r="G63" s="13"/>
      <c r="H63" s="14" t="s">
        <v>28</v>
      </c>
      <c r="I63" s="14"/>
      <c r="J63" s="14" t="s">
        <v>29</v>
      </c>
      <c r="K63" s="13"/>
      <c r="L63" s="13" t="s">
        <v>30</v>
      </c>
      <c r="M63" s="13"/>
      <c r="N63" s="13" t="s">
        <v>31</v>
      </c>
      <c r="O63" s="13"/>
      <c r="P63" s="13" t="s">
        <v>32</v>
      </c>
      <c r="Q63" s="13"/>
      <c r="R63" s="13"/>
      <c r="S63" s="13"/>
    </row>
    <row r="64" spans="1:19" ht="14.1" customHeight="1" x14ac:dyDescent="0.2">
      <c r="A64" s="3" t="s">
        <v>33</v>
      </c>
      <c r="B64" s="13"/>
      <c r="C64" s="13" t="s">
        <v>34</v>
      </c>
      <c r="D64" s="13"/>
      <c r="F64" s="14"/>
      <c r="G64" s="13"/>
      <c r="H64" s="13" t="s">
        <v>35</v>
      </c>
      <c r="I64" s="13"/>
      <c r="J64" s="13" t="s">
        <v>35</v>
      </c>
      <c r="K64" s="14"/>
      <c r="L64" s="14" t="s">
        <v>36</v>
      </c>
      <c r="M64" s="14"/>
      <c r="N64" s="13" t="s">
        <v>37</v>
      </c>
      <c r="O64" s="13"/>
      <c r="P64" s="13" t="s">
        <v>38</v>
      </c>
      <c r="Q64" s="14"/>
      <c r="R64" s="14"/>
      <c r="S64" s="13"/>
    </row>
    <row r="65" spans="1:22" ht="14.1" customHeight="1" thickBot="1" x14ac:dyDescent="0.25">
      <c r="A65" s="2" t="s">
        <v>39</v>
      </c>
      <c r="B65" s="11"/>
      <c r="C65" s="11" t="s">
        <v>40</v>
      </c>
      <c r="D65" s="11"/>
      <c r="E65" s="2" t="s">
        <v>34</v>
      </c>
      <c r="F65" s="11"/>
      <c r="G65" s="18"/>
      <c r="H65" s="19" t="str">
        <f>$H$12</f>
        <v>12/31/2022</v>
      </c>
      <c r="I65" s="18"/>
      <c r="J65" s="19" t="str">
        <f>$J$12</f>
        <v>12/31/2021</v>
      </c>
      <c r="K65" s="18"/>
      <c r="L65" s="18" t="s">
        <v>43</v>
      </c>
      <c r="M65" s="20"/>
      <c r="N65" s="19" t="s">
        <v>44</v>
      </c>
      <c r="O65" s="19"/>
      <c r="P65" s="21" t="e">
        <f>#REF!*0.0005</f>
        <v>#REF!</v>
      </c>
      <c r="Q65" s="1"/>
      <c r="R65" s="1" t="s">
        <v>45</v>
      </c>
      <c r="S65" s="19"/>
    </row>
    <row r="66" spans="1:22" ht="14.1" customHeight="1" x14ac:dyDescent="0.2">
      <c r="A66" s="3">
        <v>1</v>
      </c>
      <c r="B66" s="28"/>
      <c r="C66" s="13" t="s">
        <v>69</v>
      </c>
      <c r="D66" s="13"/>
      <c r="F66" s="14"/>
      <c r="G66" s="13"/>
      <c r="H66" s="13"/>
      <c r="I66" s="13"/>
      <c r="J66" s="13"/>
      <c r="K66" s="14"/>
      <c r="L66" s="14"/>
      <c r="M66" s="14"/>
      <c r="N66" s="13"/>
      <c r="O66" s="13"/>
      <c r="Q66" s="14"/>
      <c r="R66" s="14"/>
      <c r="S66" s="26"/>
    </row>
    <row r="67" spans="1:22" ht="14.1" customHeight="1" x14ac:dyDescent="0.2">
      <c r="A67" s="3">
        <f>A66+1</f>
        <v>2</v>
      </c>
      <c r="B67" s="28"/>
      <c r="C67" s="13"/>
      <c r="D67" s="13"/>
      <c r="F67" s="13"/>
      <c r="G67" s="48"/>
      <c r="H67" s="14"/>
      <c r="I67" s="48"/>
      <c r="J67" s="14"/>
      <c r="K67" s="48"/>
      <c r="L67" s="48"/>
      <c r="M67" s="49"/>
      <c r="N67" s="14"/>
      <c r="O67" s="14"/>
      <c r="P67" s="50"/>
      <c r="Q67" s="51"/>
      <c r="R67" s="51"/>
      <c r="S67" s="26"/>
    </row>
    <row r="68" spans="1:22" ht="14.1" customHeight="1" x14ac:dyDescent="0.2">
      <c r="A68" s="3">
        <f t="shared" ref="A68:A104" si="0">A67+1</f>
        <v>3</v>
      </c>
      <c r="B68" s="28"/>
      <c r="C68" s="37">
        <v>501</v>
      </c>
      <c r="E68" s="51" t="s">
        <v>51</v>
      </c>
      <c r="F68" s="52"/>
      <c r="H68" s="51" t="s">
        <v>70</v>
      </c>
      <c r="I68" s="53"/>
      <c r="J68" s="53"/>
      <c r="K68" s="54"/>
      <c r="L68" s="28"/>
      <c r="M68" s="54"/>
      <c r="N68" s="29"/>
      <c r="O68" s="54"/>
      <c r="P68" s="28"/>
      <c r="Q68" s="28"/>
      <c r="R68" s="28"/>
      <c r="S68" s="26"/>
      <c r="T68" s="55"/>
    </row>
    <row r="69" spans="1:22" ht="14.1" customHeight="1" x14ac:dyDescent="0.2">
      <c r="A69" s="3">
        <f t="shared" si="0"/>
        <v>4</v>
      </c>
      <c r="B69" s="28"/>
      <c r="C69" s="56"/>
      <c r="F69" s="57"/>
      <c r="G69" s="57"/>
      <c r="H69" s="57"/>
      <c r="I69" s="57"/>
      <c r="J69" s="57"/>
      <c r="K69" s="58"/>
      <c r="L69" s="58"/>
      <c r="M69" s="58"/>
      <c r="N69" s="23"/>
      <c r="O69" s="58"/>
      <c r="P69" s="28"/>
      <c r="Q69" s="28"/>
      <c r="R69" s="28"/>
      <c r="S69" s="26"/>
    </row>
    <row r="70" spans="1:22" ht="14.1" customHeight="1" x14ac:dyDescent="0.2">
      <c r="A70" s="3">
        <f t="shared" si="0"/>
        <v>5</v>
      </c>
      <c r="B70" s="28"/>
      <c r="C70" s="37">
        <v>555</v>
      </c>
      <c r="E70" s="51" t="s">
        <v>49</v>
      </c>
      <c r="G70" s="53"/>
      <c r="H70" s="51" t="s">
        <v>71</v>
      </c>
      <c r="I70" s="53"/>
      <c r="J70" s="53"/>
      <c r="K70" s="54"/>
      <c r="L70" s="28"/>
      <c r="M70" s="54"/>
      <c r="N70" s="29"/>
      <c r="O70" s="54"/>
      <c r="P70" s="30"/>
      <c r="Q70" s="26"/>
      <c r="R70" s="31"/>
      <c r="S70" s="26"/>
      <c r="T70" s="55"/>
    </row>
    <row r="71" spans="1:22" ht="14.1" customHeight="1" x14ac:dyDescent="0.2">
      <c r="A71" s="3">
        <f t="shared" si="0"/>
        <v>6</v>
      </c>
      <c r="B71" s="28"/>
      <c r="C71" s="59"/>
      <c r="F71" s="52"/>
      <c r="G71" s="52"/>
      <c r="H71" s="51"/>
      <c r="I71" s="52"/>
      <c r="J71" s="52"/>
      <c r="K71" s="31"/>
      <c r="L71" s="31"/>
      <c r="M71" s="31"/>
      <c r="N71" s="29"/>
      <c r="O71" s="31"/>
      <c r="P71" s="30"/>
      <c r="Q71" s="26"/>
      <c r="R71" s="31"/>
      <c r="S71" s="26"/>
    </row>
    <row r="72" spans="1:22" ht="14.1" customHeight="1" x14ac:dyDescent="0.2">
      <c r="A72" s="3">
        <f t="shared" si="0"/>
        <v>7</v>
      </c>
      <c r="B72" s="28"/>
      <c r="C72" s="37"/>
      <c r="E72" s="25" t="s">
        <v>52</v>
      </c>
      <c r="F72" s="52"/>
      <c r="H72" s="51" t="s">
        <v>72</v>
      </c>
      <c r="I72" s="53"/>
      <c r="J72" s="53"/>
      <c r="K72" s="54"/>
      <c r="L72" s="28"/>
      <c r="M72" s="54"/>
      <c r="N72" s="29"/>
      <c r="O72" s="54"/>
      <c r="P72" s="30"/>
      <c r="Q72" s="26"/>
      <c r="R72" s="31"/>
      <c r="S72" s="26"/>
      <c r="T72" s="55"/>
      <c r="V72" s="37">
        <v>4073021</v>
      </c>
    </row>
    <row r="73" spans="1:22" ht="14.1" customHeight="1" x14ac:dyDescent="0.2">
      <c r="A73" s="3">
        <f t="shared" si="0"/>
        <v>8</v>
      </c>
      <c r="B73" s="28"/>
      <c r="C73" s="37"/>
      <c r="E73" s="25"/>
      <c r="F73" s="52"/>
      <c r="H73" s="51"/>
      <c r="I73" s="52"/>
      <c r="J73" s="52"/>
      <c r="K73" s="31"/>
      <c r="L73" s="31"/>
      <c r="M73" s="31"/>
      <c r="N73" s="29"/>
      <c r="O73" s="31"/>
      <c r="P73" s="30"/>
      <c r="Q73" s="26"/>
      <c r="R73" s="31"/>
      <c r="S73" s="26"/>
      <c r="V73" s="37"/>
    </row>
    <row r="74" spans="1:22" ht="14.1" customHeight="1" x14ac:dyDescent="0.2">
      <c r="A74" s="3">
        <f t="shared" si="0"/>
        <v>9</v>
      </c>
      <c r="B74" s="28"/>
      <c r="C74" s="37"/>
      <c r="E74" s="25" t="s">
        <v>54</v>
      </c>
      <c r="F74" s="52"/>
      <c r="G74" s="52"/>
      <c r="H74" s="51" t="s">
        <v>73</v>
      </c>
      <c r="I74" s="53"/>
      <c r="J74" s="53"/>
      <c r="K74" s="54"/>
      <c r="L74" s="28"/>
      <c r="M74" s="54"/>
      <c r="N74" s="29"/>
      <c r="O74" s="54"/>
      <c r="P74" s="30"/>
      <c r="Q74" s="26"/>
      <c r="R74" s="31"/>
      <c r="S74" s="26"/>
      <c r="T74" s="55"/>
      <c r="V74" s="37">
        <v>4073051</v>
      </c>
    </row>
    <row r="75" spans="1:22" ht="14.1" customHeight="1" x14ac:dyDescent="0.2">
      <c r="A75" s="3">
        <f t="shared" si="0"/>
        <v>10</v>
      </c>
      <c r="B75" s="28"/>
      <c r="E75" s="25"/>
      <c r="H75" s="51"/>
      <c r="I75" s="53"/>
      <c r="J75" s="53"/>
      <c r="K75" s="54"/>
      <c r="L75" s="54"/>
      <c r="M75" s="54"/>
      <c r="N75" s="54"/>
      <c r="O75" s="54"/>
      <c r="P75" s="30"/>
      <c r="Q75" s="26"/>
      <c r="R75" s="31"/>
      <c r="S75" s="26"/>
    </row>
    <row r="76" spans="1:22" ht="14.1" customHeight="1" x14ac:dyDescent="0.2">
      <c r="A76" s="3">
        <f t="shared" si="0"/>
        <v>11</v>
      </c>
      <c r="B76" s="28"/>
      <c r="C76" s="37"/>
      <c r="E76" s="25" t="s">
        <v>56</v>
      </c>
      <c r="F76" s="52"/>
      <c r="G76" s="52"/>
      <c r="H76" s="51" t="s">
        <v>73</v>
      </c>
      <c r="I76" s="52"/>
      <c r="J76" s="52"/>
      <c r="K76" s="31"/>
      <c r="L76" s="28"/>
      <c r="M76" s="31"/>
      <c r="N76" s="29"/>
      <c r="O76" s="31"/>
      <c r="P76" s="30"/>
      <c r="Q76" s="26"/>
      <c r="R76" s="31"/>
      <c r="S76" s="26"/>
      <c r="T76" s="55"/>
      <c r="V76" s="37">
        <v>4073091</v>
      </c>
    </row>
    <row r="77" spans="1:22" ht="14.1" customHeight="1" x14ac:dyDescent="0.2">
      <c r="A77" s="3">
        <f t="shared" si="0"/>
        <v>12</v>
      </c>
      <c r="B77" s="28"/>
      <c r="E77" s="25"/>
      <c r="H77" s="51"/>
      <c r="I77" s="53"/>
      <c r="J77" s="53"/>
      <c r="K77" s="54"/>
      <c r="L77" s="28"/>
      <c r="M77" s="54"/>
      <c r="N77" s="54"/>
      <c r="O77" s="54"/>
      <c r="P77" s="30"/>
      <c r="Q77" s="26"/>
      <c r="R77" s="31"/>
      <c r="S77" s="26"/>
    </row>
    <row r="78" spans="1:22" ht="14.1" customHeight="1" x14ac:dyDescent="0.2">
      <c r="A78" s="3">
        <f t="shared" si="0"/>
        <v>13</v>
      </c>
      <c r="B78" s="28"/>
      <c r="C78" s="37"/>
      <c r="E78" s="25" t="s">
        <v>58</v>
      </c>
      <c r="F78" s="52"/>
      <c r="G78" s="53"/>
      <c r="H78" s="51" t="s">
        <v>74</v>
      </c>
      <c r="I78" s="53"/>
      <c r="J78" s="53"/>
      <c r="K78" s="54"/>
      <c r="L78" s="28"/>
      <c r="M78" s="54"/>
      <c r="N78" s="29"/>
      <c r="O78" s="54"/>
      <c r="P78" s="30"/>
      <c r="Q78" s="26"/>
      <c r="R78" s="31"/>
      <c r="S78" s="26"/>
      <c r="T78" s="55"/>
      <c r="V78" s="37">
        <v>4074030</v>
      </c>
    </row>
    <row r="79" spans="1:22" ht="14.1" customHeight="1" x14ac:dyDescent="0.2">
      <c r="A79" s="3">
        <f t="shared" si="0"/>
        <v>14</v>
      </c>
      <c r="B79" s="28"/>
      <c r="C79" s="37"/>
      <c r="E79" s="25"/>
      <c r="H79" s="51"/>
      <c r="N79" s="60"/>
      <c r="Q79" s="26"/>
      <c r="R79" s="26"/>
      <c r="S79" s="26"/>
      <c r="V79" s="37"/>
    </row>
    <row r="80" spans="1:22" ht="14.1" customHeight="1" x14ac:dyDescent="0.2">
      <c r="A80" s="3">
        <f t="shared" si="0"/>
        <v>15</v>
      </c>
      <c r="B80" s="28"/>
      <c r="C80" s="37"/>
      <c r="E80" s="25" t="s">
        <v>60</v>
      </c>
      <c r="F80" s="52"/>
      <c r="H80" s="51" t="s">
        <v>75</v>
      </c>
      <c r="I80" s="53"/>
      <c r="J80" s="53"/>
      <c r="K80" s="54"/>
      <c r="L80" s="28"/>
      <c r="M80" s="54"/>
      <c r="N80" s="29"/>
      <c r="O80" s="54"/>
      <c r="P80" s="28"/>
      <c r="Q80" s="28"/>
      <c r="R80" s="28"/>
      <c r="S80" s="26"/>
      <c r="T80" s="55"/>
      <c r="V80" s="37">
        <v>4074050</v>
      </c>
    </row>
    <row r="81" spans="1:22" ht="14.1" customHeight="1" x14ac:dyDescent="0.2">
      <c r="A81" s="3">
        <f t="shared" si="0"/>
        <v>16</v>
      </c>
      <c r="B81" s="28"/>
      <c r="C81" s="37"/>
      <c r="E81" s="25"/>
      <c r="F81" s="52"/>
      <c r="H81" s="51"/>
      <c r="N81" s="4"/>
      <c r="O81" s="31"/>
      <c r="P81" s="26"/>
      <c r="Q81" s="26"/>
      <c r="R81" s="26"/>
      <c r="S81" s="26"/>
      <c r="V81" s="37"/>
    </row>
    <row r="82" spans="1:22" ht="14.1" customHeight="1" x14ac:dyDescent="0.2">
      <c r="A82" s="3">
        <f t="shared" si="0"/>
        <v>17</v>
      </c>
      <c r="B82" s="28"/>
      <c r="C82" s="24"/>
      <c r="E82" s="25" t="s">
        <v>61</v>
      </c>
      <c r="F82" s="52"/>
      <c r="H82" s="51" t="s">
        <v>76</v>
      </c>
      <c r="I82" s="53"/>
      <c r="J82" s="53"/>
      <c r="K82" s="54"/>
      <c r="L82" s="28"/>
      <c r="M82" s="54"/>
      <c r="N82" s="29"/>
      <c r="O82" s="54"/>
      <c r="P82" s="28"/>
      <c r="Q82" s="28"/>
      <c r="R82" s="28"/>
      <c r="S82" s="26"/>
      <c r="T82" s="55"/>
      <c r="V82" s="24">
        <v>4074090</v>
      </c>
    </row>
    <row r="83" spans="1:22" ht="14.1" customHeight="1" x14ac:dyDescent="0.2">
      <c r="A83" s="3">
        <f t="shared" si="0"/>
        <v>18</v>
      </c>
      <c r="B83" s="28"/>
      <c r="I83" s="53"/>
      <c r="J83" s="53"/>
      <c r="K83" s="54"/>
      <c r="L83" s="28"/>
      <c r="M83" s="54"/>
      <c r="N83" s="54"/>
      <c r="O83" s="54"/>
      <c r="P83" s="28"/>
      <c r="Q83" s="28"/>
      <c r="R83" s="28"/>
      <c r="S83" s="26"/>
    </row>
    <row r="84" spans="1:22" ht="14.1" customHeight="1" x14ac:dyDescent="0.2">
      <c r="A84" s="3">
        <f t="shared" si="0"/>
        <v>19</v>
      </c>
      <c r="B84" s="28"/>
      <c r="C84" s="37">
        <v>904</v>
      </c>
      <c r="E84" s="51" t="s">
        <v>62</v>
      </c>
      <c r="F84" s="52"/>
      <c r="H84" s="51" t="s">
        <v>77</v>
      </c>
      <c r="I84" s="53"/>
      <c r="J84" s="53"/>
      <c r="K84" s="54"/>
      <c r="L84" s="28"/>
      <c r="M84" s="54"/>
      <c r="N84" s="29"/>
      <c r="P84" s="28"/>
      <c r="Q84" s="28"/>
      <c r="R84" s="28"/>
      <c r="S84" s="26"/>
      <c r="T84" s="55"/>
    </row>
    <row r="85" spans="1:22" ht="14.1" customHeight="1" x14ac:dyDescent="0.2">
      <c r="A85" s="3">
        <f t="shared" si="0"/>
        <v>20</v>
      </c>
      <c r="B85" s="28"/>
      <c r="H85" s="3" t="s">
        <v>78</v>
      </c>
      <c r="I85" s="53"/>
      <c r="J85" s="53"/>
      <c r="K85" s="54"/>
      <c r="L85" s="28"/>
      <c r="M85" s="54"/>
      <c r="N85" s="54"/>
      <c r="O85" s="54"/>
      <c r="P85" s="28"/>
      <c r="Q85" s="28"/>
      <c r="R85" s="28"/>
      <c r="S85" s="26"/>
    </row>
    <row r="86" spans="1:22" ht="14.1" customHeight="1" x14ac:dyDescent="0.2">
      <c r="A86" s="3">
        <f t="shared" si="0"/>
        <v>21</v>
      </c>
      <c r="B86" s="28"/>
      <c r="I86" s="53"/>
      <c r="J86" s="53"/>
      <c r="K86" s="54"/>
      <c r="L86" s="28"/>
      <c r="M86" s="54"/>
      <c r="N86" s="29"/>
      <c r="O86" s="54"/>
      <c r="P86" s="28"/>
      <c r="Q86" s="28"/>
      <c r="R86" s="28"/>
      <c r="S86" s="26"/>
      <c r="T86" s="55"/>
    </row>
    <row r="87" spans="1:22" ht="14.1" customHeight="1" x14ac:dyDescent="0.2">
      <c r="A87" s="3">
        <f t="shared" si="0"/>
        <v>22</v>
      </c>
      <c r="B87" s="28"/>
      <c r="C87" s="37">
        <v>924</v>
      </c>
      <c r="E87" s="51" t="s">
        <v>63</v>
      </c>
      <c r="G87" s="52"/>
      <c r="H87" s="51" t="s">
        <v>79</v>
      </c>
      <c r="L87" s="28"/>
      <c r="N87" s="29"/>
      <c r="P87" s="26"/>
      <c r="Q87" s="26"/>
      <c r="R87" s="26"/>
      <c r="S87" s="26"/>
    </row>
    <row r="88" spans="1:22" ht="14.1" customHeight="1" x14ac:dyDescent="0.2">
      <c r="A88" s="3">
        <f t="shared" si="0"/>
        <v>23</v>
      </c>
      <c r="B88" s="28"/>
      <c r="C88" s="37"/>
      <c r="E88" s="25"/>
      <c r="H88" s="3" t="s">
        <v>80</v>
      </c>
      <c r="I88" s="53"/>
      <c r="J88" s="53"/>
      <c r="K88" s="54"/>
      <c r="L88" s="28"/>
      <c r="M88" s="54"/>
      <c r="N88" s="29"/>
      <c r="O88" s="54"/>
      <c r="P88" s="28"/>
      <c r="Q88" s="28"/>
      <c r="R88" s="28"/>
      <c r="S88" s="26"/>
    </row>
    <row r="89" spans="1:22" ht="14.1" customHeight="1" x14ac:dyDescent="0.2">
      <c r="A89" s="3">
        <f t="shared" si="0"/>
        <v>24</v>
      </c>
      <c r="B89" s="28"/>
      <c r="I89" s="53"/>
      <c r="J89" s="53"/>
      <c r="K89" s="54"/>
      <c r="L89" s="28"/>
      <c r="M89" s="54"/>
      <c r="N89" s="54"/>
      <c r="O89" s="54"/>
      <c r="P89" s="28"/>
      <c r="Q89" s="28"/>
      <c r="R89" s="28"/>
      <c r="S89" s="26"/>
    </row>
    <row r="90" spans="1:22" ht="14.1" customHeight="1" x14ac:dyDescent="0.2">
      <c r="A90" s="3">
        <f t="shared" si="0"/>
        <v>25</v>
      </c>
      <c r="B90" s="28"/>
      <c r="I90" s="53"/>
      <c r="J90" s="53"/>
      <c r="K90" s="31"/>
      <c r="L90" s="28"/>
      <c r="M90" s="31"/>
      <c r="N90" s="29"/>
      <c r="O90" s="31"/>
      <c r="P90" s="30"/>
      <c r="Q90" s="34"/>
      <c r="R90" s="31"/>
      <c r="S90" s="26"/>
    </row>
    <row r="91" spans="1:22" ht="14.1" customHeight="1" x14ac:dyDescent="0.2">
      <c r="A91" s="3">
        <f t="shared" si="0"/>
        <v>26</v>
      </c>
      <c r="B91" s="28"/>
      <c r="C91" s="61"/>
      <c r="D91" s="62"/>
      <c r="E91" s="15"/>
      <c r="I91" s="53"/>
      <c r="J91" s="53"/>
      <c r="K91" s="54"/>
      <c r="L91" s="28"/>
      <c r="M91" s="63"/>
      <c r="N91" s="54"/>
      <c r="O91" s="54"/>
      <c r="P91" s="28"/>
      <c r="Q91" s="28"/>
      <c r="R91" s="28"/>
      <c r="S91" s="26"/>
    </row>
    <row r="92" spans="1:22" ht="14.1" customHeight="1" x14ac:dyDescent="0.2">
      <c r="A92" s="3">
        <f t="shared" si="0"/>
        <v>27</v>
      </c>
      <c r="B92" s="28"/>
      <c r="C92" s="37"/>
      <c r="D92" s="51"/>
      <c r="E92" s="15"/>
      <c r="F92" s="52"/>
      <c r="H92" s="53"/>
      <c r="I92" s="53"/>
      <c r="J92" s="53"/>
      <c r="K92" s="54"/>
      <c r="L92" s="28"/>
      <c r="M92" s="54"/>
      <c r="N92" s="29"/>
      <c r="O92" s="54"/>
      <c r="P92" s="28"/>
      <c r="Q92" s="28"/>
      <c r="R92" s="28"/>
      <c r="S92" s="26"/>
      <c r="T92" s="55"/>
    </row>
    <row r="93" spans="1:22" ht="14.1" customHeight="1" x14ac:dyDescent="0.2">
      <c r="A93" s="3">
        <f t="shared" si="0"/>
        <v>28</v>
      </c>
      <c r="B93" s="28"/>
      <c r="C93" s="64"/>
      <c r="D93" s="59"/>
      <c r="K93" s="54"/>
      <c r="L93" s="28"/>
      <c r="M93" s="54"/>
      <c r="N93" s="54"/>
      <c r="O93" s="54"/>
      <c r="P93" s="28"/>
      <c r="Q93" s="28"/>
      <c r="R93" s="28"/>
      <c r="S93" s="26"/>
    </row>
    <row r="94" spans="1:22" ht="14.1" customHeight="1" x14ac:dyDescent="0.2">
      <c r="A94" s="3">
        <f t="shared" si="0"/>
        <v>29</v>
      </c>
      <c r="B94" s="23"/>
      <c r="C94" s="37"/>
      <c r="D94" s="51"/>
      <c r="E94" s="15"/>
      <c r="G94" s="52"/>
      <c r="H94" s="57"/>
      <c r="J94" s="57"/>
      <c r="K94" s="31"/>
      <c r="L94" s="28"/>
      <c r="M94" s="31"/>
      <c r="N94" s="29"/>
      <c r="O94" s="31"/>
      <c r="P94" s="34"/>
      <c r="Q94" s="34"/>
      <c r="R94" s="26"/>
      <c r="S94" s="26"/>
      <c r="T94" s="55"/>
    </row>
    <row r="95" spans="1:22" ht="14.1" customHeight="1" x14ac:dyDescent="0.2">
      <c r="A95" s="3">
        <f t="shared" si="0"/>
        <v>30</v>
      </c>
      <c r="B95" s="28"/>
      <c r="C95" s="62"/>
      <c r="E95" s="15"/>
      <c r="F95" s="52"/>
      <c r="H95" s="53"/>
      <c r="I95" s="53"/>
      <c r="J95" s="53"/>
      <c r="K95" s="54"/>
      <c r="L95" s="54"/>
      <c r="M95" s="54"/>
      <c r="N95" s="54"/>
      <c r="O95" s="54"/>
      <c r="P95" s="28"/>
      <c r="Q95" s="28"/>
      <c r="R95" s="28"/>
      <c r="S95" s="26"/>
    </row>
    <row r="96" spans="1:22" ht="14.1" customHeight="1" x14ac:dyDescent="0.2">
      <c r="A96" s="3">
        <f t="shared" si="0"/>
        <v>31</v>
      </c>
      <c r="B96" s="28"/>
      <c r="C96" s="37"/>
      <c r="D96" s="51"/>
      <c r="F96" s="52"/>
      <c r="H96" s="65"/>
      <c r="I96" s="52"/>
      <c r="J96" s="65"/>
      <c r="K96" s="31"/>
      <c r="L96" s="28"/>
      <c r="M96" s="31"/>
      <c r="N96" s="29"/>
      <c r="P96" s="34"/>
      <c r="Q96" s="34"/>
      <c r="R96" s="26"/>
      <c r="S96" s="26"/>
    </row>
    <row r="97" spans="1:20" ht="14.1" customHeight="1" x14ac:dyDescent="0.2">
      <c r="A97" s="3">
        <f t="shared" si="0"/>
        <v>32</v>
      </c>
      <c r="B97" s="28"/>
      <c r="C97" s="37"/>
      <c r="D97" s="51"/>
      <c r="G97" s="26"/>
      <c r="N97" s="4"/>
      <c r="P97" s="26"/>
      <c r="Q97" s="26"/>
      <c r="R97" s="26"/>
      <c r="S97" s="26"/>
      <c r="T97" s="55"/>
    </row>
    <row r="98" spans="1:20" ht="14.1" customHeight="1" x14ac:dyDescent="0.2">
      <c r="A98" s="3">
        <f t="shared" si="0"/>
        <v>33</v>
      </c>
      <c r="B98" s="28"/>
      <c r="C98" s="37"/>
      <c r="D98" s="51"/>
      <c r="H98" s="65"/>
      <c r="I98" s="52"/>
      <c r="J98" s="65"/>
      <c r="K98" s="31"/>
      <c r="L98" s="28"/>
      <c r="M98" s="31"/>
      <c r="N98" s="29"/>
      <c r="O98" s="31"/>
      <c r="P98" s="26"/>
      <c r="Q98" s="26"/>
      <c r="R98" s="26"/>
      <c r="S98" s="26"/>
    </row>
    <row r="99" spans="1:20" ht="14.1" customHeight="1" x14ac:dyDescent="0.2">
      <c r="A99" s="3">
        <f t="shared" si="0"/>
        <v>34</v>
      </c>
      <c r="B99" s="28"/>
      <c r="C99" s="66"/>
      <c r="F99" s="26"/>
      <c r="H99" s="67"/>
      <c r="I99" s="31"/>
      <c r="J99" s="67"/>
      <c r="K99" s="31"/>
      <c r="L99" s="67"/>
      <c r="M99" s="31"/>
      <c r="N99" s="68"/>
      <c r="O99" s="31"/>
      <c r="P99" s="26"/>
      <c r="Q99" s="26"/>
      <c r="R99" s="26"/>
      <c r="S99" s="26"/>
    </row>
    <row r="100" spans="1:20" ht="14.1" customHeight="1" x14ac:dyDescent="0.2">
      <c r="A100" s="3">
        <f t="shared" si="0"/>
        <v>35</v>
      </c>
      <c r="B100" s="28"/>
      <c r="C100" s="37"/>
      <c r="D100" s="51"/>
      <c r="L100" s="28"/>
      <c r="N100" s="29"/>
    </row>
    <row r="101" spans="1:20" ht="14.1" customHeight="1" x14ac:dyDescent="0.2">
      <c r="A101" s="3">
        <f t="shared" si="0"/>
        <v>36</v>
      </c>
      <c r="B101" s="28"/>
      <c r="C101" s="66"/>
      <c r="H101" s="67"/>
      <c r="I101" s="26"/>
      <c r="J101" s="67"/>
      <c r="K101" s="26"/>
      <c r="L101" s="67"/>
      <c r="M101" s="26"/>
      <c r="N101" s="68"/>
      <c r="O101" s="26"/>
      <c r="P101" s="26"/>
      <c r="Q101" s="26"/>
      <c r="R101" s="26"/>
      <c r="S101" s="26"/>
    </row>
    <row r="102" spans="1:20" ht="14.1" customHeight="1" x14ac:dyDescent="0.2">
      <c r="A102" s="3">
        <f t="shared" si="0"/>
        <v>37</v>
      </c>
      <c r="B102" s="28"/>
      <c r="C102" s="37"/>
      <c r="D102" s="51"/>
      <c r="F102" s="26"/>
      <c r="H102" s="67"/>
      <c r="I102" s="26"/>
      <c r="J102" s="67"/>
      <c r="K102" s="26"/>
      <c r="L102" s="28"/>
      <c r="M102" s="26"/>
      <c r="N102" s="29"/>
      <c r="O102" s="26"/>
      <c r="P102" s="26"/>
      <c r="Q102" s="26"/>
      <c r="R102" s="26"/>
      <c r="S102" s="26"/>
    </row>
    <row r="103" spans="1:20" ht="14.1" customHeight="1" x14ac:dyDescent="0.2">
      <c r="A103" s="3">
        <f t="shared" si="0"/>
        <v>38</v>
      </c>
      <c r="B103" s="23"/>
      <c r="C103" s="34"/>
      <c r="F103" s="26"/>
      <c r="G103" s="26"/>
      <c r="H103" s="26"/>
      <c r="I103" s="26"/>
      <c r="J103" s="26"/>
      <c r="K103" s="26"/>
      <c r="L103" s="26"/>
      <c r="M103" s="26"/>
      <c r="N103" s="47"/>
      <c r="O103" s="26"/>
      <c r="P103" s="26"/>
      <c r="Q103" s="26"/>
      <c r="R103" s="26"/>
      <c r="S103" s="26"/>
    </row>
    <row r="104" spans="1:20" ht="14.1" customHeight="1" x14ac:dyDescent="0.2">
      <c r="A104" s="3">
        <f t="shared" si="0"/>
        <v>39</v>
      </c>
      <c r="B104" s="23"/>
      <c r="C104" s="37"/>
      <c r="D104" s="51"/>
      <c r="F104" s="26"/>
      <c r="G104" s="26"/>
      <c r="H104" s="26"/>
      <c r="I104" s="26"/>
      <c r="J104" s="26"/>
      <c r="K104" s="26"/>
      <c r="L104" s="28"/>
      <c r="M104" s="26"/>
      <c r="N104" s="29"/>
      <c r="O104" s="26"/>
      <c r="P104" s="26"/>
      <c r="Q104" s="26"/>
      <c r="R104" s="26"/>
      <c r="S104" s="26"/>
    </row>
    <row r="105" spans="1:20" ht="14.1" customHeight="1" thickBot="1" x14ac:dyDescent="0.25">
      <c r="A105" s="42">
        <v>40</v>
      </c>
      <c r="B105" s="1"/>
      <c r="C105" s="69"/>
      <c r="D105" s="2"/>
      <c r="E105" s="2"/>
      <c r="F105" s="44"/>
      <c r="G105" s="44"/>
      <c r="H105" s="44"/>
      <c r="I105" s="44"/>
      <c r="J105" s="44"/>
      <c r="K105" s="44"/>
      <c r="L105" s="44"/>
      <c r="M105" s="44"/>
      <c r="N105" s="45"/>
      <c r="O105" s="44"/>
      <c r="P105" s="44"/>
      <c r="Q105" s="44"/>
      <c r="R105" s="44"/>
      <c r="S105" s="2"/>
    </row>
    <row r="106" spans="1:20" ht="14.1" customHeight="1" x14ac:dyDescent="0.2">
      <c r="A106" s="3" t="s">
        <v>65</v>
      </c>
      <c r="C106" s="34"/>
      <c r="F106" s="26"/>
      <c r="G106" s="26"/>
      <c r="H106" s="26"/>
      <c r="I106" s="26"/>
      <c r="J106" s="26"/>
      <c r="K106" s="26"/>
      <c r="L106" s="26"/>
      <c r="M106" s="26"/>
      <c r="N106" s="47"/>
      <c r="O106" s="26"/>
      <c r="P106" s="26"/>
      <c r="Q106" s="26" t="str">
        <f>Q53</f>
        <v>Recap Schedules: C-4</v>
      </c>
      <c r="R106" s="26"/>
    </row>
  </sheetData>
  <pageMargins left="1" right="0" top="1" bottom="0" header="0" footer="0"/>
  <pageSetup scale="72" fitToHeight="7" orientation="landscape" r:id="rId1"/>
  <headerFooter alignWithMargins="0"/>
  <rowBreaks count="1" manualBreakCount="1">
    <brk id="53" max="18" man="1"/>
  </rowBreaks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33108-BDEA-4685-985D-C70BFE9144B9}">
  <sheetPr>
    <tabColor theme="5"/>
  </sheetPr>
  <dimension ref="A1:AA1048576"/>
  <sheetViews>
    <sheetView topLeftCell="A213" workbookViewId="0">
      <selection activeCell="I241" sqref="I241:I242"/>
    </sheetView>
  </sheetViews>
  <sheetFormatPr defaultColWidth="9.109375" defaultRowHeight="13.2" x14ac:dyDescent="0.25"/>
  <cols>
    <col min="1" max="1" width="9.109375" style="90"/>
    <col min="2" max="2" width="11.33203125" style="90" customWidth="1"/>
    <col min="3" max="5" width="9.33203125" style="90" customWidth="1"/>
    <col min="6" max="6" width="11.33203125" style="90" customWidth="1"/>
    <col min="7" max="7" width="10.109375" style="90" customWidth="1"/>
    <col min="8" max="8" width="9.33203125" style="90" customWidth="1"/>
    <col min="9" max="9" width="9.6640625" style="90" customWidth="1"/>
    <col min="10" max="10" width="9.88671875" style="90" customWidth="1"/>
    <col min="11" max="11" width="9.33203125" style="90" customWidth="1"/>
    <col min="12" max="12" width="9.88671875" style="90" customWidth="1"/>
    <col min="13" max="18" width="9.33203125" style="90" customWidth="1"/>
    <col min="19" max="19" width="10.44140625" style="90" customWidth="1"/>
    <col min="20" max="22" width="9.109375" style="90"/>
    <col min="23" max="23" width="3.109375" style="90" customWidth="1"/>
    <col min="24" max="24" width="17.109375" style="90" customWidth="1"/>
    <col min="25" max="25" width="16.5546875" style="90" bestFit="1" customWidth="1"/>
    <col min="26" max="26" width="10.44140625" style="90" bestFit="1" customWidth="1"/>
    <col min="27" max="27" width="13.5546875" style="90" customWidth="1"/>
    <col min="28" max="16384" width="9.109375" style="90"/>
  </cols>
  <sheetData>
    <row r="1" spans="1:27" ht="13.8" thickBot="1" x14ac:dyDescent="0.3">
      <c r="A1" s="89" t="s">
        <v>3373</v>
      </c>
      <c r="B1" s="89"/>
      <c r="C1" s="89"/>
      <c r="D1" s="89"/>
      <c r="E1" s="89"/>
      <c r="F1" s="89"/>
      <c r="G1" s="89"/>
      <c r="H1" s="12" t="s">
        <v>3374</v>
      </c>
      <c r="I1" s="12"/>
      <c r="J1" s="89"/>
      <c r="K1" s="89"/>
      <c r="L1" s="89"/>
      <c r="M1" s="89"/>
      <c r="N1" s="89"/>
      <c r="O1" s="89"/>
      <c r="P1" s="89"/>
      <c r="Q1" s="89"/>
      <c r="R1" s="89"/>
      <c r="S1" s="89" t="s">
        <v>3375</v>
      </c>
    </row>
    <row r="2" spans="1:27" x14ac:dyDescent="0.25">
      <c r="A2" s="91" t="s">
        <v>3</v>
      </c>
      <c r="B2" s="91"/>
      <c r="C2" s="91"/>
      <c r="D2" s="91"/>
      <c r="E2" s="91"/>
      <c r="F2" s="91" t="s">
        <v>4</v>
      </c>
      <c r="G2" s="10" t="s">
        <v>3376</v>
      </c>
      <c r="H2" s="10"/>
      <c r="I2" s="10"/>
      <c r="J2" s="92"/>
      <c r="K2" s="92"/>
      <c r="L2" s="91"/>
      <c r="M2" s="92"/>
      <c r="N2" s="92"/>
      <c r="O2" s="92"/>
      <c r="P2" s="92" t="s">
        <v>6</v>
      </c>
      <c r="Q2" s="91"/>
      <c r="R2" s="91"/>
      <c r="S2" s="93"/>
    </row>
    <row r="3" spans="1:27" x14ac:dyDescent="0.25">
      <c r="A3" s="91"/>
      <c r="B3" s="91"/>
      <c r="C3" s="91"/>
      <c r="D3" s="91"/>
      <c r="E3" s="91"/>
      <c r="F3" s="91"/>
      <c r="G3" s="10" t="s">
        <v>3377</v>
      </c>
      <c r="H3" s="10"/>
      <c r="I3" s="10"/>
      <c r="J3" s="94"/>
      <c r="K3" s="93"/>
      <c r="L3" s="91"/>
      <c r="M3" s="91"/>
      <c r="N3" s="91"/>
      <c r="O3" s="94"/>
      <c r="P3" s="94"/>
      <c r="Q3" s="93"/>
      <c r="R3" s="91"/>
      <c r="S3" s="94"/>
    </row>
    <row r="4" spans="1:27" x14ac:dyDescent="0.25">
      <c r="A4" s="91" t="s">
        <v>10</v>
      </c>
      <c r="B4" s="91"/>
      <c r="C4" s="91"/>
      <c r="D4" s="91"/>
      <c r="E4" s="91"/>
      <c r="F4" s="91"/>
      <c r="G4" s="10"/>
      <c r="H4" s="91"/>
      <c r="I4" s="91"/>
      <c r="J4" s="94"/>
      <c r="K4" s="93"/>
      <c r="L4" s="94"/>
      <c r="M4" s="91"/>
      <c r="N4" s="91"/>
      <c r="O4" s="91"/>
      <c r="P4" s="94"/>
      <c r="Q4" s="93"/>
      <c r="R4" s="91"/>
      <c r="S4" s="94"/>
    </row>
    <row r="5" spans="1:27" x14ac:dyDescent="0.25">
      <c r="A5" s="91"/>
      <c r="B5" s="91"/>
      <c r="C5" s="91"/>
      <c r="D5" s="91"/>
      <c r="E5" s="91"/>
      <c r="F5" s="91"/>
      <c r="G5" s="91"/>
      <c r="H5" s="91"/>
      <c r="I5" s="91"/>
      <c r="J5" s="94"/>
      <c r="K5" s="93"/>
      <c r="L5" s="94"/>
      <c r="M5" s="91"/>
      <c r="N5" s="91"/>
      <c r="O5" s="91"/>
      <c r="P5" s="94"/>
      <c r="Q5" s="93"/>
      <c r="R5" s="91"/>
      <c r="S5" s="94"/>
    </row>
    <row r="6" spans="1:27" ht="13.8" thickBot="1" x14ac:dyDescent="0.3">
      <c r="A6" s="12" t="s">
        <v>84</v>
      </c>
      <c r="B6" s="12"/>
      <c r="C6" s="89"/>
      <c r="D6" s="89"/>
      <c r="E6" s="89"/>
      <c r="F6" s="89"/>
      <c r="G6" s="89"/>
      <c r="H6" s="89"/>
      <c r="I6" s="89"/>
      <c r="J6" s="95"/>
      <c r="K6" s="89"/>
      <c r="L6" s="89"/>
      <c r="M6" s="89"/>
      <c r="N6" s="89"/>
      <c r="O6" s="89"/>
      <c r="P6" s="89"/>
      <c r="Q6" s="12" t="s">
        <v>3378</v>
      </c>
      <c r="R6" s="89"/>
      <c r="S6" s="89"/>
    </row>
    <row r="7" spans="1:27" ht="13.2" customHeight="1" x14ac:dyDescent="0.3">
      <c r="A7" s="10"/>
      <c r="B7" s="35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X7" s="97"/>
      <c r="Y7" s="97"/>
      <c r="Z7" s="97"/>
      <c r="AA7" s="97"/>
    </row>
    <row r="8" spans="1:27" ht="13.2" customHeight="1" x14ac:dyDescent="0.3">
      <c r="A8" s="10"/>
      <c r="B8" s="35"/>
      <c r="C8" s="96"/>
      <c r="D8" s="96"/>
      <c r="E8" s="96"/>
      <c r="F8" s="96"/>
      <c r="G8" s="96"/>
      <c r="H8" s="96"/>
      <c r="I8" s="96" t="s">
        <v>18</v>
      </c>
      <c r="J8" s="96"/>
      <c r="K8" s="96"/>
      <c r="L8" s="96" t="s">
        <v>19</v>
      </c>
      <c r="M8" s="96"/>
      <c r="N8" s="96"/>
      <c r="O8" s="96" t="s">
        <v>20</v>
      </c>
      <c r="P8" s="96"/>
      <c r="Q8" s="96"/>
      <c r="R8" s="96"/>
      <c r="S8" s="96"/>
      <c r="X8" s="97"/>
      <c r="Y8" s="97"/>
      <c r="Z8" s="97"/>
      <c r="AA8" s="97"/>
    </row>
    <row r="9" spans="1:27" ht="13.2" customHeight="1" x14ac:dyDescent="0.3">
      <c r="A9" s="10"/>
      <c r="B9" s="35"/>
      <c r="C9" s="96"/>
      <c r="D9" s="96"/>
      <c r="E9" s="96"/>
      <c r="F9" s="96"/>
      <c r="G9" s="96"/>
      <c r="H9" s="96"/>
      <c r="I9" s="96"/>
      <c r="J9" s="96"/>
      <c r="K9" s="35"/>
      <c r="L9" s="35"/>
      <c r="M9" s="96"/>
      <c r="N9" s="35"/>
      <c r="O9" s="96" t="s">
        <v>3379</v>
      </c>
      <c r="P9" s="96"/>
      <c r="Q9" s="35"/>
      <c r="R9" s="35"/>
      <c r="S9" s="35"/>
      <c r="X9" s="97"/>
      <c r="Y9" s="97"/>
      <c r="Z9" s="97"/>
      <c r="AA9" s="97"/>
    </row>
    <row r="10" spans="1:27" x14ac:dyDescent="0.25">
      <c r="A10" s="10" t="s">
        <v>33</v>
      </c>
      <c r="B10" s="35"/>
      <c r="C10" s="35" t="s">
        <v>34</v>
      </c>
      <c r="D10" s="35"/>
      <c r="E10" s="35"/>
      <c r="F10" s="35" t="s">
        <v>34</v>
      </c>
      <c r="G10" s="96"/>
      <c r="H10" s="96"/>
      <c r="I10" s="96" t="s">
        <v>3380</v>
      </c>
      <c r="J10" s="35"/>
      <c r="K10" s="35"/>
      <c r="L10" s="35" t="s">
        <v>3381</v>
      </c>
      <c r="M10" s="35"/>
      <c r="N10" s="35"/>
      <c r="O10" s="35" t="s">
        <v>3382</v>
      </c>
      <c r="P10" s="35"/>
      <c r="Q10" s="96"/>
      <c r="R10" s="96"/>
      <c r="S10" s="35"/>
    </row>
    <row r="11" spans="1:27" ht="13.8" thickBot="1" x14ac:dyDescent="0.3">
      <c r="A11" s="12" t="s">
        <v>39</v>
      </c>
      <c r="B11" s="98"/>
      <c r="C11" s="98" t="s">
        <v>39</v>
      </c>
      <c r="D11" s="98"/>
      <c r="E11" s="98"/>
      <c r="F11" s="98" t="s">
        <v>3383</v>
      </c>
      <c r="G11" s="98"/>
      <c r="H11" s="98"/>
      <c r="I11" s="98" t="s">
        <v>3384</v>
      </c>
      <c r="J11" s="98"/>
      <c r="K11" s="99"/>
      <c r="L11" s="99" t="s">
        <v>3379</v>
      </c>
      <c r="M11" s="99"/>
      <c r="N11" s="99"/>
      <c r="O11" s="99" t="s">
        <v>3385</v>
      </c>
      <c r="P11" s="99"/>
      <c r="Q11" s="99"/>
      <c r="R11" s="99"/>
      <c r="S11" s="99"/>
      <c r="X11" s="100"/>
      <c r="Y11" s="100"/>
      <c r="Z11" s="100"/>
      <c r="AA11" s="100"/>
    </row>
    <row r="12" spans="1:27" x14ac:dyDescent="0.25">
      <c r="A12" s="10">
        <v>1</v>
      </c>
      <c r="B12" s="101"/>
      <c r="C12" s="37"/>
      <c r="D12" s="101"/>
      <c r="E12" s="10"/>
      <c r="F12" s="57"/>
      <c r="G12" s="57"/>
      <c r="H12" s="57"/>
      <c r="I12" s="57"/>
      <c r="J12" s="101"/>
      <c r="K12" s="101"/>
      <c r="L12" s="101"/>
      <c r="M12" s="101"/>
      <c r="N12" s="101"/>
      <c r="O12" s="102"/>
      <c r="P12" s="101"/>
      <c r="Q12" s="101"/>
      <c r="R12" s="101"/>
      <c r="S12" s="101"/>
    </row>
    <row r="13" spans="1:27" ht="14.4" x14ac:dyDescent="0.3">
      <c r="A13" s="10">
        <v>2</v>
      </c>
      <c r="B13" s="101"/>
      <c r="C13" s="37" t="s">
        <v>3386</v>
      </c>
      <c r="D13" s="10"/>
      <c r="E13" s="57" t="s">
        <v>3387</v>
      </c>
      <c r="F13" s="57"/>
      <c r="G13" s="57"/>
      <c r="H13" s="57"/>
      <c r="I13" s="103">
        <f>+'[74]C-1'!G124</f>
        <v>2031125.4509812563</v>
      </c>
      <c r="J13" s="57"/>
      <c r="K13" s="57"/>
      <c r="L13" s="103">
        <f>+'[74]C-1'!O124</f>
        <v>2023483.6071040563</v>
      </c>
      <c r="M13" s="57"/>
      <c r="N13" s="57"/>
      <c r="O13" s="104">
        <f>IF(I13=0,0,ROUND(L13/I13,6))</f>
        <v>0.99623799999999996</v>
      </c>
      <c r="P13" s="57"/>
      <c r="Q13" s="105"/>
      <c r="R13" s="57"/>
      <c r="S13" s="57"/>
      <c r="T13" s="106"/>
      <c r="U13" s="106"/>
      <c r="V13" s="106"/>
      <c r="W13" s="107"/>
      <c r="X13" s="108"/>
      <c r="Y13" s="108"/>
      <c r="Z13" s="108"/>
      <c r="AA13" s="141"/>
    </row>
    <row r="14" spans="1:27" x14ac:dyDescent="0.25">
      <c r="A14" s="10">
        <v>3</v>
      </c>
      <c r="B14" s="101"/>
      <c r="C14" s="37"/>
      <c r="D14" s="10"/>
      <c r="E14" s="10"/>
      <c r="F14" s="105"/>
      <c r="G14" s="105"/>
      <c r="H14" s="105"/>
      <c r="I14" s="10"/>
      <c r="J14" s="109"/>
      <c r="K14" s="109"/>
      <c r="L14" s="10"/>
      <c r="M14" s="105"/>
      <c r="N14" s="105"/>
      <c r="O14" s="102"/>
      <c r="P14" s="10"/>
      <c r="Q14" s="105"/>
      <c r="R14" s="105"/>
      <c r="S14" s="105"/>
      <c r="AA14" s="141"/>
    </row>
    <row r="15" spans="1:27" ht="14.4" x14ac:dyDescent="0.3">
      <c r="A15" s="10">
        <v>4</v>
      </c>
      <c r="B15" s="101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5"/>
      <c r="O15" s="102"/>
      <c r="P15" s="105"/>
      <c r="Q15" s="105"/>
      <c r="R15" s="105"/>
      <c r="S15" s="105"/>
      <c r="X15" s="108"/>
      <c r="Y15" s="108"/>
      <c r="Z15" s="108"/>
      <c r="AA15" s="141"/>
    </row>
    <row r="16" spans="1:27" ht="14.4" x14ac:dyDescent="0.3">
      <c r="A16" s="10">
        <v>5</v>
      </c>
      <c r="B16" s="101"/>
      <c r="C16" s="37"/>
      <c r="D16" s="10"/>
      <c r="E16" s="10" t="s">
        <v>3388</v>
      </c>
      <c r="F16" s="105"/>
      <c r="G16" s="105"/>
      <c r="H16" s="105"/>
      <c r="I16" s="105"/>
      <c r="J16" s="105"/>
      <c r="K16" s="105"/>
      <c r="L16" s="105"/>
      <c r="M16" s="105"/>
      <c r="N16" s="105"/>
      <c r="O16" s="102"/>
      <c r="P16" s="10"/>
      <c r="Q16" s="105"/>
      <c r="R16" s="105"/>
      <c r="S16" s="105"/>
      <c r="X16" s="108"/>
      <c r="Y16" s="108"/>
      <c r="Z16" s="108"/>
      <c r="AA16" s="141"/>
    </row>
    <row r="17" spans="1:27" ht="14.4" x14ac:dyDescent="0.3">
      <c r="A17" s="10">
        <v>6</v>
      </c>
      <c r="B17" s="101"/>
      <c r="C17" s="37"/>
      <c r="D17" s="10"/>
      <c r="E17" s="10" t="s">
        <v>3389</v>
      </c>
      <c r="F17" s="105"/>
      <c r="G17" s="105"/>
      <c r="H17" s="105"/>
      <c r="I17" s="105"/>
      <c r="J17" s="105"/>
      <c r="K17" s="105"/>
      <c r="L17" s="105"/>
      <c r="M17" s="105"/>
      <c r="N17" s="105"/>
      <c r="O17" s="102"/>
      <c r="P17" s="105"/>
      <c r="Q17" s="105"/>
      <c r="R17" s="105"/>
      <c r="S17" s="105"/>
      <c r="X17" s="108"/>
      <c r="Y17" s="108"/>
      <c r="Z17" s="108"/>
      <c r="AA17" s="141"/>
    </row>
    <row r="18" spans="1:27" ht="14.4" x14ac:dyDescent="0.3">
      <c r="A18" s="10">
        <v>7</v>
      </c>
      <c r="B18" s="101"/>
      <c r="C18" s="37"/>
      <c r="D18" s="10"/>
      <c r="E18" s="10" t="s">
        <v>3390</v>
      </c>
      <c r="F18" s="105"/>
      <c r="G18" s="105"/>
      <c r="H18" s="105"/>
      <c r="I18" s="105"/>
      <c r="J18" s="105"/>
      <c r="K18" s="105"/>
      <c r="L18" s="105"/>
      <c r="M18" s="105"/>
      <c r="N18" s="105"/>
      <c r="O18" s="102"/>
      <c r="P18" s="105"/>
      <c r="Q18" s="105"/>
      <c r="R18" s="105"/>
      <c r="S18" s="105"/>
      <c r="X18" s="108"/>
      <c r="Y18" s="108"/>
      <c r="Z18" s="108"/>
      <c r="AA18" s="141"/>
    </row>
    <row r="19" spans="1:27" ht="14.4" x14ac:dyDescent="0.3">
      <c r="A19" s="10">
        <v>8</v>
      </c>
      <c r="B19" s="101"/>
      <c r="C19" s="37" t="s">
        <v>3391</v>
      </c>
      <c r="D19" s="10"/>
      <c r="E19" s="110" t="s">
        <v>3392</v>
      </c>
      <c r="F19" s="105"/>
      <c r="G19" s="105"/>
      <c r="H19" s="105"/>
      <c r="I19" s="111">
        <f>ROUND(VLOOKUP("9500000",'[74]FERC 2021'!A:O,15,FALSE)/1000,9)</f>
        <v>3180.9535632410002</v>
      </c>
      <c r="J19" s="105"/>
      <c r="K19" s="105"/>
      <c r="L19" s="111">
        <f>+'[74]C-4 Supplement'!J5</f>
        <v>3159.518312926431</v>
      </c>
      <c r="M19" s="105"/>
      <c r="N19" s="10"/>
      <c r="O19" s="112">
        <f t="shared" ref="O19:O26" si="0">IF(I19=0,0,ROUND(L19/I19,6))</f>
        <v>0.99326099999999995</v>
      </c>
      <c r="P19" s="105"/>
      <c r="Q19" s="105"/>
      <c r="R19" s="105"/>
      <c r="S19" s="105"/>
      <c r="X19" s="108"/>
      <c r="Y19" s="108"/>
      <c r="Z19" s="108"/>
      <c r="AA19" s="141"/>
    </row>
    <row r="20" spans="1:27" ht="14.4" x14ac:dyDescent="0.3">
      <c r="A20" s="10">
        <v>9</v>
      </c>
      <c r="B20" s="101"/>
      <c r="C20" s="37">
        <v>501</v>
      </c>
      <c r="D20" s="10"/>
      <c r="E20" s="110" t="s">
        <v>51</v>
      </c>
      <c r="F20" s="105"/>
      <c r="G20" s="105"/>
      <c r="H20" s="105"/>
      <c r="I20" s="111">
        <f>ROUND(VLOOKUP("9501000",'[74]FERC 2021'!A:O,15,FALSE)/1000,9)</f>
        <v>100877.67069829001</v>
      </c>
      <c r="J20" s="105"/>
      <c r="K20" s="105"/>
      <c r="L20" s="111">
        <f>+'[74]C-4 Supplement'!J6</f>
        <v>100877.67069829001</v>
      </c>
      <c r="M20" s="105"/>
      <c r="N20" s="10"/>
      <c r="O20" s="113">
        <f t="shared" si="0"/>
        <v>1</v>
      </c>
      <c r="P20" s="105"/>
      <c r="Q20" s="105"/>
      <c r="R20" s="105"/>
      <c r="S20" s="105"/>
      <c r="X20" s="108"/>
      <c r="Y20" s="108"/>
      <c r="Z20" s="108"/>
      <c r="AA20" s="141"/>
    </row>
    <row r="21" spans="1:27" ht="14.4" x14ac:dyDescent="0.3">
      <c r="A21" s="10">
        <v>10</v>
      </c>
      <c r="B21" s="101"/>
      <c r="C21" s="37">
        <v>502</v>
      </c>
      <c r="D21" s="10"/>
      <c r="E21" s="110" t="s">
        <v>3393</v>
      </c>
      <c r="F21" s="105"/>
      <c r="G21" s="105"/>
      <c r="H21" s="105"/>
      <c r="I21" s="111">
        <f>ROUND(VLOOKUP("9502000",'[74]FERC 2021'!A:O,15,FALSE)/1000,9)</f>
        <v>12299.334593763</v>
      </c>
      <c r="J21" s="105"/>
      <c r="K21" s="105"/>
      <c r="L21" s="111">
        <f>+'[74]C-4 Supplement'!J7</f>
        <v>12216.454001362483</v>
      </c>
      <c r="M21" s="105"/>
      <c r="N21" s="105"/>
      <c r="O21" s="112">
        <f t="shared" si="0"/>
        <v>0.99326099999999995</v>
      </c>
      <c r="P21" s="105"/>
      <c r="Q21" s="105"/>
      <c r="R21" s="105"/>
      <c r="S21" s="105"/>
      <c r="X21" s="108"/>
      <c r="Y21" s="108"/>
      <c r="Z21" s="108"/>
      <c r="AA21" s="141"/>
    </row>
    <row r="22" spans="1:27" ht="14.4" x14ac:dyDescent="0.3">
      <c r="A22" s="10">
        <v>11</v>
      </c>
      <c r="B22" s="101"/>
      <c r="C22" s="37">
        <v>503</v>
      </c>
      <c r="D22" s="10"/>
      <c r="E22" s="110" t="s">
        <v>603</v>
      </c>
      <c r="F22" s="105"/>
      <c r="G22" s="105"/>
      <c r="H22" s="105"/>
      <c r="I22" s="111">
        <f>ROUND(VLOOKUP("9503000",'[74]FERC 2021'!A:O,15,FALSE)/1000,9)</f>
        <v>0</v>
      </c>
      <c r="J22" s="105"/>
      <c r="K22" s="105"/>
      <c r="L22" s="111">
        <f>+'[74]C-4 Supplement'!J8</f>
        <v>0</v>
      </c>
      <c r="M22" s="105"/>
      <c r="N22" s="105"/>
      <c r="O22" s="112">
        <f t="shared" si="0"/>
        <v>0</v>
      </c>
      <c r="P22" s="105"/>
      <c r="Q22" s="105"/>
      <c r="R22" s="105"/>
      <c r="S22" s="105"/>
      <c r="X22" s="108"/>
      <c r="Y22" s="108"/>
      <c r="Z22" s="108"/>
      <c r="AA22" s="141"/>
    </row>
    <row r="23" spans="1:27" ht="14.4" x14ac:dyDescent="0.3">
      <c r="A23" s="10">
        <v>12</v>
      </c>
      <c r="B23" s="101"/>
      <c r="C23" s="37" t="s">
        <v>3394</v>
      </c>
      <c r="D23" s="10"/>
      <c r="E23" s="110" t="s">
        <v>3395</v>
      </c>
      <c r="F23" s="105"/>
      <c r="G23" s="105"/>
      <c r="H23" s="105"/>
      <c r="I23" s="111">
        <f>ROUND(VLOOKUP("9505000",'[74]FERC 2021'!A:O,15,FALSE)/1000,9)</f>
        <v>2742.7658744949999</v>
      </c>
      <c r="J23" s="105"/>
      <c r="K23" s="105"/>
      <c r="L23" s="111">
        <f>+'[74]C-4 Supplement'!J9</f>
        <v>2724.2834062963266</v>
      </c>
      <c r="M23" s="105"/>
      <c r="N23" s="105"/>
      <c r="O23" s="112">
        <f t="shared" si="0"/>
        <v>0.99326099999999995</v>
      </c>
      <c r="P23" s="105"/>
      <c r="Q23" s="105"/>
      <c r="R23" s="105"/>
      <c r="S23" s="105"/>
      <c r="X23" s="108"/>
      <c r="Y23" s="108"/>
      <c r="Z23" s="108"/>
      <c r="AA23" s="141"/>
    </row>
    <row r="24" spans="1:27" ht="14.4" x14ac:dyDescent="0.3">
      <c r="A24" s="10">
        <v>13</v>
      </c>
      <c r="B24" s="101"/>
      <c r="C24" s="37" t="s">
        <v>3396</v>
      </c>
      <c r="D24" s="10"/>
      <c r="E24" s="110" t="s">
        <v>3397</v>
      </c>
      <c r="F24" s="105"/>
      <c r="G24" s="105"/>
      <c r="H24" s="105"/>
      <c r="I24" s="111">
        <f>ROUND(VLOOKUP("9506000",'[74]FERC 2021'!A:O,15,FALSE)/1000,9)</f>
        <v>7486.5721058580002</v>
      </c>
      <c r="J24" s="105"/>
      <c r="K24" s="105"/>
      <c r="L24" s="111">
        <f>+'[74]C-4 Supplement'!J10</f>
        <v>7436.1229107041954</v>
      </c>
      <c r="M24" s="105"/>
      <c r="N24" s="105"/>
      <c r="O24" s="112">
        <f t="shared" si="0"/>
        <v>0.99326099999999995</v>
      </c>
      <c r="P24" s="105"/>
      <c r="Q24" s="105"/>
      <c r="R24" s="105"/>
      <c r="S24" s="105"/>
      <c r="X24" s="108"/>
      <c r="Y24" s="108"/>
      <c r="Z24" s="108"/>
    </row>
    <row r="25" spans="1:27" ht="14.4" x14ac:dyDescent="0.3">
      <c r="A25" s="10">
        <v>14</v>
      </c>
      <c r="B25" s="101"/>
      <c r="C25" s="37" t="s">
        <v>3398</v>
      </c>
      <c r="D25" s="10"/>
      <c r="E25" s="110" t="s">
        <v>869</v>
      </c>
      <c r="F25" s="105"/>
      <c r="G25" s="105"/>
      <c r="H25" s="105"/>
      <c r="I25" s="111">
        <f>ROUND(VLOOKUP("9507000",'[74]FERC 2021'!A:O,15,FALSE)/1000,9)</f>
        <v>0</v>
      </c>
      <c r="J25" s="105"/>
      <c r="K25" s="105"/>
      <c r="L25" s="111">
        <f>+'[74]C-4 Supplement'!J11</f>
        <v>0</v>
      </c>
      <c r="M25" s="105"/>
      <c r="N25" s="105"/>
      <c r="O25" s="112">
        <f t="shared" si="0"/>
        <v>0</v>
      </c>
      <c r="P25" s="105"/>
      <c r="Q25" s="105"/>
      <c r="R25" s="105"/>
      <c r="S25" s="105"/>
      <c r="X25" s="108"/>
      <c r="Y25" s="108"/>
      <c r="Z25" s="108"/>
      <c r="AA25" s="141"/>
    </row>
    <row r="26" spans="1:27" ht="14.4" x14ac:dyDescent="0.3">
      <c r="A26" s="10">
        <v>15</v>
      </c>
      <c r="B26" s="101"/>
      <c r="C26" s="37">
        <v>509</v>
      </c>
      <c r="D26" s="10"/>
      <c r="E26" s="110" t="s">
        <v>3399</v>
      </c>
      <c r="F26" s="105"/>
      <c r="G26" s="105"/>
      <c r="H26" s="105"/>
      <c r="I26" s="111">
        <f>ROUND(VLOOKUP("9509000",'[74]FERC 2021'!A:O,15,FALSE)/1000,9)</f>
        <v>0</v>
      </c>
      <c r="J26" s="105"/>
      <c r="K26" s="105"/>
      <c r="L26" s="111">
        <f>+'[74]C-4 Supplement'!J12</f>
        <v>0</v>
      </c>
      <c r="M26" s="105"/>
      <c r="N26" s="105"/>
      <c r="O26" s="112">
        <f t="shared" si="0"/>
        <v>0</v>
      </c>
      <c r="P26" s="105"/>
      <c r="Q26" s="105"/>
      <c r="R26" s="105"/>
      <c r="S26" s="105"/>
      <c r="X26" s="108"/>
      <c r="Y26" s="108"/>
      <c r="Z26" s="108"/>
      <c r="AA26" s="141"/>
    </row>
    <row r="27" spans="1:27" ht="14.4" x14ac:dyDescent="0.3">
      <c r="A27" s="10">
        <v>16</v>
      </c>
      <c r="B27" s="101"/>
      <c r="C27" s="37"/>
      <c r="D27" s="10"/>
      <c r="E27" s="114" t="s">
        <v>3400</v>
      </c>
      <c r="F27" s="105"/>
      <c r="G27" s="105"/>
      <c r="H27" s="105"/>
      <c r="I27" s="115">
        <f>SUM(I19:I26)</f>
        <v>126587.29683564701</v>
      </c>
      <c r="J27" s="105"/>
      <c r="K27" s="105"/>
      <c r="L27" s="115">
        <f>SUM(L19:L26)</f>
        <v>126414.04932957944</v>
      </c>
      <c r="M27" s="105"/>
      <c r="N27" s="105"/>
      <c r="O27" s="112">
        <f>IF(I27=0,0,ROUND(L27/I27,6))</f>
        <v>0.99863100000000005</v>
      </c>
      <c r="P27" s="105"/>
      <c r="Q27" s="105"/>
      <c r="R27" s="105"/>
      <c r="S27" s="105"/>
      <c r="X27" s="108"/>
      <c r="Y27" s="108"/>
      <c r="Z27" s="108"/>
      <c r="AA27" s="141"/>
    </row>
    <row r="28" spans="1:27" ht="14.4" x14ac:dyDescent="0.3">
      <c r="A28" s="10">
        <v>17</v>
      </c>
      <c r="B28" s="101"/>
      <c r="C28" s="37"/>
      <c r="D28" s="10"/>
      <c r="E28" s="10" t="s">
        <v>3401</v>
      </c>
      <c r="F28" s="105"/>
      <c r="G28" s="105"/>
      <c r="H28" s="105"/>
      <c r="I28" s="105"/>
      <c r="J28" s="105"/>
      <c r="K28" s="105"/>
      <c r="L28" s="111"/>
      <c r="M28" s="105"/>
      <c r="N28" s="105"/>
      <c r="O28" s="112"/>
      <c r="P28" s="105"/>
      <c r="Q28" s="105"/>
      <c r="R28" s="105"/>
      <c r="S28" s="105"/>
      <c r="X28" s="108"/>
      <c r="Y28" s="108"/>
      <c r="Z28" s="108"/>
      <c r="AA28" s="141"/>
    </row>
    <row r="29" spans="1:27" ht="14.4" x14ac:dyDescent="0.3">
      <c r="A29" s="10">
        <v>18</v>
      </c>
      <c r="B29" s="101"/>
      <c r="C29" s="37" t="s">
        <v>3402</v>
      </c>
      <c r="D29" s="10"/>
      <c r="E29" s="110" t="s">
        <v>3403</v>
      </c>
      <c r="F29" s="105"/>
      <c r="G29" s="105"/>
      <c r="H29" s="105"/>
      <c r="I29" s="111">
        <f>ROUND(VLOOKUP("9510000",'[74]FERC 2021'!A:O,15,FALSE)/1000,9)</f>
        <v>439.77575908300003</v>
      </c>
      <c r="J29" s="105"/>
      <c r="K29" s="105"/>
      <c r="L29" s="111">
        <f>+'[74]C-4 Supplement'!J13</f>
        <v>436.81227555807266</v>
      </c>
      <c r="M29" s="105"/>
      <c r="N29" s="105"/>
      <c r="O29" s="112">
        <f t="shared" ref="O29:O34" si="1">IF(I29=0,0,ROUND(L29/I29,6))</f>
        <v>0.99326099999999995</v>
      </c>
      <c r="P29" s="105"/>
      <c r="Q29" s="105"/>
      <c r="R29" s="105"/>
      <c r="S29" s="105"/>
      <c r="X29" s="108"/>
      <c r="Y29" s="108"/>
      <c r="Z29" s="108"/>
      <c r="AA29" s="141"/>
    </row>
    <row r="30" spans="1:27" ht="14.4" x14ac:dyDescent="0.3">
      <c r="A30" s="10">
        <v>19</v>
      </c>
      <c r="B30" s="101"/>
      <c r="C30" s="37" t="s">
        <v>3404</v>
      </c>
      <c r="D30" s="10"/>
      <c r="E30" s="110" t="s">
        <v>3405</v>
      </c>
      <c r="F30" s="105"/>
      <c r="G30" s="105"/>
      <c r="H30" s="105"/>
      <c r="I30" s="111">
        <f>ROUND(VLOOKUP("9511000",'[74]FERC 2021'!A:O,15,FALSE)/1000,9)</f>
        <v>4714.4140589580002</v>
      </c>
      <c r="J30" s="105"/>
      <c r="K30" s="105"/>
      <c r="L30" s="111">
        <f>+'[74]C-4 Supplement'!J14</f>
        <v>4682.6453948039325</v>
      </c>
      <c r="M30" s="105"/>
      <c r="N30" s="105"/>
      <c r="O30" s="112">
        <f t="shared" si="1"/>
        <v>0.99326099999999995</v>
      </c>
      <c r="P30" s="105"/>
      <c r="Q30" s="105"/>
      <c r="R30" s="105"/>
      <c r="S30" s="105"/>
      <c r="X30" s="108"/>
      <c r="Y30" s="108"/>
      <c r="Z30" s="108"/>
      <c r="AA30" s="141"/>
    </row>
    <row r="31" spans="1:27" x14ac:dyDescent="0.25">
      <c r="A31" s="10">
        <v>20</v>
      </c>
      <c r="B31" s="101"/>
      <c r="C31" s="37" t="s">
        <v>3406</v>
      </c>
      <c r="D31" s="10"/>
      <c r="E31" s="110" t="s">
        <v>3407</v>
      </c>
      <c r="F31" s="105"/>
      <c r="G31" s="105"/>
      <c r="H31" s="105"/>
      <c r="I31" s="111">
        <f>ROUND(VLOOKUP("9512000",'[74]FERC 2021'!A:O,15,FALSE)/1000,9)</f>
        <v>21527.178037629001</v>
      </c>
      <c r="J31" s="109"/>
      <c r="K31" s="105"/>
      <c r="L31" s="111">
        <f>+'[74]C-4 Supplement'!J15</f>
        <v>21382.114477086885</v>
      </c>
      <c r="M31" s="105"/>
      <c r="N31" s="105"/>
      <c r="O31" s="112">
        <f t="shared" si="1"/>
        <v>0.99326099999999995</v>
      </c>
      <c r="P31" s="105"/>
      <c r="Q31" s="105"/>
      <c r="R31" s="105"/>
      <c r="S31" s="105"/>
    </row>
    <row r="32" spans="1:27" ht="14.4" x14ac:dyDescent="0.3">
      <c r="A32" s="10">
        <v>21</v>
      </c>
      <c r="B32" s="101"/>
      <c r="C32" s="37" t="s">
        <v>3408</v>
      </c>
      <c r="D32" s="10"/>
      <c r="E32" s="110" t="s">
        <v>3409</v>
      </c>
      <c r="F32" s="105"/>
      <c r="G32" s="105"/>
      <c r="H32" s="105"/>
      <c r="I32" s="111">
        <f>ROUND(VLOOKUP("9513000",'[74]FERC 2021'!A:O,15,FALSE)/1000,9)</f>
        <v>4795.0066091460003</v>
      </c>
      <c r="J32" s="109"/>
      <c r="K32" s="105"/>
      <c r="L32" s="111">
        <f>+'[74]C-4 Supplement'!J16</f>
        <v>4762.6948620916564</v>
      </c>
      <c r="M32" s="105"/>
      <c r="N32" s="105"/>
      <c r="O32" s="112">
        <f t="shared" si="1"/>
        <v>0.99326099999999995</v>
      </c>
      <c r="P32" s="105"/>
      <c r="Q32" s="105"/>
      <c r="R32" s="105"/>
      <c r="S32" s="105"/>
      <c r="X32" s="108"/>
      <c r="Y32" s="108"/>
      <c r="Z32" s="108"/>
    </row>
    <row r="33" spans="1:26" ht="14.4" x14ac:dyDescent="0.3">
      <c r="A33" s="10">
        <v>22</v>
      </c>
      <c r="B33" s="101"/>
      <c r="C33" s="37" t="s">
        <v>3410</v>
      </c>
      <c r="D33" s="10"/>
      <c r="E33" s="110" t="s">
        <v>3411</v>
      </c>
      <c r="F33" s="105"/>
      <c r="G33" s="105"/>
      <c r="H33" s="105"/>
      <c r="I33" s="111">
        <f>ROUND(VLOOKUP("9514000",'[74]FERC 2021'!A:O,15,FALSE)/1000,9)</f>
        <v>2687.2091225959998</v>
      </c>
      <c r="J33" s="109"/>
      <c r="K33" s="105"/>
      <c r="L33" s="111">
        <f>+'[74]C-4 Supplement'!J17</f>
        <v>2669.1010304641077</v>
      </c>
      <c r="M33" s="105"/>
      <c r="N33" s="105"/>
      <c r="O33" s="112">
        <f t="shared" si="1"/>
        <v>0.99326099999999995</v>
      </c>
      <c r="P33" s="105"/>
      <c r="Q33" s="105"/>
      <c r="R33" s="105"/>
      <c r="S33" s="105"/>
      <c r="X33" s="108"/>
      <c r="Y33" s="108"/>
      <c r="Z33" s="108"/>
    </row>
    <row r="34" spans="1:26" ht="14.4" x14ac:dyDescent="0.3">
      <c r="A34" s="10">
        <v>23</v>
      </c>
      <c r="B34" s="101"/>
      <c r="C34" s="37"/>
      <c r="D34" s="10"/>
      <c r="E34" s="114" t="s">
        <v>3412</v>
      </c>
      <c r="F34" s="105"/>
      <c r="G34" s="105"/>
      <c r="H34" s="105"/>
      <c r="I34" s="115">
        <f>SUM(I29:I33)</f>
        <v>34163.583587412002</v>
      </c>
      <c r="J34" s="109"/>
      <c r="K34" s="105"/>
      <c r="L34" s="115">
        <f>SUM(L29:L33)</f>
        <v>33933.368040004651</v>
      </c>
      <c r="M34" s="105"/>
      <c r="N34" s="105"/>
      <c r="O34" s="112">
        <f t="shared" si="1"/>
        <v>0.99326099999999995</v>
      </c>
      <c r="P34" s="105"/>
      <c r="Q34" s="105"/>
      <c r="R34" s="105"/>
      <c r="S34" s="105"/>
      <c r="X34" s="108"/>
      <c r="Y34" s="108"/>
      <c r="Z34" s="108"/>
    </row>
    <row r="35" spans="1:26" ht="14.4" x14ac:dyDescent="0.3">
      <c r="A35" s="10">
        <v>24</v>
      </c>
      <c r="B35" s="101"/>
      <c r="C35" s="37"/>
      <c r="D35" s="10"/>
      <c r="E35" s="10" t="s">
        <v>11</v>
      </c>
      <c r="F35" s="105"/>
      <c r="G35" s="105"/>
      <c r="H35" s="105"/>
      <c r="I35" s="105"/>
      <c r="J35" s="109"/>
      <c r="K35" s="105"/>
      <c r="L35" s="111"/>
      <c r="M35" s="105"/>
      <c r="N35" s="105"/>
      <c r="O35" s="112"/>
      <c r="P35" s="105"/>
      <c r="Q35" s="105"/>
      <c r="R35" s="105"/>
      <c r="S35" s="105"/>
      <c r="X35" s="108"/>
      <c r="Y35" s="108"/>
      <c r="Z35" s="108"/>
    </row>
    <row r="36" spans="1:26" ht="14.4" x14ac:dyDescent="0.3">
      <c r="A36" s="10">
        <v>25</v>
      </c>
      <c r="B36" s="101"/>
      <c r="C36" s="37"/>
      <c r="D36" s="10"/>
      <c r="E36" s="10" t="s">
        <v>3413</v>
      </c>
      <c r="F36" s="105"/>
      <c r="G36" s="105"/>
      <c r="H36" s="105"/>
      <c r="I36" s="105"/>
      <c r="J36" s="109"/>
      <c r="K36" s="105"/>
      <c r="L36" s="111"/>
      <c r="M36" s="105"/>
      <c r="N36" s="105"/>
      <c r="O36" s="112"/>
      <c r="P36" s="105"/>
      <c r="Q36" s="105"/>
      <c r="R36" s="105"/>
      <c r="S36" s="105"/>
      <c r="X36" s="108"/>
      <c r="Y36" s="108"/>
      <c r="Z36" s="108"/>
    </row>
    <row r="37" spans="1:26" ht="14.4" x14ac:dyDescent="0.3">
      <c r="A37" s="10">
        <v>26</v>
      </c>
      <c r="B37" s="101"/>
      <c r="C37" s="37"/>
      <c r="D37" s="10"/>
      <c r="E37" s="10" t="s">
        <v>3390</v>
      </c>
      <c r="F37" s="105"/>
      <c r="G37" s="105"/>
      <c r="H37" s="105"/>
      <c r="I37" s="105"/>
      <c r="J37" s="109"/>
      <c r="K37" s="105"/>
      <c r="L37" s="111"/>
      <c r="M37" s="105"/>
      <c r="N37" s="105"/>
      <c r="O37" s="112"/>
      <c r="P37" s="105"/>
      <c r="Q37" s="105"/>
      <c r="R37" s="105"/>
      <c r="S37" s="105"/>
      <c r="X37" s="116"/>
      <c r="Y37" s="116"/>
      <c r="Z37" s="108"/>
    </row>
    <row r="38" spans="1:26" x14ac:dyDescent="0.25">
      <c r="A38" s="10">
        <v>27</v>
      </c>
      <c r="B38" s="101"/>
      <c r="C38" s="37" t="s">
        <v>3414</v>
      </c>
      <c r="D38" s="10"/>
      <c r="E38" s="110" t="s">
        <v>3392</v>
      </c>
      <c r="F38" s="105"/>
      <c r="G38" s="105"/>
      <c r="H38" s="105"/>
      <c r="I38" s="111">
        <f>ROUND(VLOOKUP("9546000",'[74]FERC 2021'!A:O,15,FALSE)/1000,9)</f>
        <v>449.45147535199999</v>
      </c>
      <c r="J38" s="109"/>
      <c r="K38" s="105"/>
      <c r="L38" s="111">
        <f>+'[74]C-4 Supplement'!J18</f>
        <v>446.42279081232175</v>
      </c>
      <c r="M38" s="105"/>
      <c r="N38" s="105"/>
      <c r="O38" s="112">
        <f t="shared" ref="O38:O43" si="2">IF(I38=0,0,ROUND(L38/I38,6))</f>
        <v>0.99326099999999995</v>
      </c>
      <c r="P38" s="105"/>
      <c r="Q38" s="105"/>
      <c r="R38" s="105"/>
      <c r="S38" s="105"/>
    </row>
    <row r="39" spans="1:26" ht="14.4" x14ac:dyDescent="0.3">
      <c r="A39" s="10">
        <v>28</v>
      </c>
      <c r="B39" s="101"/>
      <c r="C39" s="37">
        <v>547</v>
      </c>
      <c r="D39" s="10"/>
      <c r="E39" s="110" t="s">
        <v>51</v>
      </c>
      <c r="F39" s="105"/>
      <c r="G39" s="105"/>
      <c r="H39" s="105"/>
      <c r="I39" s="111">
        <f>ROUND(VLOOKUP("9547000",'[74]FERC 2021'!A:O,15,FALSE)/1000,9)</f>
        <v>475653.22423599998</v>
      </c>
      <c r="J39" s="109"/>
      <c r="K39" s="105"/>
      <c r="L39" s="111">
        <f>+'[74]C-4 Supplement'!J19</f>
        <v>475653.22423599998</v>
      </c>
      <c r="M39" s="105"/>
      <c r="N39" s="105"/>
      <c r="O39" s="113">
        <f t="shared" si="2"/>
        <v>1</v>
      </c>
      <c r="P39" s="105"/>
      <c r="Q39" s="105"/>
      <c r="R39" s="105"/>
      <c r="S39" s="105"/>
      <c r="X39" s="116"/>
      <c r="Y39" s="116"/>
      <c r="Z39" s="108"/>
    </row>
    <row r="40" spans="1:26" ht="14.4" x14ac:dyDescent="0.3">
      <c r="A40" s="10">
        <v>29</v>
      </c>
      <c r="B40" s="101"/>
      <c r="C40" s="37" t="s">
        <v>3415</v>
      </c>
      <c r="D40" s="10"/>
      <c r="E40" s="110" t="s">
        <v>3416</v>
      </c>
      <c r="F40" s="105"/>
      <c r="G40" s="105"/>
      <c r="H40" s="105"/>
      <c r="I40" s="111">
        <f>ROUND(VLOOKUP("9548000",'[74]FERC 2021'!A:O,15,FALSE)/1000,9)</f>
        <v>20289.374901446001</v>
      </c>
      <c r="J40" s="109"/>
      <c r="K40" s="105"/>
      <c r="L40" s="111">
        <f>+'[74]C-4 Supplement'!J20</f>
        <v>20152.652430937658</v>
      </c>
      <c r="M40" s="105"/>
      <c r="N40" s="105"/>
      <c r="O40" s="112">
        <f t="shared" si="2"/>
        <v>0.99326099999999995</v>
      </c>
      <c r="P40" s="105"/>
      <c r="Q40" s="105"/>
      <c r="R40" s="105"/>
      <c r="S40" s="105"/>
      <c r="X40" s="116"/>
      <c r="Y40" s="116"/>
      <c r="Z40" s="108"/>
    </row>
    <row r="41" spans="1:26" ht="14.4" x14ac:dyDescent="0.3">
      <c r="A41" s="10">
        <v>30</v>
      </c>
      <c r="B41" s="101"/>
      <c r="C41" s="37" t="s">
        <v>3417</v>
      </c>
      <c r="D41" s="10"/>
      <c r="E41" s="110" t="s">
        <v>3418</v>
      </c>
      <c r="F41" s="105"/>
      <c r="G41" s="105"/>
      <c r="H41" s="105"/>
      <c r="I41" s="111">
        <f>ROUND(VLOOKUP("9549000",'[74]FERC 2021'!A:O,15,FALSE)/1000,9)</f>
        <v>7256.7119611090002</v>
      </c>
      <c r="J41" s="109"/>
      <c r="K41" s="105"/>
      <c r="L41" s="111">
        <f>+'[74]C-4 Supplement'!J21</f>
        <v>7207.8117070642311</v>
      </c>
      <c r="M41" s="105"/>
      <c r="N41" s="105"/>
      <c r="O41" s="112">
        <f t="shared" si="2"/>
        <v>0.99326099999999995</v>
      </c>
      <c r="P41" s="105"/>
      <c r="Q41" s="105"/>
      <c r="R41" s="105"/>
      <c r="S41" s="105"/>
      <c r="X41" s="116"/>
      <c r="Y41" s="116"/>
      <c r="Z41" s="108"/>
    </row>
    <row r="42" spans="1:26" ht="14.4" x14ac:dyDescent="0.3">
      <c r="A42" s="10">
        <v>31</v>
      </c>
      <c r="B42" s="101"/>
      <c r="C42" s="37" t="s">
        <v>3419</v>
      </c>
      <c r="D42" s="10"/>
      <c r="E42" s="110" t="s">
        <v>869</v>
      </c>
      <c r="F42" s="105"/>
      <c r="G42" s="105"/>
      <c r="H42" s="105"/>
      <c r="I42" s="111">
        <f>ROUND(VLOOKUP("9550000",'[74]FERC 2021'!A:O,15,FALSE)/1000,9)</f>
        <v>0</v>
      </c>
      <c r="J42" s="109"/>
      <c r="K42" s="105"/>
      <c r="L42" s="111">
        <f>+'[74]C-4 Supplement'!J22</f>
        <v>0</v>
      </c>
      <c r="M42" s="105"/>
      <c r="N42" s="105"/>
      <c r="O42" s="112">
        <f t="shared" si="2"/>
        <v>0</v>
      </c>
      <c r="P42" s="105"/>
      <c r="Q42" s="105"/>
      <c r="R42" s="105"/>
      <c r="S42" s="105"/>
      <c r="X42" s="116"/>
      <c r="Y42" s="116"/>
      <c r="Z42" s="108"/>
    </row>
    <row r="43" spans="1:26" ht="14.4" x14ac:dyDescent="0.3">
      <c r="A43" s="10">
        <v>32</v>
      </c>
      <c r="B43" s="101"/>
      <c r="C43" s="37"/>
      <c r="D43" s="10"/>
      <c r="E43" s="114" t="s">
        <v>3420</v>
      </c>
      <c r="F43" s="105"/>
      <c r="G43" s="105"/>
      <c r="H43" s="105"/>
      <c r="I43" s="115">
        <f>SUM(I38:I42)</f>
        <v>503648.76257390698</v>
      </c>
      <c r="J43" s="109"/>
      <c r="K43" s="105"/>
      <c r="L43" s="115">
        <f>SUM(L38:L42)</f>
        <v>503460.11116481421</v>
      </c>
      <c r="M43" s="105"/>
      <c r="N43" s="105"/>
      <c r="O43" s="112">
        <f t="shared" si="2"/>
        <v>0.99962499999999999</v>
      </c>
      <c r="P43" s="105"/>
      <c r="Q43" s="105"/>
      <c r="R43" s="105"/>
      <c r="S43" s="105"/>
      <c r="X43" s="116"/>
      <c r="Y43" s="116"/>
      <c r="Z43" s="108"/>
    </row>
    <row r="44" spans="1:26" ht="14.4" x14ac:dyDescent="0.3">
      <c r="A44" s="10">
        <v>33</v>
      </c>
      <c r="B44" s="101"/>
      <c r="C44" s="37"/>
      <c r="D44" s="10"/>
      <c r="E44" s="10" t="s">
        <v>3401</v>
      </c>
      <c r="F44" s="105"/>
      <c r="G44" s="105"/>
      <c r="H44" s="105"/>
      <c r="I44" s="105"/>
      <c r="J44" s="109"/>
      <c r="K44" s="105"/>
      <c r="L44" s="105"/>
      <c r="M44" s="105"/>
      <c r="N44" s="105"/>
      <c r="O44" s="112"/>
      <c r="P44" s="105"/>
      <c r="Q44" s="105"/>
      <c r="R44" s="105"/>
      <c r="S44" s="105"/>
      <c r="X44" s="116"/>
      <c r="Y44" s="116"/>
      <c r="Z44" s="108"/>
    </row>
    <row r="45" spans="1:26" ht="14.4" x14ac:dyDescent="0.3">
      <c r="A45" s="10">
        <v>34</v>
      </c>
      <c r="B45" s="101"/>
      <c r="C45" s="37" t="s">
        <v>3421</v>
      </c>
      <c r="D45" s="10"/>
      <c r="E45" s="110" t="s">
        <v>3403</v>
      </c>
      <c r="F45" s="105"/>
      <c r="G45" s="105"/>
      <c r="H45" s="105"/>
      <c r="I45" s="111">
        <f>ROUND(VLOOKUP("9551000",'[74]FERC 2021'!A:O,15,FALSE)/1000,9)</f>
        <v>879.55151816499995</v>
      </c>
      <c r="J45" s="109"/>
      <c r="K45" s="105"/>
      <c r="L45" s="111">
        <f>+'[74]C-4 Supplement'!J23</f>
        <v>873.62455111515192</v>
      </c>
      <c r="M45" s="105"/>
      <c r="N45" s="105"/>
      <c r="O45" s="112">
        <f t="shared" ref="O45:O51" si="3">IF(I45=0,0,ROUND(L45/I45,6))</f>
        <v>0.99326099999999995</v>
      </c>
      <c r="P45" s="105"/>
      <c r="Q45" s="105"/>
      <c r="R45" s="105"/>
      <c r="S45" s="105"/>
      <c r="X45" s="116"/>
      <c r="Y45" s="116"/>
      <c r="Z45" s="108"/>
    </row>
    <row r="46" spans="1:26" x14ac:dyDescent="0.25">
      <c r="A46" s="10">
        <v>35</v>
      </c>
      <c r="B46" s="101"/>
      <c r="C46" s="37" t="s">
        <v>3422</v>
      </c>
      <c r="D46" s="10"/>
      <c r="E46" s="110" t="s">
        <v>3405</v>
      </c>
      <c r="F46" s="105"/>
      <c r="G46" s="105"/>
      <c r="H46" s="105"/>
      <c r="I46" s="111">
        <f>ROUND(VLOOKUP("9552000",'[74]FERC 2021'!A:O,15,FALSE)/1000,9)</f>
        <v>3239.6453690080002</v>
      </c>
      <c r="J46" s="109"/>
      <c r="K46" s="105"/>
      <c r="L46" s="111">
        <f>+'[74]C-4 Supplement'!J24</f>
        <v>3217.8146166771276</v>
      </c>
      <c r="M46" s="105"/>
      <c r="N46" s="105"/>
      <c r="O46" s="112">
        <f t="shared" si="3"/>
        <v>0.99326099999999995</v>
      </c>
      <c r="P46" s="105"/>
      <c r="Q46" s="105"/>
      <c r="R46" s="105"/>
      <c r="S46" s="105"/>
    </row>
    <row r="47" spans="1:26" x14ac:dyDescent="0.25">
      <c r="A47" s="10">
        <v>36</v>
      </c>
      <c r="B47" s="101"/>
      <c r="C47" s="37" t="s">
        <v>3423</v>
      </c>
      <c r="D47" s="10"/>
      <c r="E47" s="110" t="s">
        <v>3424</v>
      </c>
      <c r="F47" s="105"/>
      <c r="G47" s="105"/>
      <c r="H47" s="105"/>
      <c r="I47" s="111">
        <f>ROUND(VLOOKUP("9553000",'[74]FERC 2021'!A:O,15,FALSE)/1000,9)</f>
        <v>10263.108635660001</v>
      </c>
      <c r="J47" s="109"/>
      <c r="K47" s="105"/>
      <c r="L47" s="111">
        <f>+'[74]C-4 Supplement'!J25</f>
        <v>10193.949404556091</v>
      </c>
      <c r="M47" s="105"/>
      <c r="N47" s="105"/>
      <c r="O47" s="112">
        <f t="shared" si="3"/>
        <v>0.99326099999999995</v>
      </c>
      <c r="P47" s="105"/>
      <c r="Q47" s="105"/>
      <c r="R47" s="105"/>
      <c r="S47" s="105"/>
    </row>
    <row r="48" spans="1:26" x14ac:dyDescent="0.25">
      <c r="A48" s="10">
        <v>37</v>
      </c>
      <c r="B48" s="101"/>
      <c r="C48" s="37" t="s">
        <v>3425</v>
      </c>
      <c r="D48" s="10"/>
      <c r="E48" s="110" t="s">
        <v>3426</v>
      </c>
      <c r="F48" s="105"/>
      <c r="G48" s="105"/>
      <c r="H48" s="105"/>
      <c r="I48" s="111">
        <f>ROUND(VLOOKUP("9554000",'[74]FERC 2021'!A:O,15,FALSE)/1000,9)</f>
        <v>940.14706850699997</v>
      </c>
      <c r="J48" s="109"/>
      <c r="K48" s="105"/>
      <c r="L48" s="111">
        <f>+'[74]C-4 Supplement'!J26</f>
        <v>933.8117708217917</v>
      </c>
      <c r="M48" s="105"/>
      <c r="N48" s="105"/>
      <c r="O48" s="112">
        <f t="shared" si="3"/>
        <v>0.99326099999999995</v>
      </c>
      <c r="P48" s="105"/>
      <c r="Q48" s="105"/>
      <c r="R48" s="105"/>
      <c r="S48" s="105"/>
    </row>
    <row r="49" spans="1:19" x14ac:dyDescent="0.25">
      <c r="A49" s="10">
        <v>38</v>
      </c>
      <c r="B49" s="101"/>
      <c r="C49" s="37">
        <v>555</v>
      </c>
      <c r="D49" s="10"/>
      <c r="E49" s="110" t="s">
        <v>49</v>
      </c>
      <c r="F49" s="10"/>
      <c r="G49" s="10"/>
      <c r="H49" s="10"/>
      <c r="I49" s="111">
        <f>ROUND(VLOOKUP("9555000",'[74]FERC 2021'!A:O,15,FALSE)/1000,9)</f>
        <v>16920.221189947999</v>
      </c>
      <c r="J49" s="10"/>
      <c r="K49" s="10"/>
      <c r="L49" s="111">
        <f>+'[74]C-4 Supplement'!J27</f>
        <v>16920.221189947999</v>
      </c>
      <c r="M49" s="10"/>
      <c r="N49" s="10"/>
      <c r="O49" s="113">
        <f t="shared" si="3"/>
        <v>1</v>
      </c>
      <c r="P49" s="105"/>
      <c r="Q49" s="105"/>
      <c r="R49" s="105"/>
      <c r="S49" s="105"/>
    </row>
    <row r="50" spans="1:19" x14ac:dyDescent="0.25">
      <c r="A50" s="10">
        <v>39</v>
      </c>
      <c r="B50" s="101"/>
      <c r="C50" s="37" t="s">
        <v>3427</v>
      </c>
      <c r="D50" s="10"/>
      <c r="E50" s="110" t="s">
        <v>3428</v>
      </c>
      <c r="F50" s="105"/>
      <c r="G50" s="105"/>
      <c r="H50" s="105"/>
      <c r="I50" s="111">
        <f>ROUND(VLOOKUP("9556000",'[74]FERC 2021'!A:O,15,FALSE)/1000,9)</f>
        <v>1066.0675161290001</v>
      </c>
      <c r="J50" s="109"/>
      <c r="K50" s="105"/>
      <c r="L50" s="111">
        <f>+'[74]C-4 Supplement'!J28</f>
        <v>1058.8836878818586</v>
      </c>
      <c r="M50" s="105"/>
      <c r="N50" s="105"/>
      <c r="O50" s="112">
        <f t="shared" si="3"/>
        <v>0.99326099999999995</v>
      </c>
      <c r="P50" s="105"/>
      <c r="Q50" s="105"/>
      <c r="R50" s="105"/>
      <c r="S50" s="105"/>
    </row>
    <row r="51" spans="1:19" x14ac:dyDescent="0.25">
      <c r="A51" s="10">
        <v>40</v>
      </c>
      <c r="B51" s="101"/>
      <c r="C51" s="37">
        <v>431</v>
      </c>
      <c r="D51" s="10"/>
      <c r="E51" s="110" t="s">
        <v>3429</v>
      </c>
      <c r="I51" s="111">
        <f>+[74]Accounts!D273/1000</f>
        <v>0</v>
      </c>
      <c r="L51" s="111">
        <f>+'[74]C-4 Supplement'!J29</f>
        <v>0</v>
      </c>
      <c r="O51" s="112">
        <f t="shared" si="3"/>
        <v>0</v>
      </c>
      <c r="P51" s="105"/>
      <c r="Q51" s="105"/>
      <c r="R51" s="105"/>
      <c r="S51" s="105"/>
    </row>
    <row r="52" spans="1:19" x14ac:dyDescent="0.25">
      <c r="A52" s="10">
        <v>41</v>
      </c>
      <c r="B52" s="101"/>
      <c r="C52" s="37"/>
      <c r="D52" s="10"/>
      <c r="E52" s="114" t="s">
        <v>3430</v>
      </c>
      <c r="F52" s="105"/>
      <c r="G52" s="105"/>
      <c r="H52" s="105"/>
      <c r="I52" s="115">
        <f>SUM(I45:I51)</f>
        <v>33308.741297417</v>
      </c>
      <c r="J52" s="105"/>
      <c r="K52" s="105"/>
      <c r="L52" s="115">
        <f>SUM(L45:L51)</f>
        <v>33198.305221000024</v>
      </c>
      <c r="M52" s="105"/>
      <c r="N52" s="105"/>
      <c r="O52" s="112">
        <f>IF(I52=0,0,ROUND(L52/I52,6))</f>
        <v>0.99668400000000001</v>
      </c>
      <c r="P52" s="105"/>
      <c r="Q52" s="105"/>
      <c r="R52" s="105"/>
      <c r="S52" s="105"/>
    </row>
    <row r="53" spans="1:19" x14ac:dyDescent="0.25">
      <c r="A53" s="10">
        <v>42</v>
      </c>
      <c r="B53" s="101"/>
      <c r="C53" s="37"/>
      <c r="D53" s="10"/>
      <c r="E53" s="10"/>
      <c r="F53" s="105"/>
      <c r="G53" s="105"/>
      <c r="H53" s="105"/>
      <c r="I53" s="105"/>
      <c r="J53" s="105"/>
      <c r="K53" s="105"/>
      <c r="L53" s="105"/>
      <c r="M53" s="105"/>
      <c r="N53" s="105"/>
      <c r="O53" s="102"/>
      <c r="P53" s="105"/>
      <c r="Q53" s="105"/>
      <c r="R53" s="105"/>
      <c r="S53" s="105"/>
    </row>
    <row r="54" spans="1:19" x14ac:dyDescent="0.25">
      <c r="A54" s="10">
        <v>43</v>
      </c>
      <c r="B54" s="101"/>
      <c r="C54" s="37"/>
      <c r="D54" s="10"/>
      <c r="E54" s="10"/>
      <c r="F54" s="105"/>
      <c r="G54" s="105"/>
      <c r="H54" s="105"/>
      <c r="I54" s="105"/>
      <c r="J54" s="105"/>
      <c r="K54" s="105"/>
      <c r="L54" s="105"/>
      <c r="M54" s="105"/>
      <c r="N54" s="105"/>
      <c r="O54" s="102"/>
      <c r="P54" s="105"/>
      <c r="Q54" s="105"/>
      <c r="R54" s="105"/>
      <c r="S54" s="105"/>
    </row>
    <row r="55" spans="1:19" x14ac:dyDescent="0.25">
      <c r="A55" s="10">
        <v>44</v>
      </c>
      <c r="B55" s="101"/>
      <c r="C55" s="37"/>
      <c r="D55" s="10"/>
      <c r="E55" s="10"/>
      <c r="F55" s="105"/>
      <c r="G55" s="105"/>
      <c r="H55" s="105"/>
      <c r="I55" s="105"/>
      <c r="J55" s="105"/>
      <c r="K55" s="105"/>
      <c r="L55" s="105"/>
      <c r="M55" s="105"/>
      <c r="N55" s="105"/>
      <c r="O55" s="102"/>
      <c r="P55" s="105"/>
      <c r="Q55" s="105"/>
      <c r="R55" s="105"/>
      <c r="S55" s="105"/>
    </row>
    <row r="56" spans="1:19" x14ac:dyDescent="0.25">
      <c r="A56" s="10">
        <v>45</v>
      </c>
      <c r="B56" s="101"/>
      <c r="C56" s="37"/>
      <c r="D56" s="10"/>
      <c r="E56" s="10"/>
      <c r="F56" s="105"/>
      <c r="G56" s="105"/>
      <c r="H56" s="105"/>
      <c r="I56" s="105"/>
      <c r="J56" s="105"/>
      <c r="K56" s="105"/>
      <c r="L56" s="105"/>
      <c r="M56" s="105"/>
      <c r="N56" s="105"/>
      <c r="O56" s="102"/>
      <c r="P56" s="105"/>
      <c r="Q56" s="105"/>
      <c r="R56" s="105"/>
      <c r="S56" s="105"/>
    </row>
    <row r="57" spans="1:19" x14ac:dyDescent="0.25">
      <c r="A57" s="10">
        <v>46</v>
      </c>
      <c r="B57" s="101"/>
      <c r="C57" s="37"/>
      <c r="D57" s="10"/>
      <c r="E57" s="10"/>
      <c r="F57" s="105"/>
      <c r="G57" s="105"/>
      <c r="H57" s="105"/>
      <c r="I57" s="105"/>
      <c r="J57" s="105"/>
      <c r="K57" s="105"/>
      <c r="L57" s="105"/>
      <c r="M57" s="105"/>
      <c r="N57" s="105"/>
      <c r="O57" s="102"/>
      <c r="P57" s="105"/>
      <c r="Q57" s="105"/>
      <c r="R57" s="105"/>
      <c r="S57" s="105"/>
    </row>
    <row r="58" spans="1:19" x14ac:dyDescent="0.25">
      <c r="A58" s="10">
        <v>47</v>
      </c>
      <c r="B58" s="101"/>
      <c r="C58" s="37"/>
      <c r="D58" s="10"/>
      <c r="E58" s="10"/>
      <c r="F58" s="105"/>
      <c r="G58" s="105"/>
      <c r="H58" s="105"/>
      <c r="I58" s="105"/>
      <c r="J58" s="105"/>
      <c r="K58" s="105"/>
      <c r="L58" s="105"/>
      <c r="M58" s="105"/>
      <c r="N58" s="105"/>
      <c r="O58" s="102"/>
      <c r="P58" s="105"/>
      <c r="Q58" s="105"/>
      <c r="R58" s="105"/>
      <c r="S58" s="105"/>
    </row>
    <row r="59" spans="1:19" x14ac:dyDescent="0.25">
      <c r="A59" s="10">
        <v>48</v>
      </c>
      <c r="B59" s="101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5"/>
      <c r="Q59" s="105"/>
      <c r="R59" s="105"/>
      <c r="S59" s="105"/>
    </row>
    <row r="60" spans="1:19" ht="13.8" thickBot="1" x14ac:dyDescent="0.3">
      <c r="A60" s="89">
        <v>49</v>
      </c>
      <c r="B60" s="89" t="s">
        <v>3431</v>
      </c>
      <c r="C60" s="117"/>
      <c r="D60" s="89"/>
      <c r="E60" s="118"/>
      <c r="F60" s="118"/>
      <c r="G60" s="118"/>
      <c r="H60" s="118"/>
      <c r="I60" s="118"/>
      <c r="J60" s="118"/>
      <c r="K60" s="118"/>
      <c r="L60" s="118"/>
      <c r="M60" s="89"/>
      <c r="N60" s="118"/>
      <c r="O60" s="118"/>
      <c r="P60" s="118"/>
      <c r="Q60" s="118"/>
      <c r="R60" s="89"/>
      <c r="S60" s="89"/>
    </row>
    <row r="61" spans="1:19" x14ac:dyDescent="0.25">
      <c r="A61" s="91" t="str">
        <f>"Supporting Schedules: " &amp; VLOOKUP($A$1,ScheduleData,4,FALSE)</f>
        <v>Supporting Schedules: C-19, C-20, C-21, C-22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91" t="str">
        <f>"Recap Schedules: " &amp; VLOOKUP($A$1,ScheduleData,5,FALSE)</f>
        <v>Recap Schedules: C-1</v>
      </c>
      <c r="R61" s="10"/>
      <c r="S61" s="10"/>
    </row>
    <row r="62" spans="1:19" ht="13.8" thickBot="1" x14ac:dyDescent="0.3">
      <c r="A62" s="89" t="str">
        <f>+A1</f>
        <v>SCHEDULE C-4</v>
      </c>
      <c r="B62" s="89"/>
      <c r="C62" s="89"/>
      <c r="D62" s="89"/>
      <c r="E62" s="89"/>
      <c r="F62" s="89"/>
      <c r="G62" s="89"/>
      <c r="H62" s="89" t="str">
        <f>+$H$1</f>
        <v>JURISDICTIONAL SEPARATION FACTORS - NET OPERATING INCOME</v>
      </c>
      <c r="I62" s="12"/>
      <c r="J62" s="89"/>
      <c r="K62" s="89"/>
      <c r="L62" s="89"/>
      <c r="M62" s="89"/>
      <c r="N62" s="89"/>
      <c r="O62" s="89"/>
      <c r="P62" s="89"/>
      <c r="Q62" s="89"/>
      <c r="R62" s="89"/>
      <c r="S62" s="89" t="s">
        <v>3432</v>
      </c>
    </row>
    <row r="63" spans="1:19" x14ac:dyDescent="0.25">
      <c r="A63" s="91" t="s">
        <v>3</v>
      </c>
      <c r="B63" s="91"/>
      <c r="C63" s="91"/>
      <c r="D63" s="91"/>
      <c r="E63" s="91"/>
      <c r="F63" s="91" t="s">
        <v>4</v>
      </c>
      <c r="G63" s="10" t="str">
        <f>+$G$2</f>
        <v>Provide jurisdictional factors for net operating income for the test year, and the most recent historical year</v>
      </c>
      <c r="H63" s="10"/>
      <c r="I63" s="10"/>
      <c r="J63" s="92"/>
      <c r="K63" s="92"/>
      <c r="L63" s="91"/>
      <c r="M63" s="92"/>
      <c r="N63" s="92"/>
      <c r="O63" s="92"/>
      <c r="P63" s="92" t="s">
        <v>6</v>
      </c>
      <c r="Q63" s="91"/>
      <c r="R63" s="91"/>
      <c r="S63" s="93"/>
    </row>
    <row r="64" spans="1:19" x14ac:dyDescent="0.25">
      <c r="A64" s="91"/>
      <c r="B64" s="91"/>
      <c r="C64" s="91"/>
      <c r="D64" s="91"/>
      <c r="E64" s="91"/>
      <c r="F64" s="91"/>
      <c r="G64" s="10" t="str">
        <f>+$G$3</f>
        <v>if the test year is projected.</v>
      </c>
      <c r="H64" s="10"/>
      <c r="I64" s="10"/>
      <c r="J64" s="94"/>
      <c r="K64" s="93"/>
      <c r="L64" s="91"/>
      <c r="M64" s="91"/>
      <c r="N64" s="91"/>
      <c r="O64" s="94"/>
      <c r="P64" s="94"/>
      <c r="Q64" s="93"/>
      <c r="R64" s="91"/>
      <c r="S64" s="94"/>
    </row>
    <row r="65" spans="1:19" x14ac:dyDescent="0.25">
      <c r="A65" s="91" t="s">
        <v>10</v>
      </c>
      <c r="B65" s="91"/>
      <c r="C65" s="91"/>
      <c r="D65" s="91"/>
      <c r="E65" s="91"/>
      <c r="F65" s="91"/>
      <c r="G65" s="10"/>
      <c r="H65" s="91"/>
      <c r="I65" s="91"/>
      <c r="J65" s="94"/>
      <c r="K65" s="93"/>
      <c r="L65" s="94"/>
      <c r="M65" s="91"/>
      <c r="N65" s="91"/>
      <c r="O65" s="91"/>
      <c r="P65" s="94"/>
      <c r="Q65" s="93"/>
      <c r="R65" s="91"/>
      <c r="S65" s="94"/>
    </row>
    <row r="66" spans="1:19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4"/>
      <c r="K66" s="93"/>
      <c r="L66" s="94"/>
      <c r="M66" s="91"/>
      <c r="N66" s="91"/>
      <c r="O66" s="91"/>
      <c r="P66" s="94"/>
      <c r="Q66" s="93"/>
      <c r="R66" s="91"/>
      <c r="S66" s="94"/>
    </row>
    <row r="67" spans="1:19" ht="13.8" thickBot="1" x14ac:dyDescent="0.3">
      <c r="A67" s="12" t="s">
        <v>84</v>
      </c>
      <c r="B67" s="12"/>
      <c r="C67" s="89"/>
      <c r="D67" s="89"/>
      <c r="E67" s="89"/>
      <c r="F67" s="89"/>
      <c r="G67" s="89"/>
      <c r="H67" s="89"/>
      <c r="I67" s="89"/>
      <c r="J67" s="95"/>
      <c r="K67" s="89"/>
      <c r="L67" s="89"/>
      <c r="M67" s="89"/>
      <c r="N67" s="89"/>
      <c r="O67" s="89"/>
      <c r="P67" s="89"/>
      <c r="Q67" s="12" t="str">
        <f>+$Q$6</f>
        <v>Witness: J. S. Chronister</v>
      </c>
      <c r="R67" s="89"/>
      <c r="S67" s="89"/>
    </row>
    <row r="68" spans="1:19" x14ac:dyDescent="0.25">
      <c r="A68" s="10"/>
      <c r="B68" s="35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119"/>
      <c r="R68" s="120"/>
      <c r="S68" s="120"/>
    </row>
    <row r="69" spans="1:19" x14ac:dyDescent="0.25">
      <c r="A69" s="10"/>
      <c r="B69" s="35"/>
      <c r="C69" s="96"/>
      <c r="D69" s="96"/>
      <c r="E69" s="96"/>
      <c r="F69" s="96"/>
      <c r="G69" s="96"/>
      <c r="H69" s="96"/>
      <c r="I69" s="96" t="s">
        <v>18</v>
      </c>
      <c r="J69" s="96"/>
      <c r="K69" s="96"/>
      <c r="L69" s="96" t="s">
        <v>19</v>
      </c>
      <c r="M69" s="96"/>
      <c r="N69" s="96"/>
      <c r="O69" s="96" t="s">
        <v>20</v>
      </c>
      <c r="P69" s="96"/>
      <c r="Q69" s="121"/>
      <c r="R69" s="120"/>
      <c r="S69" s="120"/>
    </row>
    <row r="70" spans="1:19" x14ac:dyDescent="0.25">
      <c r="A70" s="10"/>
      <c r="B70" s="35"/>
      <c r="C70" s="96"/>
      <c r="D70" s="96"/>
      <c r="E70" s="96"/>
      <c r="F70" s="96"/>
      <c r="G70" s="96"/>
      <c r="H70" s="96"/>
      <c r="I70" s="96"/>
      <c r="J70" s="96"/>
      <c r="K70" s="35"/>
      <c r="L70" s="35"/>
      <c r="M70" s="96"/>
      <c r="N70" s="35"/>
      <c r="O70" s="96" t="s">
        <v>3379</v>
      </c>
      <c r="P70" s="96"/>
      <c r="Q70" s="121"/>
      <c r="R70" s="122"/>
      <c r="S70" s="123"/>
    </row>
    <row r="71" spans="1:19" x14ac:dyDescent="0.25">
      <c r="A71" s="10" t="s">
        <v>33</v>
      </c>
      <c r="B71" s="35"/>
      <c r="C71" s="35" t="s">
        <v>34</v>
      </c>
      <c r="D71" s="35"/>
      <c r="E71" s="35"/>
      <c r="F71" s="35" t="s">
        <v>34</v>
      </c>
      <c r="G71" s="96"/>
      <c r="H71" s="96"/>
      <c r="I71" s="96" t="s">
        <v>3380</v>
      </c>
      <c r="J71" s="35"/>
      <c r="K71" s="35"/>
      <c r="L71" s="35" t="s">
        <v>3381</v>
      </c>
      <c r="M71" s="35"/>
      <c r="N71" s="35"/>
      <c r="O71" s="35" t="s">
        <v>3382</v>
      </c>
      <c r="P71" s="35"/>
      <c r="Q71" s="121"/>
      <c r="R71" s="120"/>
      <c r="S71" s="123"/>
    </row>
    <row r="72" spans="1:19" ht="13.8" thickBot="1" x14ac:dyDescent="0.3">
      <c r="A72" s="12" t="s">
        <v>39</v>
      </c>
      <c r="B72" s="98"/>
      <c r="C72" s="98" t="s">
        <v>39</v>
      </c>
      <c r="D72" s="98"/>
      <c r="E72" s="98"/>
      <c r="F72" s="99" t="s">
        <v>3383</v>
      </c>
      <c r="G72" s="98"/>
      <c r="H72" s="98"/>
      <c r="I72" s="98" t="s">
        <v>3384</v>
      </c>
      <c r="J72" s="98"/>
      <c r="K72" s="99"/>
      <c r="L72" s="99" t="s">
        <v>3379</v>
      </c>
      <c r="M72" s="99"/>
      <c r="N72" s="99"/>
      <c r="O72" s="99" t="s">
        <v>3385</v>
      </c>
      <c r="P72" s="99"/>
      <c r="Q72" s="124"/>
      <c r="R72" s="125"/>
      <c r="S72" s="125"/>
    </row>
    <row r="73" spans="1:19" x14ac:dyDescent="0.25">
      <c r="A73" s="10">
        <v>1</v>
      </c>
      <c r="B73" s="101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1"/>
      <c r="Q73" s="91"/>
      <c r="R73" s="57"/>
      <c r="S73" s="57"/>
    </row>
    <row r="74" spans="1:19" x14ac:dyDescent="0.25">
      <c r="A74" s="10">
        <v>2</v>
      </c>
      <c r="B74" s="101"/>
      <c r="C74" s="37"/>
      <c r="D74" s="10"/>
      <c r="E74" s="10" t="s">
        <v>3433</v>
      </c>
      <c r="F74" s="105"/>
      <c r="G74" s="105"/>
      <c r="H74" s="105"/>
      <c r="I74" s="105"/>
      <c r="J74" s="105"/>
      <c r="K74" s="105"/>
      <c r="L74" s="105"/>
      <c r="M74" s="105"/>
      <c r="N74" s="105"/>
      <c r="O74" s="102"/>
      <c r="P74" s="101"/>
      <c r="Q74" s="91"/>
      <c r="R74" s="57"/>
      <c r="S74" s="57"/>
    </row>
    <row r="75" spans="1:19" x14ac:dyDescent="0.25">
      <c r="A75" s="10">
        <v>3</v>
      </c>
      <c r="B75" s="101"/>
      <c r="C75" s="126" t="s">
        <v>3434</v>
      </c>
      <c r="D75" s="10"/>
      <c r="E75" s="127" t="s">
        <v>52</v>
      </c>
      <c r="F75" s="105"/>
      <c r="G75" s="105"/>
      <c r="H75" s="105"/>
      <c r="I75" s="111">
        <f>ROUND(VLOOKUP(C75,'[74]2021 Budgeted TB'!A:O,15,FALSE)/1000,9)</f>
        <v>25479.055</v>
      </c>
      <c r="J75" s="105"/>
      <c r="K75" s="105"/>
      <c r="L75" s="111">
        <f>+'[74]C-4 Supplement'!J30</f>
        <v>25479.055</v>
      </c>
      <c r="M75" s="105"/>
      <c r="N75" s="105"/>
      <c r="O75" s="112">
        <f t="shared" ref="O75:O85" si="4">IF(I75=0,0,ROUND(L75/I75,6))</f>
        <v>1</v>
      </c>
      <c r="P75" s="101"/>
      <c r="Q75" s="91"/>
      <c r="R75" s="57"/>
      <c r="S75" s="57"/>
    </row>
    <row r="76" spans="1:19" x14ac:dyDescent="0.25">
      <c r="A76" s="10">
        <v>4</v>
      </c>
      <c r="B76" s="101"/>
      <c r="C76" s="126" t="s">
        <v>3435</v>
      </c>
      <c r="D76" s="10"/>
      <c r="E76" s="127" t="s">
        <v>3436</v>
      </c>
      <c r="F76" s="105"/>
      <c r="G76" s="105"/>
      <c r="H76" s="105"/>
      <c r="I76" s="111">
        <f>ROUND(VLOOKUP(C76,'[74]2021 Budgeted TB'!A:O,15,FALSE)/1000,9)</f>
        <v>0</v>
      </c>
      <c r="J76" s="105"/>
      <c r="K76" s="105"/>
      <c r="L76" s="111">
        <f>+'[74]C-4 Supplement'!J31</f>
        <v>0</v>
      </c>
      <c r="M76" s="105"/>
      <c r="N76" s="105"/>
      <c r="O76" s="112">
        <f t="shared" si="4"/>
        <v>0</v>
      </c>
      <c r="P76" s="101"/>
      <c r="Q76" s="91"/>
      <c r="R76" s="57"/>
      <c r="S76" s="57"/>
    </row>
    <row r="77" spans="1:19" x14ac:dyDescent="0.25">
      <c r="A77" s="10">
        <v>5</v>
      </c>
      <c r="B77" s="101"/>
      <c r="C77" s="126" t="s">
        <v>3437</v>
      </c>
      <c r="D77" s="10"/>
      <c r="E77" s="127" t="s">
        <v>3438</v>
      </c>
      <c r="F77" s="105"/>
      <c r="G77" s="105"/>
      <c r="H77" s="105"/>
      <c r="I77" s="111">
        <f>ROUND(VLOOKUP(C77,'[74]2021 Budgeted TB'!A:O,15,FALSE)/1000,9)</f>
        <v>0</v>
      </c>
      <c r="J77" s="105"/>
      <c r="K77" s="105"/>
      <c r="L77" s="111">
        <f>+'[74]C-4 Supplement'!J32</f>
        <v>0</v>
      </c>
      <c r="M77" s="105"/>
      <c r="N77" s="105"/>
      <c r="O77" s="112">
        <f t="shared" si="4"/>
        <v>0</v>
      </c>
      <c r="P77" s="101"/>
      <c r="Q77" s="91"/>
      <c r="R77" s="128"/>
      <c r="S77" s="128"/>
    </row>
    <row r="78" spans="1:19" x14ac:dyDescent="0.25">
      <c r="A78" s="10">
        <v>6</v>
      </c>
      <c r="B78" s="101"/>
      <c r="C78" s="126" t="s">
        <v>3439</v>
      </c>
      <c r="D78" s="10"/>
      <c r="E78" s="127" t="s">
        <v>54</v>
      </c>
      <c r="F78" s="105"/>
      <c r="G78" s="105"/>
      <c r="H78" s="105"/>
      <c r="I78" s="111">
        <f>ROUND(VLOOKUP(C78,'[74]2021 Budgeted TB'!A:O,15,FALSE)/1000,9)</f>
        <v>3853.261</v>
      </c>
      <c r="J78" s="105"/>
      <c r="K78" s="105"/>
      <c r="L78" s="111">
        <f>+'[74]C-4 Supplement'!J33</f>
        <v>3853.261</v>
      </c>
      <c r="M78" s="105"/>
      <c r="N78" s="105"/>
      <c r="O78" s="112">
        <f t="shared" si="4"/>
        <v>1</v>
      </c>
      <c r="P78" s="101"/>
      <c r="Q78" s="91"/>
      <c r="R78" s="128"/>
      <c r="S78" s="128"/>
    </row>
    <row r="79" spans="1:19" x14ac:dyDescent="0.25">
      <c r="A79" s="10">
        <v>7</v>
      </c>
      <c r="B79" s="101"/>
      <c r="C79" s="126" t="s">
        <v>3440</v>
      </c>
      <c r="E79" s="127" t="s">
        <v>56</v>
      </c>
      <c r="I79" s="111">
        <f>IFERROR(ROUND(VLOOKUP(C79,'[74]2021 Budgeted TB'!A:O,15,FALSE)/1000,9),0)</f>
        <v>5986.6959999999999</v>
      </c>
      <c r="L79" s="111">
        <f>+'[74]C-4 Supplement'!J34</f>
        <v>5986.6959999999999</v>
      </c>
      <c r="O79" s="112">
        <f t="shared" si="4"/>
        <v>1</v>
      </c>
      <c r="P79" s="101"/>
      <c r="Q79" s="91"/>
      <c r="R79" s="128"/>
      <c r="S79" s="128"/>
    </row>
    <row r="80" spans="1:19" x14ac:dyDescent="0.25">
      <c r="A80" s="10">
        <v>8</v>
      </c>
      <c r="B80" s="101"/>
      <c r="C80" s="126" t="s">
        <v>3441</v>
      </c>
      <c r="D80" s="10"/>
      <c r="E80" s="127" t="s">
        <v>3442</v>
      </c>
      <c r="F80" s="105"/>
      <c r="G80" s="105"/>
      <c r="H80" s="105"/>
      <c r="I80" s="111">
        <f>ROUND(VLOOKUP(C80,'[74]2021 Budgeted TB'!A:O,15,FALSE)/1000,9)</f>
        <v>-14697.185934813</v>
      </c>
      <c r="J80" s="105"/>
      <c r="K80" s="105"/>
      <c r="L80" s="111">
        <f>+'[74]C-4 Supplement'!J35</f>
        <v>-14697.185934813</v>
      </c>
      <c r="M80" s="105"/>
      <c r="N80" s="105"/>
      <c r="O80" s="112">
        <f t="shared" si="4"/>
        <v>1</v>
      </c>
      <c r="P80" s="101"/>
      <c r="Q80" s="91"/>
      <c r="R80" s="128"/>
      <c r="S80" s="128"/>
    </row>
    <row r="81" spans="1:19" x14ac:dyDescent="0.25">
      <c r="A81" s="10">
        <v>9</v>
      </c>
      <c r="B81" s="101"/>
      <c r="C81" s="126" t="s">
        <v>3443</v>
      </c>
      <c r="D81" s="10"/>
      <c r="E81" s="127" t="s">
        <v>58</v>
      </c>
      <c r="F81" s="105"/>
      <c r="G81" s="105"/>
      <c r="H81" s="105"/>
      <c r="I81" s="111">
        <f>ROUND(VLOOKUP(C81,'[74]2021 Budgeted TB'!A:O,15,FALSE)/1000,9)</f>
        <v>-2456.6244172199999</v>
      </c>
      <c r="J81" s="105"/>
      <c r="K81" s="105"/>
      <c r="L81" s="111">
        <f>+'[74]C-4 Supplement'!J36</f>
        <v>-2456.6244172199999</v>
      </c>
      <c r="M81" s="105"/>
      <c r="N81" s="105"/>
      <c r="O81" s="112">
        <f t="shared" si="4"/>
        <v>1</v>
      </c>
      <c r="P81" s="101"/>
      <c r="Q81" s="91"/>
      <c r="R81" s="128"/>
      <c r="S81" s="128"/>
    </row>
    <row r="82" spans="1:19" x14ac:dyDescent="0.25">
      <c r="A82" s="10">
        <v>10</v>
      </c>
      <c r="B82" s="101"/>
      <c r="C82" s="126" t="s">
        <v>3444</v>
      </c>
      <c r="D82" s="10"/>
      <c r="E82" s="127" t="s">
        <v>3445</v>
      </c>
      <c r="F82" s="105"/>
      <c r="G82" s="105"/>
      <c r="H82" s="105"/>
      <c r="I82" s="111">
        <f>ROUND(VLOOKUP(C82,'[74]2021 Budgeted TB'!A:O,15,FALSE)/1000,9)</f>
        <v>-590.32000000000005</v>
      </c>
      <c r="J82" s="105"/>
      <c r="K82" s="105"/>
      <c r="L82" s="111">
        <f>+'[74]C-4 Supplement'!J37</f>
        <v>-590.32000000000005</v>
      </c>
      <c r="M82" s="105"/>
      <c r="N82" s="105"/>
      <c r="O82" s="112">
        <f t="shared" si="4"/>
        <v>1</v>
      </c>
      <c r="P82" s="101"/>
      <c r="Q82" s="91"/>
      <c r="R82" s="128"/>
      <c r="S82" s="128"/>
    </row>
    <row r="83" spans="1:19" x14ac:dyDescent="0.25">
      <c r="A83" s="10">
        <v>11</v>
      </c>
      <c r="B83" s="101"/>
      <c r="C83" s="126" t="s">
        <v>3446</v>
      </c>
      <c r="D83" s="10"/>
      <c r="E83" s="127" t="s">
        <v>3447</v>
      </c>
      <c r="F83" s="105"/>
      <c r="G83" s="105"/>
      <c r="H83" s="105"/>
      <c r="I83" s="111">
        <f>ROUND(VLOOKUP(C83,'[74]2021 Budgeted TB'!A:O,15,FALSE)/1000,9)</f>
        <v>-3224.52</v>
      </c>
      <c r="J83" s="109"/>
      <c r="K83" s="105"/>
      <c r="L83" s="111">
        <f>+'[74]C-4 Supplement'!J38</f>
        <v>-3224.52</v>
      </c>
      <c r="M83" s="105"/>
      <c r="N83" s="105"/>
      <c r="O83" s="112">
        <f t="shared" si="4"/>
        <v>1</v>
      </c>
      <c r="P83" s="101"/>
      <c r="Q83" s="91"/>
      <c r="R83" s="128"/>
      <c r="S83" s="128"/>
    </row>
    <row r="84" spans="1:19" x14ac:dyDescent="0.25">
      <c r="A84" s="10">
        <v>12</v>
      </c>
      <c r="B84" s="101"/>
      <c r="C84" s="126" t="s">
        <v>3448</v>
      </c>
      <c r="E84" s="127" t="s">
        <v>61</v>
      </c>
      <c r="I84" s="111">
        <f>IFERROR(ROUND(VLOOKUP(C84,'[74]2021 Budgeted TB'!A:O,15,FALSE)/1000,9),0)</f>
        <v>-2286.2339999999999</v>
      </c>
      <c r="L84" s="111">
        <f>+'[74]C-4 Supplement'!J39</f>
        <v>-2286.2339999999999</v>
      </c>
      <c r="O84" s="112">
        <f t="shared" si="4"/>
        <v>1</v>
      </c>
      <c r="P84" s="101"/>
      <c r="Q84" s="91"/>
      <c r="R84" s="128"/>
      <c r="S84" s="128"/>
    </row>
    <row r="85" spans="1:19" x14ac:dyDescent="0.25">
      <c r="A85" s="10">
        <v>13</v>
      </c>
      <c r="B85" s="101"/>
      <c r="C85" s="37"/>
      <c r="D85" s="10"/>
      <c r="E85" s="114" t="s">
        <v>3449</v>
      </c>
      <c r="F85" s="105"/>
      <c r="G85" s="105"/>
      <c r="H85" s="105"/>
      <c r="I85" s="115">
        <f>SUM(I75:I84)</f>
        <v>12064.127647967001</v>
      </c>
      <c r="J85" s="105"/>
      <c r="K85" s="105"/>
      <c r="L85" s="115">
        <f>SUM(L75:L84)</f>
        <v>12064.127647967001</v>
      </c>
      <c r="M85" s="105"/>
      <c r="N85" s="105"/>
      <c r="O85" s="112">
        <f t="shared" si="4"/>
        <v>1</v>
      </c>
      <c r="P85" s="101"/>
      <c r="Q85" s="91"/>
      <c r="R85" s="128"/>
      <c r="S85" s="128"/>
    </row>
    <row r="86" spans="1:19" x14ac:dyDescent="0.25">
      <c r="A86" s="10">
        <v>14</v>
      </c>
      <c r="B86" s="101"/>
      <c r="C86" s="10"/>
      <c r="D86" s="10"/>
      <c r="E86" s="129" t="s">
        <v>3450</v>
      </c>
      <c r="F86" s="105"/>
      <c r="G86" s="105"/>
      <c r="H86" s="105"/>
      <c r="I86" s="115">
        <f>+I85+I52+I43+I34+I27</f>
        <v>709772.51194234996</v>
      </c>
      <c r="J86" s="105"/>
      <c r="K86" s="105"/>
      <c r="L86" s="115">
        <f>+L85+L52+L43+L34+L27</f>
        <v>709069.96140336536</v>
      </c>
      <c r="M86" s="105"/>
      <c r="N86" s="105"/>
      <c r="O86" s="112">
        <f>IF(I86=0,0,ROUND(L86/I86,6))</f>
        <v>0.99900999999999995</v>
      </c>
      <c r="P86" s="101"/>
      <c r="Q86" s="91"/>
      <c r="R86" s="128"/>
      <c r="S86" s="128"/>
    </row>
    <row r="87" spans="1:19" x14ac:dyDescent="0.25">
      <c r="A87" s="10">
        <v>15</v>
      </c>
      <c r="B87" s="101"/>
      <c r="P87" s="101"/>
      <c r="Q87" s="91"/>
      <c r="R87" s="128"/>
      <c r="S87" s="128"/>
    </row>
    <row r="88" spans="1:19" x14ac:dyDescent="0.25">
      <c r="A88" s="10">
        <v>16</v>
      </c>
      <c r="B88" s="101"/>
      <c r="C88" s="37"/>
      <c r="D88" s="101"/>
      <c r="E88" s="57" t="s">
        <v>3451</v>
      </c>
      <c r="F88" s="57"/>
      <c r="G88" s="57"/>
      <c r="H88" s="57"/>
      <c r="I88" s="57"/>
      <c r="J88" s="101"/>
      <c r="K88" s="101"/>
      <c r="L88" s="101"/>
      <c r="M88" s="101"/>
      <c r="N88" s="101"/>
      <c r="O88" s="112"/>
      <c r="P88" s="101"/>
      <c r="Q88" s="128"/>
      <c r="R88" s="128"/>
      <c r="S88" s="128"/>
    </row>
    <row r="89" spans="1:19" x14ac:dyDescent="0.25">
      <c r="A89" s="10">
        <v>17</v>
      </c>
      <c r="B89" s="101"/>
      <c r="C89" s="37"/>
      <c r="D89" s="10"/>
      <c r="E89" s="130" t="s">
        <v>3390</v>
      </c>
      <c r="F89" s="57"/>
      <c r="G89" s="57"/>
      <c r="H89" s="57"/>
      <c r="I89" s="57"/>
      <c r="J89" s="101"/>
      <c r="K89" s="101"/>
      <c r="L89" s="101"/>
      <c r="M89" s="57"/>
      <c r="N89" s="57"/>
      <c r="O89" s="112"/>
      <c r="P89" s="101"/>
      <c r="Q89" s="128"/>
      <c r="R89" s="128"/>
      <c r="S89" s="128"/>
    </row>
    <row r="90" spans="1:19" x14ac:dyDescent="0.25">
      <c r="A90" s="10">
        <v>18</v>
      </c>
      <c r="B90" s="101"/>
      <c r="C90" s="37">
        <v>560</v>
      </c>
      <c r="D90" s="10"/>
      <c r="E90" s="110" t="s">
        <v>3452</v>
      </c>
      <c r="F90" s="105"/>
      <c r="G90" s="105"/>
      <c r="H90" s="105"/>
      <c r="I90" s="111">
        <f>ROUND(VLOOKUP("9560000",'[74]FERC 2021'!A:O,15,FALSE)/1000,9)</f>
        <v>629.62613251799996</v>
      </c>
      <c r="J90" s="109"/>
      <c r="K90" s="109"/>
      <c r="L90" s="111">
        <f>+'[74]C-4 Supplement'!J40</f>
        <v>625.38331869290084</v>
      </c>
      <c r="M90" s="105"/>
      <c r="N90" s="105"/>
      <c r="O90" s="112">
        <f t="shared" ref="O90:O98" si="5">IF(I90=0,0,ROUND(L90/I90,6))</f>
        <v>0.99326099999999995</v>
      </c>
      <c r="P90" s="57"/>
      <c r="Q90" s="91"/>
      <c r="R90" s="128"/>
      <c r="S90" s="128"/>
    </row>
    <row r="91" spans="1:19" x14ac:dyDescent="0.25">
      <c r="A91" s="10">
        <v>19</v>
      </c>
      <c r="B91" s="101"/>
      <c r="C91" s="37">
        <v>561</v>
      </c>
      <c r="D91" s="10"/>
      <c r="E91" s="110" t="s">
        <v>3428</v>
      </c>
      <c r="F91" s="105"/>
      <c r="G91" s="105"/>
      <c r="H91" s="105"/>
      <c r="I91" s="111">
        <f>ROUND(VLOOKUP("9561100",'[74]FERC 2021'!A:O,15,FALSE)/1000,9)+ROUND(VLOOKUP("9561200",'[74]FERC 2021'!A:O,15,FALSE)/1000,9)+ROUND(VLOOKUP("9561300",'[74]FERC 2021'!A:O,15,FALSE)/1000,9)+ROUND(VLOOKUP("9561400",'[74]FERC 2021'!A:O,15,FALSE)/1000,9)+ROUND(VLOOKUP("9561500",'[74]FERC 2021'!A:O,15,FALSE)/1000,9)+ROUND(VLOOKUP("9561600",'[74]FERC 2021'!A:O,15,FALSE)/1000,9)+ROUND(VLOOKUP("9561700",'[74]FERC 2021'!A:O,15,FALSE)/1000,9)+ROUND(VLOOKUP("9561800",'[74]FERC 2021'!A:O,15,FALSE)/1000,9)</f>
        <v>2434.233354214</v>
      </c>
      <c r="J91" s="105"/>
      <c r="K91" s="105"/>
      <c r="L91" s="111">
        <f>+'[74]C-4 Supplement'!J41</f>
        <v>2417.8299706894422</v>
      </c>
      <c r="M91" s="105"/>
      <c r="N91" s="105"/>
      <c r="O91" s="112">
        <f t="shared" si="5"/>
        <v>0.99326099999999995</v>
      </c>
      <c r="P91" s="105"/>
      <c r="Q91" s="91"/>
      <c r="R91" s="128"/>
      <c r="S91" s="128"/>
    </row>
    <row r="92" spans="1:19" x14ac:dyDescent="0.25">
      <c r="A92" s="10">
        <v>20</v>
      </c>
      <c r="B92" s="101"/>
      <c r="C92" s="37">
        <v>562</v>
      </c>
      <c r="D92" s="10"/>
      <c r="E92" s="110" t="s">
        <v>3453</v>
      </c>
      <c r="F92" s="105"/>
      <c r="G92" s="105"/>
      <c r="H92" s="105"/>
      <c r="I92" s="111">
        <f>ROUND(VLOOKUP("9562000",'[74]FERC 2021'!A:O,15,FALSE)/1000,9)</f>
        <v>1524.6560770650001</v>
      </c>
      <c r="J92" s="105"/>
      <c r="K92" s="105"/>
      <c r="L92" s="111">
        <f>+'[74]C-4 Supplement'!J42</f>
        <v>1514.3819928931398</v>
      </c>
      <c r="M92" s="105"/>
      <c r="N92" s="105"/>
      <c r="O92" s="112">
        <f t="shared" si="5"/>
        <v>0.99326099999999995</v>
      </c>
      <c r="P92" s="105"/>
      <c r="Q92" s="91"/>
      <c r="R92" s="128"/>
      <c r="S92" s="128"/>
    </row>
    <row r="93" spans="1:19" x14ac:dyDescent="0.25">
      <c r="A93" s="10">
        <v>21</v>
      </c>
      <c r="B93" s="101"/>
      <c r="C93" s="37">
        <v>563</v>
      </c>
      <c r="D93" s="10"/>
      <c r="E93" s="110" t="s">
        <v>3454</v>
      </c>
      <c r="F93" s="105"/>
      <c r="G93" s="105"/>
      <c r="H93" s="105"/>
      <c r="I93" s="111">
        <f>ROUND(VLOOKUP("9563000",'[74]FERC 2021'!A:O,15,FALSE)/1000,9)</f>
        <v>371.85944441200002</v>
      </c>
      <c r="J93" s="105"/>
      <c r="K93" s="105"/>
      <c r="L93" s="111">
        <f>+'[74]C-4 Supplement'!J43</f>
        <v>369.35362340130712</v>
      </c>
      <c r="M93" s="105"/>
      <c r="N93" s="105"/>
      <c r="O93" s="112">
        <f t="shared" si="5"/>
        <v>0.99326099999999995</v>
      </c>
      <c r="P93" s="105"/>
      <c r="Q93" s="91"/>
      <c r="R93" s="128"/>
      <c r="S93" s="128"/>
    </row>
    <row r="94" spans="1:19" x14ac:dyDescent="0.25">
      <c r="A94" s="10">
        <v>22</v>
      </c>
      <c r="B94" s="101"/>
      <c r="C94" s="37">
        <v>564</v>
      </c>
      <c r="D94" s="10"/>
      <c r="E94" s="110" t="s">
        <v>3455</v>
      </c>
      <c r="F94" s="105"/>
      <c r="G94" s="105"/>
      <c r="H94" s="105"/>
      <c r="I94" s="111">
        <f>ROUND(VLOOKUP("9564000",'[74]FERC 2021'!A:O,15,FALSE)/1000,9)</f>
        <v>0</v>
      </c>
      <c r="J94" s="105"/>
      <c r="K94" s="105"/>
      <c r="L94" s="111">
        <f>+'[74]C-4 Supplement'!J44</f>
        <v>0</v>
      </c>
      <c r="M94" s="105"/>
      <c r="N94" s="105"/>
      <c r="O94" s="112">
        <f t="shared" si="5"/>
        <v>0</v>
      </c>
      <c r="P94" s="105"/>
      <c r="Q94" s="91"/>
      <c r="R94" s="128"/>
      <c r="S94" s="128"/>
    </row>
    <row r="95" spans="1:19" x14ac:dyDescent="0.25">
      <c r="A95" s="10">
        <v>23</v>
      </c>
      <c r="B95" s="101"/>
      <c r="C95" s="37">
        <v>565</v>
      </c>
      <c r="D95" s="10"/>
      <c r="E95" s="110" t="s">
        <v>3456</v>
      </c>
      <c r="F95" s="105"/>
      <c r="G95" s="105"/>
      <c r="H95" s="105"/>
      <c r="I95" s="111">
        <f>ROUND(VLOOKUP("9565000",'[74]FERC 2021'!A:O,15,FALSE)/1000,9)</f>
        <v>0</v>
      </c>
      <c r="J95" s="105"/>
      <c r="K95" s="105"/>
      <c r="L95" s="111">
        <f>+'[74]C-4 Supplement'!J45</f>
        <v>0</v>
      </c>
      <c r="M95" s="105"/>
      <c r="N95" s="105"/>
      <c r="O95" s="112">
        <f t="shared" si="5"/>
        <v>0</v>
      </c>
      <c r="P95" s="105"/>
      <c r="Q95" s="91"/>
      <c r="R95" s="128"/>
      <c r="S95" s="128"/>
    </row>
    <row r="96" spans="1:19" x14ac:dyDescent="0.25">
      <c r="A96" s="10">
        <v>24</v>
      </c>
      <c r="B96" s="101"/>
      <c r="C96" s="37">
        <v>566</v>
      </c>
      <c r="D96" s="10"/>
      <c r="E96" s="110" t="s">
        <v>3457</v>
      </c>
      <c r="F96" s="105"/>
      <c r="G96" s="105"/>
      <c r="H96" s="105"/>
      <c r="I96" s="111">
        <f>ROUND(VLOOKUP("9566000",'[74]FERC 2021'!A:O,15,FALSE)/1000,9)</f>
        <v>1071.74051829</v>
      </c>
      <c r="J96" s="105"/>
      <c r="K96" s="105"/>
      <c r="L96" s="111">
        <f>+'[74]C-4 Supplement'!J46</f>
        <v>1064.5184618138264</v>
      </c>
      <c r="M96" s="105"/>
      <c r="N96" s="105"/>
      <c r="O96" s="112">
        <f t="shared" si="5"/>
        <v>0.99326099999999995</v>
      </c>
      <c r="P96" s="105"/>
      <c r="Q96" s="91"/>
      <c r="R96" s="128"/>
      <c r="S96" s="128"/>
    </row>
    <row r="97" spans="1:19" x14ac:dyDescent="0.25">
      <c r="A97" s="10">
        <v>25</v>
      </c>
      <c r="B97" s="101"/>
      <c r="C97" s="37">
        <v>567</v>
      </c>
      <c r="D97" s="10"/>
      <c r="E97" s="110" t="s">
        <v>869</v>
      </c>
      <c r="F97" s="105"/>
      <c r="G97" s="105"/>
      <c r="H97" s="105"/>
      <c r="I97" s="111">
        <f>ROUND(VLOOKUP("9567000",'[74]FERC 2021'!A:O,15,FALSE)/1000,9)</f>
        <v>0</v>
      </c>
      <c r="J97" s="105"/>
      <c r="K97" s="105"/>
      <c r="L97" s="111">
        <f>+'[74]C-4 Supplement'!J47</f>
        <v>0</v>
      </c>
      <c r="M97" s="105"/>
      <c r="N97" s="105"/>
      <c r="O97" s="112">
        <f t="shared" si="5"/>
        <v>0</v>
      </c>
      <c r="P97" s="105"/>
      <c r="Q97" s="91"/>
      <c r="R97" s="128"/>
      <c r="S97" s="128"/>
    </row>
    <row r="98" spans="1:19" x14ac:dyDescent="0.25">
      <c r="A98" s="10">
        <v>26</v>
      </c>
      <c r="B98" s="101"/>
      <c r="C98" s="37"/>
      <c r="D98" s="10"/>
      <c r="E98" s="114" t="s">
        <v>3458</v>
      </c>
      <c r="F98" s="105"/>
      <c r="G98" s="105"/>
      <c r="H98" s="105"/>
      <c r="I98" s="115">
        <f>SUM(I90:I97)</f>
        <v>6032.1155264990002</v>
      </c>
      <c r="J98" s="105"/>
      <c r="K98" s="105"/>
      <c r="L98" s="115">
        <f>SUM(L90:L97)</f>
        <v>5991.4673674906162</v>
      </c>
      <c r="M98" s="105"/>
      <c r="N98" s="105"/>
      <c r="O98" s="112">
        <f t="shared" si="5"/>
        <v>0.99326099999999995</v>
      </c>
      <c r="P98" s="105"/>
      <c r="Q98" s="91"/>
      <c r="R98" s="128"/>
      <c r="S98" s="128"/>
    </row>
    <row r="99" spans="1:19" x14ac:dyDescent="0.25">
      <c r="A99" s="10">
        <v>27</v>
      </c>
      <c r="B99" s="101"/>
      <c r="C99" s="37"/>
      <c r="D99" s="10"/>
      <c r="E99" s="10" t="s">
        <v>11</v>
      </c>
      <c r="F99" s="105"/>
      <c r="G99" s="105"/>
      <c r="H99" s="105"/>
      <c r="I99" s="105"/>
      <c r="J99" s="105"/>
      <c r="K99" s="105"/>
      <c r="L99" s="105"/>
      <c r="M99" s="105"/>
      <c r="N99" s="105"/>
      <c r="O99" s="112"/>
      <c r="P99" s="105"/>
      <c r="Q99" s="91"/>
      <c r="R99" s="128"/>
      <c r="S99" s="128"/>
    </row>
    <row r="100" spans="1:19" x14ac:dyDescent="0.25">
      <c r="A100" s="10">
        <v>28</v>
      </c>
      <c r="B100" s="101"/>
      <c r="C100" s="37"/>
      <c r="D100" s="10"/>
      <c r="E100" s="10" t="s">
        <v>3401</v>
      </c>
      <c r="F100" s="105"/>
      <c r="G100" s="105"/>
      <c r="H100" s="105"/>
      <c r="I100" s="105"/>
      <c r="J100" s="105"/>
      <c r="K100" s="105"/>
      <c r="L100" s="105"/>
      <c r="M100" s="105"/>
      <c r="N100" s="105"/>
      <c r="O100" s="112"/>
      <c r="P100" s="105"/>
      <c r="Q100" s="128"/>
      <c r="R100" s="128"/>
      <c r="S100" s="128"/>
    </row>
    <row r="101" spans="1:19" x14ac:dyDescent="0.25">
      <c r="A101" s="10">
        <v>29</v>
      </c>
      <c r="B101" s="101"/>
      <c r="C101" s="37">
        <v>568</v>
      </c>
      <c r="D101" s="10"/>
      <c r="E101" s="110" t="s">
        <v>3452</v>
      </c>
      <c r="F101" s="105"/>
      <c r="G101" s="105"/>
      <c r="H101" s="105"/>
      <c r="I101" s="111">
        <f>ROUND(VLOOKUP("9568000",'[74]FERC 2021'!A:O,15,FALSE)/1000,9)</f>
        <v>0</v>
      </c>
      <c r="J101" s="105"/>
      <c r="K101" s="105"/>
      <c r="L101" s="111">
        <f>+'[74]C-4 Supplement'!J48</f>
        <v>0</v>
      </c>
      <c r="M101" s="105"/>
      <c r="N101" s="105"/>
      <c r="O101" s="112">
        <f t="shared" ref="O101:O107" si="6">IF(I101=0,0,ROUND(L101/I101,6))</f>
        <v>0</v>
      </c>
      <c r="P101" s="105"/>
      <c r="Q101" s="128"/>
      <c r="R101" s="128"/>
      <c r="S101" s="128"/>
    </row>
    <row r="102" spans="1:19" x14ac:dyDescent="0.25">
      <c r="A102" s="10">
        <v>30</v>
      </c>
      <c r="B102" s="101"/>
      <c r="C102" s="37">
        <v>569</v>
      </c>
      <c r="D102" s="10"/>
      <c r="E102" s="110" t="s">
        <v>3459</v>
      </c>
      <c r="F102" s="105"/>
      <c r="G102" s="105"/>
      <c r="H102" s="105"/>
      <c r="I102" s="111">
        <f>ROUND(VLOOKUP("9569000",'[74]FERC 2021'!A:O,15,FALSE)/1000,9)+ROUND(VLOOKUP("9569100",'[74]FERC 2021'!A:O,15,FALSE)/1000,9)+ROUND(VLOOKUP("9569200",'[74]FERC 2021'!A:O,15,FALSE)/1000,9)+ROUND(VLOOKUP("9569300",'[74]FERC 2021'!A:O,15,FALSE)/1000,9)+ROUND(VLOOKUP("9569400",'[74]FERC 2021'!A:O,15,FALSE)/1000,9)</f>
        <v>3522.1321608930002</v>
      </c>
      <c r="J102" s="105"/>
      <c r="K102" s="105"/>
      <c r="L102" s="111">
        <f>+'[74]C-4 Supplement'!J49</f>
        <v>3498.3978362608568</v>
      </c>
      <c r="M102" s="105"/>
      <c r="N102" s="105"/>
      <c r="O102" s="112">
        <f t="shared" si="6"/>
        <v>0.99326099999999995</v>
      </c>
      <c r="P102" s="105"/>
      <c r="Q102" s="128"/>
      <c r="R102" s="128"/>
      <c r="S102" s="128"/>
    </row>
    <row r="103" spans="1:19" x14ac:dyDescent="0.25">
      <c r="A103" s="10">
        <v>31</v>
      </c>
      <c r="B103" s="101"/>
      <c r="C103" s="37">
        <v>570</v>
      </c>
      <c r="D103" s="10"/>
      <c r="E103" s="110" t="s">
        <v>3460</v>
      </c>
      <c r="F103" s="105"/>
      <c r="G103" s="105"/>
      <c r="H103" s="105"/>
      <c r="I103" s="111">
        <f>ROUND(VLOOKUP("9570000",'[74]FERC 2021'!A:O,15,FALSE)/1000,9)</f>
        <v>1292.026158699</v>
      </c>
      <c r="J103" s="105"/>
      <c r="K103" s="105"/>
      <c r="L103" s="111">
        <f>+'[74]C-4 Supplement'!J50</f>
        <v>1283.3196800993985</v>
      </c>
      <c r="M103" s="105"/>
      <c r="N103" s="105"/>
      <c r="O103" s="112">
        <f t="shared" si="6"/>
        <v>0.99326099999999995</v>
      </c>
      <c r="P103" s="105"/>
      <c r="Q103" s="91"/>
      <c r="R103" s="128"/>
      <c r="S103" s="128"/>
    </row>
    <row r="104" spans="1:19" x14ac:dyDescent="0.25">
      <c r="A104" s="10">
        <v>32</v>
      </c>
      <c r="B104" s="101"/>
      <c r="C104" s="37">
        <v>571</v>
      </c>
      <c r="D104" s="10"/>
      <c r="E104" s="110" t="s">
        <v>3454</v>
      </c>
      <c r="F104" s="105"/>
      <c r="G104" s="105"/>
      <c r="H104" s="105"/>
      <c r="I104" s="111">
        <f>ROUND(VLOOKUP("9571000",'[74]FERC 2021'!A:O,15,FALSE)/1000,9)</f>
        <v>4460.620125167</v>
      </c>
      <c r="J104" s="105"/>
      <c r="K104" s="105"/>
      <c r="L104" s="111">
        <f>+'[74]C-4 Supplement'!J51</f>
        <v>4430.5616829294022</v>
      </c>
      <c r="M104" s="105"/>
      <c r="N104" s="105"/>
      <c r="O104" s="112">
        <f t="shared" si="6"/>
        <v>0.99326099999999995</v>
      </c>
      <c r="P104" s="105"/>
      <c r="Q104" s="128"/>
      <c r="R104" s="128"/>
      <c r="S104" s="128"/>
    </row>
    <row r="105" spans="1:19" x14ac:dyDescent="0.25">
      <c r="A105" s="10">
        <v>33</v>
      </c>
      <c r="B105" s="101"/>
      <c r="C105" s="37">
        <v>572</v>
      </c>
      <c r="D105" s="10"/>
      <c r="E105" s="110" t="s">
        <v>3455</v>
      </c>
      <c r="F105" s="105"/>
      <c r="G105" s="105"/>
      <c r="H105" s="105"/>
      <c r="I105" s="111">
        <f>ROUND(VLOOKUP("9572000",'[74]FERC 2021'!A:O,15,FALSE)/1000,9)</f>
        <v>0</v>
      </c>
      <c r="J105" s="105"/>
      <c r="K105" s="105"/>
      <c r="L105" s="111">
        <f>+'[74]C-4 Supplement'!J52</f>
        <v>0</v>
      </c>
      <c r="M105" s="105"/>
      <c r="N105" s="105"/>
      <c r="O105" s="112">
        <f t="shared" si="6"/>
        <v>0</v>
      </c>
      <c r="P105" s="105"/>
      <c r="Q105" s="128"/>
      <c r="R105" s="128"/>
      <c r="S105" s="128"/>
    </row>
    <row r="106" spans="1:19" x14ac:dyDescent="0.25">
      <c r="A106" s="10">
        <v>34</v>
      </c>
      <c r="B106" s="101"/>
      <c r="C106" s="37">
        <v>573</v>
      </c>
      <c r="D106" s="10"/>
      <c r="E106" s="110" t="s">
        <v>3461</v>
      </c>
      <c r="F106" s="105"/>
      <c r="G106" s="105"/>
      <c r="H106" s="105"/>
      <c r="I106" s="111">
        <f>ROUND(VLOOKUP("9573000",'[74]FERC 2021'!A:O,15,FALSE)/1000,9)</f>
        <v>0</v>
      </c>
      <c r="J106" s="109"/>
      <c r="K106" s="105"/>
      <c r="L106" s="111">
        <f>+'[74]C-4 Supplement'!J53</f>
        <v>0</v>
      </c>
      <c r="M106" s="105"/>
      <c r="N106" s="105"/>
      <c r="O106" s="112">
        <f t="shared" si="6"/>
        <v>0</v>
      </c>
      <c r="P106" s="105"/>
      <c r="Q106" s="128"/>
      <c r="R106" s="128"/>
      <c r="S106" s="128"/>
    </row>
    <row r="107" spans="1:19" x14ac:dyDescent="0.25">
      <c r="A107" s="10">
        <v>35</v>
      </c>
      <c r="B107" s="101"/>
      <c r="C107" s="37"/>
      <c r="D107" s="10"/>
      <c r="E107" s="114" t="s">
        <v>3462</v>
      </c>
      <c r="F107" s="105"/>
      <c r="G107" s="105"/>
      <c r="H107" s="105"/>
      <c r="I107" s="115">
        <f>SUM(I101:I106)</f>
        <v>9274.7784447590002</v>
      </c>
      <c r="J107" s="109"/>
      <c r="K107" s="105"/>
      <c r="L107" s="115">
        <f>SUM(L101:L106)</f>
        <v>9212.2791992896564</v>
      </c>
      <c r="M107" s="105"/>
      <c r="N107" s="105"/>
      <c r="O107" s="112">
        <f t="shared" si="6"/>
        <v>0.99326099999999995</v>
      </c>
      <c r="P107" s="105"/>
      <c r="Q107" s="128"/>
      <c r="R107" s="128"/>
      <c r="S107" s="128"/>
    </row>
    <row r="108" spans="1:19" x14ac:dyDescent="0.25">
      <c r="A108" s="10">
        <v>36</v>
      </c>
      <c r="B108" s="101"/>
      <c r="C108" s="37"/>
      <c r="D108" s="10"/>
      <c r="E108" s="129" t="s">
        <v>3463</v>
      </c>
      <c r="F108" s="105"/>
      <c r="G108" s="105"/>
      <c r="H108" s="105"/>
      <c r="I108" s="115">
        <f>+I98+I107</f>
        <v>15306.893971258</v>
      </c>
      <c r="J108" s="109"/>
      <c r="K108" s="105"/>
      <c r="L108" s="115">
        <f>+L98+L107</f>
        <v>15203.746566780272</v>
      </c>
      <c r="M108" s="105"/>
      <c r="N108" s="105"/>
      <c r="O108" s="112"/>
      <c r="P108" s="105"/>
      <c r="Q108" s="128"/>
      <c r="R108" s="131"/>
      <c r="S108" s="131"/>
    </row>
    <row r="109" spans="1:19" x14ac:dyDescent="0.25">
      <c r="A109" s="10">
        <v>37</v>
      </c>
      <c r="B109" s="101"/>
      <c r="P109" s="105"/>
      <c r="Q109" s="128"/>
      <c r="R109" s="131"/>
      <c r="S109" s="131"/>
    </row>
    <row r="110" spans="1:19" x14ac:dyDescent="0.25">
      <c r="A110" s="10">
        <v>38</v>
      </c>
      <c r="B110" s="101"/>
      <c r="P110" s="105"/>
      <c r="Q110" s="128"/>
      <c r="R110" s="131"/>
      <c r="S110" s="131"/>
    </row>
    <row r="111" spans="1:19" x14ac:dyDescent="0.25">
      <c r="A111" s="10">
        <v>39</v>
      </c>
      <c r="B111" s="101"/>
      <c r="P111" s="105"/>
      <c r="Q111" s="128"/>
      <c r="R111" s="131"/>
      <c r="S111" s="131"/>
    </row>
    <row r="112" spans="1:19" x14ac:dyDescent="0.25">
      <c r="A112" s="10">
        <v>40</v>
      </c>
      <c r="B112" s="101"/>
      <c r="P112" s="105"/>
      <c r="Q112" s="128"/>
      <c r="R112" s="131"/>
      <c r="S112" s="131"/>
    </row>
    <row r="113" spans="1:19" x14ac:dyDescent="0.25">
      <c r="A113" s="10">
        <v>41</v>
      </c>
      <c r="B113" s="101"/>
      <c r="P113" s="105"/>
      <c r="Q113" s="128"/>
      <c r="R113" s="131"/>
      <c r="S113" s="131"/>
    </row>
    <row r="114" spans="1:19" x14ac:dyDescent="0.25">
      <c r="A114" s="10">
        <v>42</v>
      </c>
      <c r="B114" s="101"/>
      <c r="P114" s="105"/>
      <c r="Q114" s="128"/>
      <c r="R114" s="131"/>
      <c r="S114" s="131"/>
    </row>
    <row r="115" spans="1:19" x14ac:dyDescent="0.25">
      <c r="A115" s="10">
        <v>43</v>
      </c>
      <c r="B115" s="101"/>
      <c r="P115" s="105"/>
      <c r="Q115" s="128"/>
      <c r="R115" s="131"/>
      <c r="S115" s="131"/>
    </row>
    <row r="116" spans="1:19" x14ac:dyDescent="0.25">
      <c r="A116" s="10">
        <v>44</v>
      </c>
      <c r="B116" s="101"/>
      <c r="P116" s="105"/>
      <c r="Q116" s="128"/>
      <c r="R116" s="131"/>
      <c r="S116" s="131"/>
    </row>
    <row r="117" spans="1:19" x14ac:dyDescent="0.25">
      <c r="A117" s="10">
        <v>45</v>
      </c>
      <c r="B117" s="101"/>
      <c r="P117" s="105"/>
      <c r="Q117" s="128"/>
      <c r="R117" s="131"/>
      <c r="S117" s="131"/>
    </row>
    <row r="118" spans="1:19" x14ac:dyDescent="0.25">
      <c r="A118" s="10">
        <v>46</v>
      </c>
      <c r="B118" s="101"/>
      <c r="P118" s="105"/>
      <c r="Q118" s="128"/>
      <c r="R118" s="131"/>
      <c r="S118" s="131"/>
    </row>
    <row r="119" spans="1:19" x14ac:dyDescent="0.25">
      <c r="A119" s="10">
        <v>47</v>
      </c>
      <c r="B119" s="101"/>
      <c r="P119" s="105"/>
      <c r="Q119" s="91"/>
    </row>
    <row r="120" spans="1:19" x14ac:dyDescent="0.25">
      <c r="A120" s="10">
        <v>48</v>
      </c>
      <c r="B120" s="101"/>
      <c r="P120" s="105"/>
      <c r="Q120" s="128"/>
    </row>
    <row r="121" spans="1:19" ht="13.8" thickBot="1" x14ac:dyDescent="0.3">
      <c r="A121" s="89">
        <v>49</v>
      </c>
      <c r="B121" s="89" t="s">
        <v>3431</v>
      </c>
      <c r="C121" s="89"/>
      <c r="D121" s="89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89"/>
      <c r="S121" s="89"/>
    </row>
    <row r="122" spans="1:19" x14ac:dyDescent="0.25">
      <c r="A122" s="10" t="str">
        <f>+$A$61</f>
        <v>Supporting Schedules: C-19, C-20, C-21, C-22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 t="str">
        <f>+$Q$61</f>
        <v>Recap Schedules: C-1</v>
      </c>
      <c r="R122" s="10"/>
      <c r="S122" s="10"/>
    </row>
    <row r="123" spans="1:19" ht="13.8" thickBot="1" x14ac:dyDescent="0.3">
      <c r="A123" s="89" t="str">
        <f>+$A$1</f>
        <v>SCHEDULE C-4</v>
      </c>
      <c r="B123" s="89"/>
      <c r="C123" s="89"/>
      <c r="D123" s="89"/>
      <c r="E123" s="89"/>
      <c r="F123" s="89"/>
      <c r="G123" s="89"/>
      <c r="H123" s="89" t="str">
        <f>+$H$1</f>
        <v>JURISDICTIONAL SEPARATION FACTORS - NET OPERATING INCOME</v>
      </c>
      <c r="I123" s="12"/>
      <c r="J123" s="89"/>
      <c r="K123" s="89"/>
      <c r="L123" s="89"/>
      <c r="M123" s="89"/>
      <c r="N123" s="89"/>
      <c r="O123" s="89"/>
      <c r="P123" s="89"/>
      <c r="Q123" s="89"/>
      <c r="R123" s="89"/>
      <c r="S123" s="89" t="s">
        <v>3464</v>
      </c>
    </row>
    <row r="124" spans="1:19" x14ac:dyDescent="0.25">
      <c r="A124" s="91" t="s">
        <v>3</v>
      </c>
      <c r="B124" s="91"/>
      <c r="C124" s="91"/>
      <c r="D124" s="91"/>
      <c r="E124" s="91"/>
      <c r="F124" s="91" t="s">
        <v>4</v>
      </c>
      <c r="G124" s="10" t="str">
        <f>+$G$2</f>
        <v>Provide jurisdictional factors for net operating income for the test year, and the most recent historical year</v>
      </c>
      <c r="H124" s="10"/>
      <c r="I124" s="10"/>
      <c r="J124" s="92"/>
      <c r="K124" s="92"/>
      <c r="L124" s="91"/>
      <c r="M124" s="92"/>
      <c r="N124" s="92"/>
      <c r="O124" s="92"/>
      <c r="P124" s="92" t="s">
        <v>6</v>
      </c>
      <c r="Q124" s="91"/>
      <c r="R124" s="91"/>
      <c r="S124" s="93"/>
    </row>
    <row r="125" spans="1:19" x14ac:dyDescent="0.25">
      <c r="A125" s="91"/>
      <c r="B125" s="91"/>
      <c r="C125" s="91"/>
      <c r="D125" s="91"/>
      <c r="E125" s="91"/>
      <c r="F125" s="91"/>
      <c r="G125" s="10" t="str">
        <f>+$G$3</f>
        <v>if the test year is projected.</v>
      </c>
      <c r="H125" s="10"/>
      <c r="I125" s="10"/>
      <c r="J125" s="94"/>
      <c r="K125" s="93"/>
      <c r="L125" s="91"/>
      <c r="M125" s="91"/>
      <c r="N125" s="91"/>
      <c r="O125" s="94"/>
      <c r="P125" s="94"/>
      <c r="Q125" s="93"/>
      <c r="R125" s="91"/>
      <c r="S125" s="94"/>
    </row>
    <row r="126" spans="1:19" x14ac:dyDescent="0.25">
      <c r="A126" s="91" t="s">
        <v>10</v>
      </c>
      <c r="B126" s="91"/>
      <c r="C126" s="91"/>
      <c r="D126" s="91"/>
      <c r="E126" s="91"/>
      <c r="F126" s="91"/>
      <c r="G126" s="10"/>
      <c r="H126" s="91"/>
      <c r="I126" s="91"/>
      <c r="J126" s="94"/>
      <c r="K126" s="93"/>
      <c r="L126" s="94"/>
      <c r="M126" s="91"/>
      <c r="N126" s="91"/>
      <c r="O126" s="91"/>
      <c r="P126" s="94"/>
      <c r="Q126" s="93"/>
      <c r="R126" s="91"/>
      <c r="S126" s="94"/>
    </row>
    <row r="127" spans="1:19" x14ac:dyDescent="0.25">
      <c r="A127" s="91"/>
      <c r="B127" s="91"/>
      <c r="C127" s="91"/>
      <c r="D127" s="91"/>
      <c r="E127" s="91"/>
      <c r="F127" s="91"/>
      <c r="G127" s="91"/>
      <c r="H127" s="91"/>
      <c r="I127" s="91"/>
      <c r="J127" s="94"/>
      <c r="K127" s="93"/>
      <c r="L127" s="94"/>
      <c r="M127" s="91"/>
      <c r="N127" s="91"/>
      <c r="O127" s="91"/>
      <c r="P127" s="94"/>
      <c r="Q127" s="93"/>
      <c r="R127" s="91"/>
      <c r="S127" s="94"/>
    </row>
    <row r="128" spans="1:19" ht="13.8" thickBot="1" x14ac:dyDescent="0.3">
      <c r="A128" s="12" t="s">
        <v>84</v>
      </c>
      <c r="B128" s="12"/>
      <c r="C128" s="89"/>
      <c r="D128" s="89"/>
      <c r="E128" s="89"/>
      <c r="F128" s="89"/>
      <c r="G128" s="89"/>
      <c r="H128" s="89"/>
      <c r="I128" s="89"/>
      <c r="J128" s="95"/>
      <c r="K128" s="89"/>
      <c r="L128" s="89"/>
      <c r="M128" s="89"/>
      <c r="N128" s="89"/>
      <c r="O128" s="89"/>
      <c r="P128" s="89"/>
      <c r="Q128" s="12" t="str">
        <f>+$Q$6</f>
        <v>Witness: J. S. Chronister</v>
      </c>
      <c r="R128" s="89"/>
      <c r="S128" s="89"/>
    </row>
    <row r="129" spans="1:19" x14ac:dyDescent="0.25">
      <c r="A129" s="10"/>
      <c r="B129" s="35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</row>
    <row r="130" spans="1:19" x14ac:dyDescent="0.25">
      <c r="A130" s="10"/>
      <c r="B130" s="35"/>
      <c r="C130" s="96"/>
      <c r="D130" s="96"/>
      <c r="E130" s="96"/>
      <c r="F130" s="96"/>
      <c r="G130" s="96"/>
      <c r="H130" s="96"/>
      <c r="I130" s="96" t="s">
        <v>18</v>
      </c>
      <c r="J130" s="96"/>
      <c r="K130" s="96"/>
      <c r="L130" s="96" t="s">
        <v>19</v>
      </c>
      <c r="M130" s="96"/>
      <c r="N130" s="96"/>
      <c r="O130" s="96" t="s">
        <v>20</v>
      </c>
      <c r="P130" s="96"/>
      <c r="Q130" s="96"/>
      <c r="R130" s="96"/>
      <c r="S130" s="96"/>
    </row>
    <row r="131" spans="1:19" x14ac:dyDescent="0.25">
      <c r="A131" s="10"/>
      <c r="B131" s="35"/>
      <c r="C131" s="96"/>
      <c r="D131" s="96"/>
      <c r="E131" s="96"/>
      <c r="F131" s="96"/>
      <c r="G131" s="96"/>
      <c r="H131" s="96"/>
      <c r="I131" s="96"/>
      <c r="J131" s="96"/>
      <c r="K131" s="35"/>
      <c r="L131" s="35"/>
      <c r="M131" s="96"/>
      <c r="N131" s="35"/>
      <c r="O131" s="96" t="s">
        <v>3379</v>
      </c>
      <c r="P131" s="96"/>
      <c r="Q131" s="35"/>
      <c r="R131" s="35"/>
      <c r="S131" s="35"/>
    </row>
    <row r="132" spans="1:19" x14ac:dyDescent="0.25">
      <c r="A132" s="10" t="s">
        <v>33</v>
      </c>
      <c r="B132" s="35"/>
      <c r="C132" s="35" t="s">
        <v>34</v>
      </c>
      <c r="D132" s="35"/>
      <c r="E132" s="35"/>
      <c r="F132" s="35" t="s">
        <v>34</v>
      </c>
      <c r="G132" s="96"/>
      <c r="H132" s="96"/>
      <c r="I132" s="96" t="s">
        <v>3380</v>
      </c>
      <c r="J132" s="35"/>
      <c r="K132" s="35"/>
      <c r="L132" s="35" t="s">
        <v>3381</v>
      </c>
      <c r="M132" s="35"/>
      <c r="N132" s="35"/>
      <c r="O132" s="35" t="s">
        <v>3382</v>
      </c>
      <c r="P132" s="35"/>
      <c r="Q132" s="96"/>
      <c r="R132" s="96"/>
      <c r="S132" s="35"/>
    </row>
    <row r="133" spans="1:19" ht="13.8" thickBot="1" x14ac:dyDescent="0.3">
      <c r="A133" s="12" t="s">
        <v>39</v>
      </c>
      <c r="B133" s="98"/>
      <c r="C133" s="98" t="s">
        <v>39</v>
      </c>
      <c r="D133" s="98"/>
      <c r="E133" s="98"/>
      <c r="F133" s="99" t="s">
        <v>3383</v>
      </c>
      <c r="G133" s="98"/>
      <c r="H133" s="98"/>
      <c r="I133" s="98" t="s">
        <v>3384</v>
      </c>
      <c r="J133" s="98"/>
      <c r="K133" s="99"/>
      <c r="L133" s="99" t="s">
        <v>3379</v>
      </c>
      <c r="M133" s="99"/>
      <c r="N133" s="99"/>
      <c r="O133" s="99" t="s">
        <v>3385</v>
      </c>
      <c r="P133" s="99"/>
      <c r="Q133" s="99"/>
      <c r="R133" s="99"/>
      <c r="S133" s="99"/>
    </row>
    <row r="134" spans="1:19" x14ac:dyDescent="0.25">
      <c r="A134" s="10">
        <v>1</v>
      </c>
      <c r="B134" s="101"/>
      <c r="P134" s="101"/>
      <c r="Q134" s="105"/>
      <c r="R134" s="101"/>
      <c r="S134" s="101"/>
    </row>
    <row r="135" spans="1:19" x14ac:dyDescent="0.25">
      <c r="A135" s="10">
        <v>2</v>
      </c>
      <c r="B135" s="101"/>
      <c r="C135" s="37"/>
      <c r="D135" s="10"/>
      <c r="E135" s="10" t="s">
        <v>3465</v>
      </c>
      <c r="F135" s="105"/>
      <c r="G135" s="105"/>
      <c r="H135" s="105"/>
      <c r="I135" s="105"/>
      <c r="J135" s="109"/>
      <c r="K135" s="105"/>
      <c r="L135" s="105"/>
      <c r="M135" s="105"/>
      <c r="N135" s="105"/>
      <c r="O135" s="112"/>
      <c r="P135" s="57"/>
      <c r="Q135" s="105"/>
      <c r="R135" s="57"/>
      <c r="S135" s="57"/>
    </row>
    <row r="136" spans="1:19" x14ac:dyDescent="0.25">
      <c r="A136" s="10">
        <v>3</v>
      </c>
      <c r="B136" s="101"/>
      <c r="C136" s="37"/>
      <c r="D136" s="10"/>
      <c r="E136" s="10" t="s">
        <v>3390</v>
      </c>
      <c r="F136" s="105"/>
      <c r="G136" s="105"/>
      <c r="H136" s="105"/>
      <c r="I136" s="105"/>
      <c r="J136" s="109"/>
      <c r="K136" s="105"/>
      <c r="L136" s="105"/>
      <c r="M136" s="105"/>
      <c r="N136" s="105"/>
      <c r="O136" s="112"/>
      <c r="P136" s="105"/>
      <c r="Q136" s="105"/>
      <c r="R136" s="105"/>
      <c r="S136" s="105"/>
    </row>
    <row r="137" spans="1:19" x14ac:dyDescent="0.25">
      <c r="A137" s="10">
        <v>4</v>
      </c>
      <c r="B137" s="101"/>
      <c r="C137" s="37" t="s">
        <v>3466</v>
      </c>
      <c r="D137" s="10"/>
      <c r="E137" s="110" t="s">
        <v>3467</v>
      </c>
      <c r="F137" s="105"/>
      <c r="G137" s="105"/>
      <c r="H137" s="105"/>
      <c r="I137" s="111">
        <f>ROUND(VLOOKUP("9580000",'[74]FERC 2021'!A:O,15,FALSE)/1000,9)</f>
        <v>812.40134545199999</v>
      </c>
      <c r="J137" s="109"/>
      <c r="K137" s="105"/>
      <c r="L137" s="111">
        <f>+'[74]C-4 Supplement'!J54</f>
        <v>806.92687817373087</v>
      </c>
      <c r="M137" s="105"/>
      <c r="N137" s="105"/>
      <c r="O137" s="112">
        <f t="shared" ref="O137:O147" si="7">IF(I137=0,0,ROUND(L137/I137,6))</f>
        <v>0.99326099999999995</v>
      </c>
      <c r="P137" s="105"/>
      <c r="Q137" s="105"/>
      <c r="R137" s="105"/>
      <c r="S137" s="105"/>
    </row>
    <row r="138" spans="1:19" x14ac:dyDescent="0.25">
      <c r="A138" s="10">
        <v>5</v>
      </c>
      <c r="B138" s="101"/>
      <c r="C138" s="37">
        <v>581</v>
      </c>
      <c r="D138" s="10"/>
      <c r="E138" s="110" t="s">
        <v>3428</v>
      </c>
      <c r="F138" s="10"/>
      <c r="G138" s="10"/>
      <c r="H138" s="10"/>
      <c r="I138" s="111">
        <f>ROUND(VLOOKUP("9581000",'[74]FERC 2021'!A:O,15,FALSE)/1000,9)</f>
        <v>832.16747975800001</v>
      </c>
      <c r="J138" s="10"/>
      <c r="K138" s="10"/>
      <c r="L138" s="111">
        <f>+'[74]C-4 Supplement'!J55</f>
        <v>832.16747975800001</v>
      </c>
      <c r="M138" s="10"/>
      <c r="N138" s="10"/>
      <c r="O138" s="112">
        <f t="shared" si="7"/>
        <v>1</v>
      </c>
      <c r="P138" s="105"/>
      <c r="Q138" s="105"/>
      <c r="R138" s="105"/>
      <c r="S138" s="105"/>
    </row>
    <row r="139" spans="1:19" x14ac:dyDescent="0.25">
      <c r="A139" s="10">
        <v>6</v>
      </c>
      <c r="B139" s="101"/>
      <c r="C139" s="37" t="s">
        <v>3468</v>
      </c>
      <c r="D139" s="10"/>
      <c r="E139" s="110" t="s">
        <v>3469</v>
      </c>
      <c r="F139" s="105"/>
      <c r="G139" s="105"/>
      <c r="H139" s="105"/>
      <c r="I139" s="111">
        <f>ROUND(VLOOKUP("9582000",'[74]FERC 2021'!A:O,15,FALSE)/1000,9)</f>
        <v>1275.3671528360001</v>
      </c>
      <c r="J139" s="109"/>
      <c r="K139" s="105"/>
      <c r="L139" s="111">
        <f>+'[74]C-4 Supplement'!J56</f>
        <v>1275.3671528360001</v>
      </c>
      <c r="M139" s="105"/>
      <c r="N139" s="105"/>
      <c r="O139" s="112">
        <f t="shared" si="7"/>
        <v>1</v>
      </c>
      <c r="P139" s="105"/>
      <c r="Q139" s="105"/>
      <c r="R139" s="105"/>
      <c r="S139" s="105"/>
    </row>
    <row r="140" spans="1:19" x14ac:dyDescent="0.25">
      <c r="A140" s="10">
        <v>7</v>
      </c>
      <c r="B140" s="101"/>
      <c r="C140" s="37" t="s">
        <v>3470</v>
      </c>
      <c r="D140" s="10"/>
      <c r="E140" s="110" t="s">
        <v>3454</v>
      </c>
      <c r="F140" s="105"/>
      <c r="G140" s="105"/>
      <c r="H140" s="105"/>
      <c r="I140" s="111">
        <f>ROUND(VLOOKUP("9583000",'[74]FERC 2021'!A:O,15,FALSE)/1000,9)</f>
        <v>5653.3312987709996</v>
      </c>
      <c r="J140" s="109"/>
      <c r="K140" s="105"/>
      <c r="L140" s="111">
        <f>+'[74]C-4 Supplement'!J57</f>
        <v>5653.3312987709996</v>
      </c>
      <c r="M140" s="105"/>
      <c r="N140" s="105"/>
      <c r="O140" s="112">
        <f t="shared" si="7"/>
        <v>1</v>
      </c>
      <c r="P140" s="105"/>
      <c r="Q140" s="105"/>
      <c r="R140" s="105"/>
      <c r="S140" s="105"/>
    </row>
    <row r="141" spans="1:19" x14ac:dyDescent="0.25">
      <c r="A141" s="10">
        <v>8</v>
      </c>
      <c r="B141" s="101"/>
      <c r="C141" s="37" t="s">
        <v>3471</v>
      </c>
      <c r="D141" s="10"/>
      <c r="E141" s="110" t="s">
        <v>3455</v>
      </c>
      <c r="F141" s="105"/>
      <c r="G141" s="105"/>
      <c r="H141" s="105"/>
      <c r="I141" s="111">
        <f>ROUND(VLOOKUP("9584000",'[74]FERC 2021'!A:O,15,FALSE)/1000,9)</f>
        <v>459.36002115399998</v>
      </c>
      <c r="J141" s="109"/>
      <c r="K141" s="105"/>
      <c r="L141" s="111">
        <f>+'[74]C-4 Supplement'!J58</f>
        <v>459.36002115399998</v>
      </c>
      <c r="M141" s="105"/>
      <c r="N141" s="105"/>
      <c r="O141" s="112">
        <f t="shared" si="7"/>
        <v>1</v>
      </c>
      <c r="P141" s="105"/>
      <c r="Q141" s="105"/>
      <c r="R141" s="105"/>
      <c r="S141" s="105"/>
    </row>
    <row r="142" spans="1:19" x14ac:dyDescent="0.25">
      <c r="A142" s="10">
        <v>9</v>
      </c>
      <c r="B142" s="101"/>
      <c r="C142" s="37" t="s">
        <v>3472</v>
      </c>
      <c r="D142" s="10"/>
      <c r="E142" s="110" t="s">
        <v>3473</v>
      </c>
      <c r="F142" s="105"/>
      <c r="G142" s="105"/>
      <c r="H142" s="105"/>
      <c r="I142" s="111">
        <f>ROUND(VLOOKUP("9585000",'[74]FERC 2021'!A:O,15,FALSE)/1000,9)</f>
        <v>572.94622070000003</v>
      </c>
      <c r="J142" s="109"/>
      <c r="K142" s="105"/>
      <c r="L142" s="111">
        <f>+'[74]C-4 Supplement'!J59</f>
        <v>572.94622070000003</v>
      </c>
      <c r="M142" s="105"/>
      <c r="N142" s="105"/>
      <c r="O142" s="112">
        <f t="shared" si="7"/>
        <v>1</v>
      </c>
      <c r="P142" s="105"/>
      <c r="Q142" s="105"/>
      <c r="R142" s="105"/>
      <c r="S142" s="105"/>
    </row>
    <row r="143" spans="1:19" x14ac:dyDescent="0.25">
      <c r="A143" s="10">
        <v>10</v>
      </c>
      <c r="B143" s="101"/>
      <c r="C143" s="37" t="s">
        <v>3474</v>
      </c>
      <c r="D143" s="10"/>
      <c r="E143" s="110" t="s">
        <v>3475</v>
      </c>
      <c r="F143" s="105"/>
      <c r="G143" s="105"/>
      <c r="H143" s="105"/>
      <c r="I143" s="111">
        <f>ROUND(VLOOKUP("9586000",'[74]FERC 2021'!A:O,15,FALSE)/1000,9)</f>
        <v>4169.13101052</v>
      </c>
      <c r="J143" s="109"/>
      <c r="K143" s="105"/>
      <c r="L143" s="111">
        <f>+'[74]C-4 Supplement'!J60</f>
        <v>4141.0368038527149</v>
      </c>
      <c r="M143" s="105"/>
      <c r="N143" s="105"/>
      <c r="O143" s="112">
        <f t="shared" si="7"/>
        <v>0.99326099999999995</v>
      </c>
      <c r="P143" s="105"/>
      <c r="Q143" s="105"/>
      <c r="R143" s="105"/>
      <c r="S143" s="105"/>
    </row>
    <row r="144" spans="1:19" x14ac:dyDescent="0.25">
      <c r="A144" s="10">
        <v>11</v>
      </c>
      <c r="B144" s="101"/>
      <c r="C144" s="37" t="s">
        <v>3476</v>
      </c>
      <c r="D144" s="10"/>
      <c r="E144" s="110" t="s">
        <v>3477</v>
      </c>
      <c r="F144" s="105"/>
      <c r="G144" s="105"/>
      <c r="H144" s="105"/>
      <c r="I144" s="111">
        <f>ROUND(VLOOKUP("9587000",'[74]FERC 2021'!A:O,15,FALSE)/1000,9)</f>
        <v>106.142462704</v>
      </c>
      <c r="J144" s="109"/>
      <c r="K144" s="105"/>
      <c r="L144" s="111">
        <f>+'[74]C-4 Supplement'!J61</f>
        <v>106.142462704</v>
      </c>
      <c r="M144" s="105"/>
      <c r="N144" s="105"/>
      <c r="O144" s="112">
        <f t="shared" si="7"/>
        <v>1</v>
      </c>
      <c r="P144" s="105"/>
      <c r="Q144" s="105"/>
      <c r="R144" s="105"/>
      <c r="S144" s="105"/>
    </row>
    <row r="145" spans="1:19" x14ac:dyDescent="0.25">
      <c r="A145" s="10">
        <v>12</v>
      </c>
      <c r="B145" s="101"/>
      <c r="C145" s="37" t="s">
        <v>3478</v>
      </c>
      <c r="D145" s="10"/>
      <c r="E145" s="110" t="s">
        <v>3479</v>
      </c>
      <c r="F145" s="105"/>
      <c r="G145" s="105"/>
      <c r="H145" s="105"/>
      <c r="I145" s="111">
        <f>ROUND(VLOOKUP("9588000",'[74]FERC 2021'!A:O,15,FALSE)/1000,9)</f>
        <v>10345.019276796</v>
      </c>
      <c r="J145" s="109"/>
      <c r="K145" s="105"/>
      <c r="L145" s="111">
        <f>+'[74]C-4 Supplement'!J62</f>
        <v>10345.019276796</v>
      </c>
      <c r="M145" s="105"/>
      <c r="N145" s="105"/>
      <c r="O145" s="112">
        <f t="shared" si="7"/>
        <v>1</v>
      </c>
      <c r="P145" s="105"/>
      <c r="Q145" s="105"/>
      <c r="R145" s="105"/>
      <c r="S145" s="105"/>
    </row>
    <row r="146" spans="1:19" x14ac:dyDescent="0.25">
      <c r="A146" s="10">
        <v>13</v>
      </c>
      <c r="B146" s="101"/>
      <c r="C146" s="37" t="s">
        <v>3480</v>
      </c>
      <c r="D146" s="10"/>
      <c r="E146" s="110" t="s">
        <v>869</v>
      </c>
      <c r="F146" s="105"/>
      <c r="G146" s="105"/>
      <c r="H146" s="105"/>
      <c r="I146" s="111">
        <f>ROUND(VLOOKUP("9589000",'[74]FERC 2021'!A:O,15,FALSE)/1000,9)</f>
        <v>342.39601145799998</v>
      </c>
      <c r="J146" s="109"/>
      <c r="K146" s="105"/>
      <c r="L146" s="111">
        <f>+'[74]C-4 Supplement'!J63</f>
        <v>342.39601145799998</v>
      </c>
      <c r="M146" s="105"/>
      <c r="N146" s="105"/>
      <c r="O146" s="112">
        <f t="shared" si="7"/>
        <v>1</v>
      </c>
      <c r="P146" s="105"/>
      <c r="Q146" s="105"/>
      <c r="R146" s="105"/>
      <c r="S146" s="105"/>
    </row>
    <row r="147" spans="1:19" x14ac:dyDescent="0.25">
      <c r="A147" s="10">
        <v>14</v>
      </c>
      <c r="B147" s="101"/>
      <c r="C147" s="37"/>
      <c r="D147" s="10"/>
      <c r="E147" s="114" t="s">
        <v>3481</v>
      </c>
      <c r="F147" s="105"/>
      <c r="G147" s="105"/>
      <c r="H147" s="105"/>
      <c r="I147" s="115">
        <f>SUM(I137:I146)</f>
        <v>24568.262280149</v>
      </c>
      <c r="J147" s="109"/>
      <c r="K147" s="105"/>
      <c r="L147" s="115">
        <f>SUM(L137:L146)</f>
        <v>24534.693606203444</v>
      </c>
      <c r="M147" s="105"/>
      <c r="N147" s="105"/>
      <c r="O147" s="112">
        <f t="shared" si="7"/>
        <v>0.99863400000000002</v>
      </c>
      <c r="P147" s="105"/>
      <c r="Q147" s="105"/>
      <c r="R147" s="105"/>
      <c r="S147" s="105"/>
    </row>
    <row r="148" spans="1:19" x14ac:dyDescent="0.25">
      <c r="A148" s="10">
        <v>15</v>
      </c>
      <c r="B148" s="101"/>
      <c r="C148" s="101"/>
      <c r="D148" s="101"/>
      <c r="E148" s="57" t="s">
        <v>3401</v>
      </c>
      <c r="F148" s="57"/>
      <c r="G148" s="57"/>
      <c r="H148" s="57"/>
      <c r="I148" s="57"/>
      <c r="J148" s="101"/>
      <c r="K148" s="101"/>
      <c r="L148" s="101"/>
      <c r="M148" s="101"/>
      <c r="N148" s="101"/>
      <c r="O148" s="132"/>
      <c r="P148" s="105"/>
      <c r="Q148" s="105"/>
      <c r="R148" s="105"/>
      <c r="S148" s="105"/>
    </row>
    <row r="149" spans="1:19" x14ac:dyDescent="0.25">
      <c r="A149" s="10">
        <v>16</v>
      </c>
      <c r="B149" s="101"/>
      <c r="C149" s="37" t="s">
        <v>3482</v>
      </c>
      <c r="D149" s="10"/>
      <c r="E149" s="110" t="s">
        <v>3483</v>
      </c>
      <c r="F149" s="57"/>
      <c r="G149" s="57"/>
      <c r="H149" s="57"/>
      <c r="I149" s="111">
        <f>ROUND(VLOOKUP("9590000",'[74]FERC 2021'!A:O,15,FALSE)/1000,9)</f>
        <v>0</v>
      </c>
      <c r="J149" s="101"/>
      <c r="K149" s="101"/>
      <c r="L149" s="111">
        <f>+'[74]C-4 Supplement'!J64</f>
        <v>0</v>
      </c>
      <c r="M149" s="57"/>
      <c r="N149" s="57"/>
      <c r="O149" s="112">
        <f t="shared" ref="O149:O159" si="8">IF(I149=0,0,ROUND(L149/I149,6))</f>
        <v>0</v>
      </c>
      <c r="P149" s="105"/>
      <c r="Q149" s="105"/>
      <c r="R149" s="105"/>
      <c r="S149" s="105"/>
    </row>
    <row r="150" spans="1:19" x14ac:dyDescent="0.25">
      <c r="A150" s="10">
        <v>17</v>
      </c>
      <c r="B150" s="101"/>
      <c r="C150" s="37" t="s">
        <v>3484</v>
      </c>
      <c r="D150" s="10"/>
      <c r="E150" s="110" t="s">
        <v>3405</v>
      </c>
      <c r="F150" s="105"/>
      <c r="G150" s="105"/>
      <c r="H150" s="105"/>
      <c r="I150" s="111">
        <f>ROUND(VLOOKUP("9591000",'[74]FERC 2021'!A:O,15,FALSE)/1000,9)</f>
        <v>462.45894699199999</v>
      </c>
      <c r="J150" s="109"/>
      <c r="K150" s="109"/>
      <c r="L150" s="111">
        <f>+'[74]C-4 Supplement'!J65</f>
        <v>462.45894699199999</v>
      </c>
      <c r="M150" s="105"/>
      <c r="N150" s="105"/>
      <c r="O150" s="112">
        <f t="shared" si="8"/>
        <v>1</v>
      </c>
      <c r="P150" s="105"/>
      <c r="Q150" s="105"/>
      <c r="R150" s="105"/>
      <c r="S150" s="105"/>
    </row>
    <row r="151" spans="1:19" x14ac:dyDescent="0.25">
      <c r="A151" s="10">
        <v>18</v>
      </c>
      <c r="B151" s="101"/>
      <c r="C151" s="37" t="s">
        <v>3485</v>
      </c>
      <c r="D151" s="10"/>
      <c r="E151" s="110" t="s">
        <v>3486</v>
      </c>
      <c r="F151" s="105"/>
      <c r="G151" s="105"/>
      <c r="H151" s="105"/>
      <c r="I151" s="111">
        <f>ROUND(VLOOKUP("9592000",'[74]FERC 2021'!A:O,15,FALSE)/1000,9)</f>
        <v>2174.5142431270001</v>
      </c>
      <c r="J151" s="105"/>
      <c r="K151" s="105"/>
      <c r="L151" s="111">
        <f>+'[74]C-4 Supplement'!J66</f>
        <v>2174.5142431270001</v>
      </c>
      <c r="M151" s="105"/>
      <c r="N151" s="105"/>
      <c r="O151" s="112">
        <f t="shared" si="8"/>
        <v>1</v>
      </c>
      <c r="P151" s="105"/>
      <c r="Q151" s="105"/>
      <c r="R151" s="105"/>
      <c r="S151" s="105"/>
    </row>
    <row r="152" spans="1:19" x14ac:dyDescent="0.25">
      <c r="A152" s="10">
        <v>19</v>
      </c>
      <c r="B152" s="101"/>
      <c r="C152" s="37" t="s">
        <v>3487</v>
      </c>
      <c r="D152" s="10"/>
      <c r="E152" s="110" t="s">
        <v>3488</v>
      </c>
      <c r="F152" s="105"/>
      <c r="G152" s="105"/>
      <c r="H152" s="105"/>
      <c r="I152" s="111">
        <f>ROUND(VLOOKUP("9593000",'[74]FERC 2021'!A:O,15,FALSE)/1000,9)</f>
        <v>32092.250776245</v>
      </c>
      <c r="J152" s="105"/>
      <c r="K152" s="105"/>
      <c r="L152" s="111">
        <f>+'[74]C-4 Supplement'!J67</f>
        <v>32092.250776245</v>
      </c>
      <c r="M152" s="105"/>
      <c r="N152" s="105"/>
      <c r="O152" s="112">
        <f t="shared" si="8"/>
        <v>1</v>
      </c>
      <c r="P152" s="105"/>
      <c r="Q152" s="105"/>
      <c r="R152" s="105"/>
      <c r="S152" s="105"/>
    </row>
    <row r="153" spans="1:19" x14ac:dyDescent="0.25">
      <c r="A153" s="10">
        <v>20</v>
      </c>
      <c r="B153" s="101"/>
      <c r="C153" s="37" t="s">
        <v>3489</v>
      </c>
      <c r="D153" s="10"/>
      <c r="E153" s="110" t="s">
        <v>3490</v>
      </c>
      <c r="F153" s="105"/>
      <c r="G153" s="105"/>
      <c r="H153" s="105"/>
      <c r="I153" s="111">
        <f>ROUND(VLOOKUP("9594000",'[74]FERC 2021'!A:O,15,FALSE)/1000,9)</f>
        <v>2616.024144088</v>
      </c>
      <c r="J153" s="105"/>
      <c r="K153" s="105"/>
      <c r="L153" s="111">
        <f>+'[74]C-4 Supplement'!J68</f>
        <v>2616.024144088</v>
      </c>
      <c r="M153" s="105"/>
      <c r="N153" s="105"/>
      <c r="O153" s="112">
        <f t="shared" si="8"/>
        <v>1</v>
      </c>
      <c r="P153" s="105"/>
      <c r="Q153" s="105"/>
      <c r="R153" s="105"/>
      <c r="S153" s="105"/>
    </row>
    <row r="154" spans="1:19" x14ac:dyDescent="0.25">
      <c r="A154" s="10">
        <v>21</v>
      </c>
      <c r="B154" s="101"/>
      <c r="C154" s="37" t="s">
        <v>3491</v>
      </c>
      <c r="D154" s="10"/>
      <c r="E154" s="110" t="s">
        <v>3492</v>
      </c>
      <c r="F154" s="105"/>
      <c r="G154" s="105"/>
      <c r="H154" s="105"/>
      <c r="I154" s="111">
        <f>ROUND(VLOOKUP("9595000",'[74]FERC 2021'!A:O,15,FALSE)/1000,9)</f>
        <v>369.27632066500001</v>
      </c>
      <c r="J154" s="105"/>
      <c r="K154" s="105"/>
      <c r="L154" s="111">
        <f>+'[74]C-4 Supplement'!J69</f>
        <v>369.27632066500001</v>
      </c>
      <c r="M154" s="105"/>
      <c r="N154" s="105"/>
      <c r="O154" s="112">
        <f t="shared" si="8"/>
        <v>1</v>
      </c>
      <c r="P154" s="105"/>
      <c r="Q154" s="105"/>
      <c r="R154" s="105"/>
      <c r="S154" s="105"/>
    </row>
    <row r="155" spans="1:19" x14ac:dyDescent="0.25">
      <c r="A155" s="10">
        <v>22</v>
      </c>
      <c r="B155" s="101"/>
      <c r="C155" s="37" t="s">
        <v>3493</v>
      </c>
      <c r="D155" s="10"/>
      <c r="E155" s="110" t="s">
        <v>3494</v>
      </c>
      <c r="F155" s="105"/>
      <c r="G155" s="105"/>
      <c r="H155" s="105"/>
      <c r="I155" s="111">
        <f>ROUND(VLOOKUP("9596000",'[74]FERC 2021'!A:O,15,FALSE)/1000,9)</f>
        <v>1413.268571045</v>
      </c>
      <c r="J155" s="105"/>
      <c r="K155" s="105"/>
      <c r="L155" s="111">
        <f>+'[74]C-4 Supplement'!J70</f>
        <v>1413.268571045</v>
      </c>
      <c r="M155" s="105"/>
      <c r="N155" s="105"/>
      <c r="O155" s="112">
        <f t="shared" si="8"/>
        <v>1</v>
      </c>
      <c r="P155" s="105"/>
      <c r="Q155" s="105"/>
      <c r="R155" s="105"/>
      <c r="S155" s="105"/>
    </row>
    <row r="156" spans="1:19" x14ac:dyDescent="0.25">
      <c r="A156" s="10">
        <v>23</v>
      </c>
      <c r="B156" s="101"/>
      <c r="C156" s="37" t="s">
        <v>3495</v>
      </c>
      <c r="D156" s="10"/>
      <c r="E156" s="110" t="s">
        <v>3496</v>
      </c>
      <c r="F156" s="105"/>
      <c r="G156" s="105"/>
      <c r="H156" s="105"/>
      <c r="I156" s="111">
        <f>ROUND(VLOOKUP("9597000",'[74]FERC 2021'!A:O,15,FALSE)/1000,9)</f>
        <v>390.60143465700003</v>
      </c>
      <c r="J156" s="105"/>
      <c r="K156" s="105"/>
      <c r="L156" s="111">
        <f>+'[74]C-4 Supplement'!J71</f>
        <v>387.9693184193232</v>
      </c>
      <c r="M156" s="105"/>
      <c r="N156" s="105"/>
      <c r="O156" s="112">
        <f t="shared" si="8"/>
        <v>0.99326099999999995</v>
      </c>
      <c r="P156" s="105"/>
      <c r="Q156" s="105"/>
      <c r="R156" s="105"/>
      <c r="S156" s="105"/>
    </row>
    <row r="157" spans="1:19" x14ac:dyDescent="0.25">
      <c r="A157" s="10">
        <v>24</v>
      </c>
      <c r="B157" s="101"/>
      <c r="C157" s="37" t="s">
        <v>3497</v>
      </c>
      <c r="D157" s="10"/>
      <c r="E157" s="110" t="s">
        <v>3498</v>
      </c>
      <c r="F157" s="105"/>
      <c r="G157" s="105"/>
      <c r="H157" s="105"/>
      <c r="I157" s="111">
        <f>ROUND(VLOOKUP("9598000",'[74]FERC 2021'!A:O,15,FALSE)/1000,9)</f>
        <v>17.799580059</v>
      </c>
      <c r="J157" s="105"/>
      <c r="K157" s="105"/>
      <c r="L157" s="111">
        <f>+'[74]C-4 Supplement'!J72</f>
        <v>17.679635379999361</v>
      </c>
      <c r="M157" s="105"/>
      <c r="N157" s="105"/>
      <c r="O157" s="112">
        <f t="shared" si="8"/>
        <v>0.99326099999999995</v>
      </c>
      <c r="P157" s="105"/>
      <c r="Q157" s="105"/>
      <c r="R157" s="105"/>
      <c r="S157" s="105"/>
    </row>
    <row r="158" spans="1:19" x14ac:dyDescent="0.25">
      <c r="A158" s="10">
        <v>25</v>
      </c>
      <c r="B158" s="101"/>
      <c r="C158" s="37"/>
      <c r="D158" s="10"/>
      <c r="E158" s="114" t="s">
        <v>3499</v>
      </c>
      <c r="F158" s="105"/>
      <c r="G158" s="105"/>
      <c r="H158" s="105"/>
      <c r="I158" s="115">
        <f>SUM(I149:I157)</f>
        <v>39536.194016877998</v>
      </c>
      <c r="J158" s="105"/>
      <c r="K158" s="105"/>
      <c r="L158" s="115">
        <f>SUM(L149:L157)</f>
        <v>39533.441955961323</v>
      </c>
      <c r="M158" s="105"/>
      <c r="N158" s="105"/>
      <c r="O158" s="112">
        <f t="shared" si="8"/>
        <v>0.99992999999999999</v>
      </c>
      <c r="P158" s="105"/>
      <c r="Q158" s="105"/>
      <c r="R158" s="105"/>
      <c r="S158" s="105"/>
    </row>
    <row r="159" spans="1:19" x14ac:dyDescent="0.25">
      <c r="A159" s="10">
        <v>26</v>
      </c>
      <c r="B159" s="101"/>
      <c r="C159" s="37"/>
      <c r="D159" s="10"/>
      <c r="E159" s="129" t="s">
        <v>3500</v>
      </c>
      <c r="F159" s="105"/>
      <c r="G159" s="105"/>
      <c r="H159" s="105"/>
      <c r="I159" s="115">
        <f>+I147+I158</f>
        <v>64104.456297026998</v>
      </c>
      <c r="J159" s="105"/>
      <c r="K159" s="105"/>
      <c r="L159" s="115">
        <f>+L147+L158</f>
        <v>64068.135562164767</v>
      </c>
      <c r="M159" s="105"/>
      <c r="N159" s="105"/>
      <c r="O159" s="112">
        <f t="shared" si="8"/>
        <v>0.99943300000000002</v>
      </c>
      <c r="P159" s="105"/>
      <c r="Q159" s="105"/>
      <c r="R159" s="105"/>
      <c r="S159" s="105"/>
    </row>
    <row r="160" spans="1:19" x14ac:dyDescent="0.25">
      <c r="A160" s="10">
        <v>27</v>
      </c>
      <c r="B160" s="101"/>
      <c r="C160" s="37"/>
      <c r="D160" s="10"/>
      <c r="E160" s="10" t="s">
        <v>11</v>
      </c>
      <c r="F160" s="105"/>
      <c r="G160" s="105"/>
      <c r="H160" s="105"/>
      <c r="I160" s="105"/>
      <c r="J160" s="105"/>
      <c r="K160" s="105"/>
      <c r="L160" s="105"/>
      <c r="M160" s="105"/>
      <c r="N160" s="105"/>
      <c r="O160" s="112"/>
      <c r="P160" s="105"/>
      <c r="Q160" s="105"/>
      <c r="R160" s="105"/>
      <c r="S160" s="105"/>
    </row>
    <row r="161" spans="1:19" x14ac:dyDescent="0.25">
      <c r="A161" s="10">
        <v>28</v>
      </c>
      <c r="B161" s="101"/>
      <c r="C161" s="37"/>
      <c r="D161" s="10"/>
      <c r="E161" s="10" t="s">
        <v>3501</v>
      </c>
      <c r="F161" s="105"/>
      <c r="G161" s="105"/>
      <c r="H161" s="105"/>
      <c r="I161" s="105"/>
      <c r="J161" s="105"/>
      <c r="K161" s="105"/>
      <c r="L161" s="105"/>
      <c r="M161" s="105"/>
      <c r="N161" s="105"/>
      <c r="O161" s="112"/>
      <c r="P161" s="105"/>
      <c r="Q161" s="105"/>
      <c r="R161" s="105"/>
      <c r="S161" s="105"/>
    </row>
    <row r="162" spans="1:19" x14ac:dyDescent="0.25">
      <c r="A162" s="10">
        <v>29</v>
      </c>
      <c r="B162" s="101"/>
      <c r="C162" s="37">
        <v>901</v>
      </c>
      <c r="D162" s="10"/>
      <c r="E162" s="110" t="s">
        <v>3502</v>
      </c>
      <c r="F162" s="105"/>
      <c r="G162" s="105"/>
      <c r="H162" s="105"/>
      <c r="I162" s="111">
        <f>ROUND(VLOOKUP("9901000",'[74]FERC 2021'!A:O,15,FALSE)/1000,9)</f>
        <v>5071.9674362449996</v>
      </c>
      <c r="J162" s="105"/>
      <c r="K162" s="105"/>
      <c r="L162" s="111">
        <f>+'[74]C-4 Supplement'!J73</f>
        <v>5037.7893542888196</v>
      </c>
      <c r="M162" s="105"/>
      <c r="N162" s="105"/>
      <c r="O162" s="112">
        <f t="shared" ref="O162:O167" si="9">IF(I162=0,0,ROUND(L162/I162,6))</f>
        <v>0.99326099999999995</v>
      </c>
      <c r="P162" s="105"/>
      <c r="Q162" s="105"/>
      <c r="R162" s="105"/>
      <c r="S162" s="105"/>
    </row>
    <row r="163" spans="1:19" x14ac:dyDescent="0.25">
      <c r="A163" s="10">
        <v>30</v>
      </c>
      <c r="B163" s="101"/>
      <c r="C163" s="37">
        <v>902</v>
      </c>
      <c r="D163" s="10"/>
      <c r="E163" s="110" t="s">
        <v>3503</v>
      </c>
      <c r="F163" s="105"/>
      <c r="G163" s="105"/>
      <c r="H163" s="105"/>
      <c r="I163" s="111">
        <f>ROUND(VLOOKUP("9902000",'[74]FERC 2021'!A:O,15,FALSE)/1000,9)</f>
        <v>3012.6062072270001</v>
      </c>
      <c r="J163" s="105"/>
      <c r="K163" s="105"/>
      <c r="L163" s="111">
        <f>+'[74]C-4 Supplement'!J74</f>
        <v>2992.3053864613739</v>
      </c>
      <c r="M163" s="105"/>
      <c r="N163" s="105"/>
      <c r="O163" s="112">
        <f t="shared" si="9"/>
        <v>0.99326099999999995</v>
      </c>
      <c r="P163" s="105"/>
      <c r="Q163" s="105"/>
      <c r="R163" s="105"/>
      <c r="S163" s="105"/>
    </row>
    <row r="164" spans="1:19" x14ac:dyDescent="0.25">
      <c r="A164" s="10">
        <v>31</v>
      </c>
      <c r="B164" s="101"/>
      <c r="C164" s="37">
        <v>903</v>
      </c>
      <c r="D164" s="10"/>
      <c r="E164" s="110" t="s">
        <v>3504</v>
      </c>
      <c r="F164" s="105"/>
      <c r="G164" s="105"/>
      <c r="H164" s="105"/>
      <c r="I164" s="111">
        <f>ROUND(VLOOKUP("9903000",'[74]FERC 2021'!A:O,15,FALSE)/1000,9)</f>
        <v>26120.084097104002</v>
      </c>
      <c r="J164" s="105"/>
      <c r="K164" s="105"/>
      <c r="L164" s="111">
        <f>+'[74]C-4 Supplement'!J75</f>
        <v>25944.070669140419</v>
      </c>
      <c r="M164" s="105"/>
      <c r="N164" s="105"/>
      <c r="O164" s="112">
        <f t="shared" si="9"/>
        <v>0.99326099999999995</v>
      </c>
      <c r="P164" s="105"/>
      <c r="Q164" s="105"/>
      <c r="R164" s="105"/>
      <c r="S164" s="105"/>
    </row>
    <row r="165" spans="1:19" x14ac:dyDescent="0.25">
      <c r="A165" s="10">
        <v>32</v>
      </c>
      <c r="B165" s="101"/>
      <c r="C165" s="37">
        <v>904</v>
      </c>
      <c r="D165" s="10"/>
      <c r="E165" s="110" t="s">
        <v>62</v>
      </c>
      <c r="F165" s="105"/>
      <c r="G165" s="105"/>
      <c r="H165" s="105"/>
      <c r="I165" s="111">
        <f>ROUND(VLOOKUP("9904000",'[74]FERC 2021'!A:O,15,FALSE)/1000,9)</f>
        <v>4722.3474852950003</v>
      </c>
      <c r="J165" s="105"/>
      <c r="K165" s="105"/>
      <c r="L165" s="111">
        <f>+'[74]C-4 Supplement'!J76</f>
        <v>4690.5253607630912</v>
      </c>
      <c r="M165" s="105"/>
      <c r="N165" s="105"/>
      <c r="O165" s="112">
        <f t="shared" si="9"/>
        <v>0.99326099999999995</v>
      </c>
      <c r="P165" s="105"/>
      <c r="Q165" s="105"/>
      <c r="R165" s="105"/>
      <c r="S165" s="105"/>
    </row>
    <row r="166" spans="1:19" x14ac:dyDescent="0.25">
      <c r="A166" s="10">
        <v>33</v>
      </c>
      <c r="B166" s="101"/>
      <c r="C166" s="37">
        <v>905</v>
      </c>
      <c r="D166" s="10"/>
      <c r="E166" s="110" t="s">
        <v>3505</v>
      </c>
      <c r="F166" s="105"/>
      <c r="G166" s="105"/>
      <c r="H166" s="105"/>
      <c r="I166" s="111">
        <f>ROUND(VLOOKUP("9905000",'[74]FERC 2021'!A:O,15,FALSE)/1000,9)</f>
        <v>0</v>
      </c>
      <c r="J166" s="109"/>
      <c r="K166" s="105"/>
      <c r="L166" s="111">
        <f>+'[74]C-4 Supplement'!J77</f>
        <v>0</v>
      </c>
      <c r="M166" s="105"/>
      <c r="N166" s="105"/>
      <c r="O166" s="112">
        <f t="shared" si="9"/>
        <v>0</v>
      </c>
      <c r="P166" s="105"/>
      <c r="Q166" s="105"/>
      <c r="R166" s="105"/>
      <c r="S166" s="105"/>
    </row>
    <row r="167" spans="1:19" x14ac:dyDescent="0.25">
      <c r="A167" s="10">
        <v>34</v>
      </c>
      <c r="B167" s="101"/>
      <c r="C167" s="37"/>
      <c r="D167" s="10"/>
      <c r="E167" s="114" t="s">
        <v>3506</v>
      </c>
      <c r="F167" s="105"/>
      <c r="G167" s="105"/>
      <c r="H167" s="105"/>
      <c r="I167" s="115">
        <f>SUM(I162:I166)</f>
        <v>38927.005225871006</v>
      </c>
      <c r="J167" s="109"/>
      <c r="K167" s="105"/>
      <c r="L167" s="115">
        <f>SUM(L162:L166)</f>
        <v>38664.690770653702</v>
      </c>
      <c r="M167" s="105"/>
      <c r="N167" s="105"/>
      <c r="O167" s="112">
        <f t="shared" si="9"/>
        <v>0.99326099999999995</v>
      </c>
      <c r="P167" s="105"/>
      <c r="Q167" s="105"/>
      <c r="R167" s="105"/>
      <c r="S167" s="105"/>
    </row>
    <row r="168" spans="1:19" x14ac:dyDescent="0.25">
      <c r="A168" s="10">
        <v>35</v>
      </c>
      <c r="B168" s="101"/>
      <c r="C168" s="37"/>
      <c r="D168" s="10"/>
      <c r="E168" s="10" t="s">
        <v>11</v>
      </c>
      <c r="F168" s="105"/>
      <c r="G168" s="105"/>
      <c r="H168" s="105"/>
      <c r="I168" s="105"/>
      <c r="J168" s="109"/>
      <c r="K168" s="105"/>
      <c r="L168" s="105"/>
      <c r="M168" s="105"/>
      <c r="N168" s="105"/>
      <c r="O168" s="112"/>
      <c r="P168" s="105"/>
      <c r="Q168" s="105" t="s">
        <v>11</v>
      </c>
      <c r="R168" s="105"/>
      <c r="S168" s="105"/>
    </row>
    <row r="169" spans="1:19" x14ac:dyDescent="0.25">
      <c r="A169" s="10">
        <v>36</v>
      </c>
      <c r="B169" s="101"/>
      <c r="C169" s="37"/>
      <c r="D169" s="10"/>
      <c r="E169" s="10" t="s">
        <v>3507</v>
      </c>
      <c r="F169" s="105"/>
      <c r="G169" s="105"/>
      <c r="H169" s="105"/>
      <c r="I169" s="105"/>
      <c r="J169" s="109"/>
      <c r="K169" s="105"/>
      <c r="L169" s="105"/>
      <c r="M169" s="105"/>
      <c r="N169" s="105"/>
      <c r="O169" s="112"/>
      <c r="P169" s="105"/>
      <c r="Q169" s="105" t="s">
        <v>11</v>
      </c>
      <c r="R169" s="105"/>
      <c r="S169" s="105"/>
    </row>
    <row r="170" spans="1:19" x14ac:dyDescent="0.25">
      <c r="A170" s="10">
        <v>37</v>
      </c>
      <c r="B170" s="101"/>
      <c r="C170" s="37">
        <v>907</v>
      </c>
      <c r="D170" s="10"/>
      <c r="E170" s="110" t="s">
        <v>3502</v>
      </c>
      <c r="F170" s="105"/>
      <c r="G170" s="105"/>
      <c r="H170" s="105"/>
      <c r="I170" s="111">
        <f>ROUND(VLOOKUP("9907000",'[74]FERC 2021'!A:O,15,FALSE)/1000,9)</f>
        <v>0</v>
      </c>
      <c r="J170" s="109"/>
      <c r="K170" s="105"/>
      <c r="L170" s="111">
        <f>+'[74]C-4 Supplement'!J78</f>
        <v>0</v>
      </c>
      <c r="M170" s="105"/>
      <c r="N170" s="105"/>
      <c r="O170" s="112">
        <f>IF(I170=0,0,ROUND(L170/I170,6))</f>
        <v>0</v>
      </c>
      <c r="P170" s="105"/>
      <c r="Q170" s="105" t="s">
        <v>11</v>
      </c>
      <c r="R170" s="105"/>
      <c r="S170" s="105"/>
    </row>
    <row r="171" spans="1:19" x14ac:dyDescent="0.25">
      <c r="A171" s="10">
        <v>38</v>
      </c>
      <c r="B171" s="101"/>
      <c r="C171" s="37">
        <v>908</v>
      </c>
      <c r="D171" s="10"/>
      <c r="E171" s="110" t="s">
        <v>3508</v>
      </c>
      <c r="F171" s="105"/>
      <c r="G171" s="105"/>
      <c r="H171" s="105"/>
      <c r="I171" s="111">
        <f>ROUND(VLOOKUP("9908000",'[74]FERC 2021'!A:O,15,FALSE)/1000,9)</f>
        <v>38545.728133176002</v>
      </c>
      <c r="J171" s="109"/>
      <c r="K171" s="105"/>
      <c r="L171" s="111">
        <f>+'[74]C-4 Supplement'!J79</f>
        <v>38285.982960961002</v>
      </c>
      <c r="M171" s="105"/>
      <c r="N171" s="105"/>
      <c r="O171" s="112">
        <f>IF(I171=0,0,ROUND(L171/I171,6))</f>
        <v>0.99326099999999995</v>
      </c>
      <c r="P171" s="105"/>
      <c r="Q171" s="105"/>
      <c r="R171" s="105"/>
      <c r="S171" s="105"/>
    </row>
    <row r="172" spans="1:19" x14ac:dyDescent="0.25">
      <c r="A172" s="10">
        <v>39</v>
      </c>
      <c r="B172" s="101"/>
      <c r="C172" s="37">
        <v>909</v>
      </c>
      <c r="D172" s="10"/>
      <c r="E172" s="110" t="s">
        <v>3509</v>
      </c>
      <c r="F172" s="105"/>
      <c r="G172" s="105"/>
      <c r="H172" s="105"/>
      <c r="I172" s="111">
        <f>ROUND(VLOOKUP("9909000",'[74]FERC 2021'!A:O,15,FALSE)/1000,9)</f>
        <v>1595.022562353</v>
      </c>
      <c r="J172" s="109"/>
      <c r="K172" s="105"/>
      <c r="L172" s="111">
        <f>+'[74]C-4 Supplement'!J80</f>
        <v>1595.022562353</v>
      </c>
      <c r="M172" s="105"/>
      <c r="N172" s="105"/>
      <c r="O172" s="112">
        <f>IF(I172=0,0,ROUND(L172/I172,6))</f>
        <v>1</v>
      </c>
      <c r="P172" s="105"/>
      <c r="Q172" s="105"/>
      <c r="R172" s="105"/>
      <c r="S172" s="105"/>
    </row>
    <row r="173" spans="1:19" x14ac:dyDescent="0.25">
      <c r="A173" s="10">
        <v>40</v>
      </c>
      <c r="B173" s="101"/>
      <c r="C173" s="37">
        <v>910</v>
      </c>
      <c r="D173" s="10"/>
      <c r="E173" s="110" t="s">
        <v>3510</v>
      </c>
      <c r="F173" s="105"/>
      <c r="G173" s="105"/>
      <c r="H173" s="105"/>
      <c r="I173" s="111">
        <f>ROUND(VLOOKUP("9910000",'[74]FERC 2021'!A:O,15,FALSE)/1000,9)</f>
        <v>0</v>
      </c>
      <c r="J173" s="109"/>
      <c r="K173" s="105"/>
      <c r="L173" s="111">
        <f>+'[74]C-4 Supplement'!J81</f>
        <v>0</v>
      </c>
      <c r="M173" s="105"/>
      <c r="N173" s="105"/>
      <c r="O173" s="112">
        <f>IF(I173=0,0,ROUND(L173/I173,6))</f>
        <v>0</v>
      </c>
      <c r="P173" s="105"/>
      <c r="Q173" s="105"/>
      <c r="R173" s="105"/>
      <c r="S173" s="105"/>
    </row>
    <row r="174" spans="1:19" x14ac:dyDescent="0.25">
      <c r="A174" s="10">
        <v>41</v>
      </c>
      <c r="B174" s="101"/>
      <c r="C174" s="37"/>
      <c r="D174" s="10"/>
      <c r="E174" s="114" t="s">
        <v>3511</v>
      </c>
      <c r="F174" s="105"/>
      <c r="G174" s="105"/>
      <c r="H174" s="105"/>
      <c r="I174" s="115">
        <f>SUM(I170:I173)</f>
        <v>40140.750695529001</v>
      </c>
      <c r="J174" s="109"/>
      <c r="K174" s="105"/>
      <c r="L174" s="115">
        <f>SUM(L170:L173)</f>
        <v>39881.005523314001</v>
      </c>
      <c r="M174" s="105"/>
      <c r="N174" s="105"/>
      <c r="O174" s="112">
        <f>IF(I174=0,0,ROUND(L174/I174,6))</f>
        <v>0.993529</v>
      </c>
      <c r="P174" s="105"/>
      <c r="Q174" s="105"/>
      <c r="R174" s="105"/>
      <c r="S174" s="105"/>
    </row>
    <row r="175" spans="1:19" x14ac:dyDescent="0.25">
      <c r="A175" s="10">
        <v>42</v>
      </c>
      <c r="B175" s="101"/>
      <c r="C175" s="37"/>
      <c r="D175" s="10"/>
      <c r="E175" s="10" t="s">
        <v>11</v>
      </c>
      <c r="F175" s="105"/>
      <c r="G175" s="105"/>
      <c r="H175" s="105"/>
      <c r="I175" s="105"/>
      <c r="J175" s="109"/>
      <c r="K175" s="105"/>
      <c r="L175" s="105"/>
      <c r="M175" s="105"/>
      <c r="N175" s="105"/>
      <c r="O175" s="112"/>
      <c r="P175" s="105"/>
      <c r="Q175" s="105"/>
      <c r="R175" s="105"/>
      <c r="S175" s="105"/>
    </row>
    <row r="176" spans="1:19" x14ac:dyDescent="0.25">
      <c r="A176" s="10">
        <v>43</v>
      </c>
      <c r="B176" s="101"/>
      <c r="C176" s="37"/>
      <c r="D176" s="10"/>
      <c r="E176" s="10" t="s">
        <v>3512</v>
      </c>
      <c r="F176" s="105"/>
      <c r="G176" s="105"/>
      <c r="H176" s="105"/>
      <c r="I176" s="105"/>
      <c r="J176" s="109"/>
      <c r="K176" s="105"/>
      <c r="L176" s="105"/>
      <c r="M176" s="105"/>
      <c r="N176" s="105"/>
      <c r="O176" s="112"/>
      <c r="P176" s="105"/>
      <c r="Q176" s="105"/>
      <c r="R176" s="105"/>
      <c r="S176" s="105"/>
    </row>
    <row r="177" spans="1:19" x14ac:dyDescent="0.25">
      <c r="A177" s="10">
        <v>44</v>
      </c>
      <c r="B177" s="101"/>
      <c r="C177" s="37">
        <v>911</v>
      </c>
      <c r="D177" s="10"/>
      <c r="E177" s="110" t="s">
        <v>3502</v>
      </c>
      <c r="F177" s="105"/>
      <c r="G177" s="105"/>
      <c r="H177" s="105"/>
      <c r="I177" s="111">
        <f>ROUND(VLOOKUP("9911000",'[74]FERC 2021'!A:O,15,FALSE)/1000,9)</f>
        <v>0</v>
      </c>
      <c r="J177" s="109"/>
      <c r="K177" s="105"/>
      <c r="L177" s="111">
        <f>+'[74]C-4 Supplement'!J82</f>
        <v>0</v>
      </c>
      <c r="M177" s="105"/>
      <c r="N177" s="105"/>
      <c r="O177" s="112">
        <f>IF(I177=0,0,ROUND(L177/I177,6))</f>
        <v>0</v>
      </c>
      <c r="P177" s="105"/>
      <c r="Q177" s="105"/>
      <c r="R177" s="105"/>
      <c r="S177" s="105"/>
    </row>
    <row r="178" spans="1:19" x14ac:dyDescent="0.25">
      <c r="A178" s="10">
        <v>45</v>
      </c>
      <c r="B178" s="101"/>
      <c r="C178" s="37">
        <v>912</v>
      </c>
      <c r="D178" s="10"/>
      <c r="E178" s="110" t="s">
        <v>3513</v>
      </c>
      <c r="F178" s="105"/>
      <c r="G178" s="105"/>
      <c r="H178" s="105"/>
      <c r="I178" s="111">
        <f>ROUND(VLOOKUP("9912000",'[74]FERC 2021'!A:O,15,FALSE)/1000,9)</f>
        <v>341.74360999999999</v>
      </c>
      <c r="J178" s="109"/>
      <c r="K178" s="105"/>
      <c r="L178" s="111">
        <f>+'[74]C-4 Supplement'!J83</f>
        <v>341.74360999999999</v>
      </c>
      <c r="M178" s="105"/>
      <c r="N178" s="105"/>
      <c r="O178" s="112">
        <f>IF(I178=0,0,ROUND(L178/I178,6))</f>
        <v>1</v>
      </c>
      <c r="P178" s="105"/>
      <c r="Q178" s="105"/>
      <c r="R178" s="105"/>
      <c r="S178" s="105"/>
    </row>
    <row r="179" spans="1:19" x14ac:dyDescent="0.25">
      <c r="A179" s="10">
        <v>46</v>
      </c>
      <c r="B179" s="101"/>
      <c r="C179" s="37">
        <v>913</v>
      </c>
      <c r="D179" s="10"/>
      <c r="E179" s="110" t="s">
        <v>2503</v>
      </c>
      <c r="F179" s="105"/>
      <c r="G179" s="105"/>
      <c r="H179" s="105"/>
      <c r="I179" s="111">
        <f>ROUND(VLOOKUP("9913000",'[74]FERC 2021'!A:O,15,FALSE)/1000,9)</f>
        <v>0</v>
      </c>
      <c r="J179" s="109"/>
      <c r="K179" s="105"/>
      <c r="L179" s="111">
        <f>+'[74]C-4 Supplement'!J84</f>
        <v>0</v>
      </c>
      <c r="M179" s="105"/>
      <c r="N179" s="105"/>
      <c r="O179" s="112">
        <f>IF(I179=0,0,ROUND(L179/I179,6))</f>
        <v>0</v>
      </c>
      <c r="P179" s="105"/>
      <c r="Q179" s="105"/>
      <c r="R179" s="105"/>
      <c r="S179" s="105"/>
    </row>
    <row r="180" spans="1:19" x14ac:dyDescent="0.25">
      <c r="A180" s="10">
        <v>47</v>
      </c>
      <c r="B180" s="101"/>
      <c r="C180" s="37">
        <v>916</v>
      </c>
      <c r="D180" s="10"/>
      <c r="E180" s="110" t="s">
        <v>3514</v>
      </c>
      <c r="F180" s="105"/>
      <c r="G180" s="105"/>
      <c r="H180" s="105"/>
      <c r="I180" s="111">
        <f>ROUND(VLOOKUP("9916000",'[74]FERC 2021'!A:O,15,FALSE)/1000,9)</f>
        <v>0</v>
      </c>
      <c r="J180" s="109"/>
      <c r="K180" s="105"/>
      <c r="L180" s="111">
        <f>+'[74]C-4 Supplement'!J85</f>
        <v>0</v>
      </c>
      <c r="M180" s="105"/>
      <c r="N180" s="105"/>
      <c r="O180" s="112">
        <f>IF(I180=0,0,ROUND(L180/I180,6))</f>
        <v>0</v>
      </c>
      <c r="P180" s="105"/>
      <c r="Q180" s="105"/>
      <c r="R180" s="105"/>
      <c r="S180" s="105"/>
    </row>
    <row r="181" spans="1:19" x14ac:dyDescent="0.25">
      <c r="A181" s="10">
        <v>48</v>
      </c>
      <c r="B181" s="101"/>
      <c r="C181" s="37"/>
      <c r="D181" s="10"/>
      <c r="E181" s="114" t="s">
        <v>3515</v>
      </c>
      <c r="F181" s="105"/>
      <c r="G181" s="105"/>
      <c r="H181" s="105"/>
      <c r="I181" s="115">
        <f>SUM(I177:I180)</f>
        <v>341.74360999999999</v>
      </c>
      <c r="J181" s="109"/>
      <c r="K181" s="105"/>
      <c r="L181" s="115">
        <f>SUM(L177:L180)</f>
        <v>341.74360999999999</v>
      </c>
      <c r="M181" s="105"/>
      <c r="N181" s="105"/>
      <c r="O181" s="112">
        <f>IF(I181=0,0,ROUND(L181/I181,6))</f>
        <v>1</v>
      </c>
      <c r="P181" s="105"/>
      <c r="Q181" s="105"/>
      <c r="R181" s="105"/>
      <c r="S181" s="105"/>
    </row>
    <row r="182" spans="1:19" ht="13.8" thickBot="1" x14ac:dyDescent="0.3">
      <c r="A182" s="89">
        <v>49</v>
      </c>
      <c r="B182" s="89" t="s">
        <v>3431</v>
      </c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</row>
    <row r="183" spans="1:19" x14ac:dyDescent="0.25">
      <c r="A183" s="10" t="str">
        <f>+$A$61</f>
        <v>Supporting Schedules: C-19, C-20, C-21, C-22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 t="str">
        <f>+$Q$61</f>
        <v>Recap Schedules: C-1</v>
      </c>
      <c r="R183" s="10"/>
      <c r="S183" s="10"/>
    </row>
    <row r="184" spans="1:19" ht="13.8" thickBot="1" x14ac:dyDescent="0.3">
      <c r="A184" s="89" t="str">
        <f>+$A$1</f>
        <v>SCHEDULE C-4</v>
      </c>
      <c r="B184" s="89"/>
      <c r="C184" s="89"/>
      <c r="D184" s="89"/>
      <c r="E184" s="89"/>
      <c r="F184" s="89"/>
      <c r="G184" s="89"/>
      <c r="H184" s="89" t="str">
        <f>+$H$1</f>
        <v>JURISDICTIONAL SEPARATION FACTORS - NET OPERATING INCOME</v>
      </c>
      <c r="I184" s="12"/>
      <c r="J184" s="89"/>
      <c r="K184" s="89"/>
      <c r="L184" s="89"/>
      <c r="M184" s="89"/>
      <c r="N184" s="89"/>
      <c r="O184" s="89"/>
      <c r="P184" s="89"/>
      <c r="Q184" s="89"/>
      <c r="R184" s="89"/>
      <c r="S184" s="89" t="s">
        <v>3516</v>
      </c>
    </row>
    <row r="185" spans="1:19" x14ac:dyDescent="0.25">
      <c r="A185" s="91" t="s">
        <v>3</v>
      </c>
      <c r="B185" s="91"/>
      <c r="C185" s="91"/>
      <c r="D185" s="91"/>
      <c r="E185" s="91"/>
      <c r="F185" s="91" t="s">
        <v>4</v>
      </c>
      <c r="G185" s="10" t="str">
        <f>+$G$2</f>
        <v>Provide jurisdictional factors for net operating income for the test year, and the most recent historical year</v>
      </c>
      <c r="H185" s="10"/>
      <c r="I185" s="10"/>
      <c r="J185" s="92"/>
      <c r="K185" s="92"/>
      <c r="L185" s="91"/>
      <c r="M185" s="92"/>
      <c r="N185" s="92"/>
      <c r="O185" s="92"/>
      <c r="P185" s="92" t="s">
        <v>6</v>
      </c>
      <c r="Q185" s="91"/>
      <c r="R185" s="91"/>
      <c r="S185" s="93"/>
    </row>
    <row r="186" spans="1:19" x14ac:dyDescent="0.25">
      <c r="A186" s="91"/>
      <c r="B186" s="91"/>
      <c r="C186" s="91"/>
      <c r="D186" s="91"/>
      <c r="E186" s="91"/>
      <c r="F186" s="91"/>
      <c r="G186" s="10" t="str">
        <f>+$G$3</f>
        <v>if the test year is projected.</v>
      </c>
      <c r="H186" s="10"/>
      <c r="I186" s="10"/>
      <c r="J186" s="94"/>
      <c r="K186" s="93"/>
      <c r="L186" s="91"/>
      <c r="M186" s="91"/>
      <c r="N186" s="91"/>
      <c r="O186" s="94"/>
      <c r="P186" s="94"/>
      <c r="Q186" s="93"/>
      <c r="R186" s="91"/>
      <c r="S186" s="94"/>
    </row>
    <row r="187" spans="1:19" x14ac:dyDescent="0.25">
      <c r="A187" s="91" t="s">
        <v>10</v>
      </c>
      <c r="B187" s="91"/>
      <c r="C187" s="91"/>
      <c r="D187" s="91"/>
      <c r="E187" s="91"/>
      <c r="F187" s="91"/>
      <c r="G187" s="10"/>
      <c r="H187" s="91"/>
      <c r="I187" s="91"/>
      <c r="J187" s="94"/>
      <c r="K187" s="93"/>
      <c r="L187" s="94"/>
      <c r="M187" s="91"/>
      <c r="N187" s="91"/>
      <c r="O187" s="91"/>
      <c r="P187" s="94"/>
      <c r="Q187" s="93"/>
      <c r="R187" s="91"/>
      <c r="S187" s="94"/>
    </row>
    <row r="188" spans="1:19" x14ac:dyDescent="0.25">
      <c r="A188" s="91"/>
      <c r="B188" s="91"/>
      <c r="C188" s="91"/>
      <c r="D188" s="91"/>
      <c r="E188" s="91"/>
      <c r="F188" s="91"/>
      <c r="G188" s="91"/>
      <c r="H188" s="91"/>
      <c r="I188" s="91"/>
      <c r="J188" s="94"/>
      <c r="K188" s="93"/>
      <c r="L188" s="94"/>
      <c r="M188" s="91"/>
      <c r="N188" s="91"/>
      <c r="O188" s="91"/>
      <c r="P188" s="94"/>
      <c r="Q188" s="93"/>
      <c r="R188" s="91"/>
      <c r="S188" s="94"/>
    </row>
    <row r="189" spans="1:19" ht="13.8" thickBot="1" x14ac:dyDescent="0.3">
      <c r="A189" s="12" t="s">
        <v>84</v>
      </c>
      <c r="B189" s="12"/>
      <c r="C189" s="89"/>
      <c r="D189" s="89"/>
      <c r="E189" s="89"/>
      <c r="F189" s="89"/>
      <c r="G189" s="89"/>
      <c r="H189" s="89"/>
      <c r="I189" s="89"/>
      <c r="J189" s="95"/>
      <c r="K189" s="89"/>
      <c r="L189" s="89"/>
      <c r="M189" s="89"/>
      <c r="N189" s="89"/>
      <c r="O189" s="89"/>
      <c r="P189" s="89"/>
      <c r="Q189" s="12" t="str">
        <f>+$Q$6</f>
        <v>Witness: J. S. Chronister</v>
      </c>
      <c r="R189" s="89"/>
      <c r="S189" s="89"/>
    </row>
    <row r="190" spans="1:19" x14ac:dyDescent="0.25">
      <c r="A190" s="10"/>
      <c r="B190" s="35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</row>
    <row r="191" spans="1:19" x14ac:dyDescent="0.25">
      <c r="A191" s="10"/>
      <c r="B191" s="35"/>
      <c r="C191" s="96"/>
      <c r="D191" s="96"/>
      <c r="E191" s="96"/>
      <c r="F191" s="96"/>
      <c r="G191" s="96"/>
      <c r="H191" s="96"/>
      <c r="I191" s="96" t="s">
        <v>18</v>
      </c>
      <c r="J191" s="96"/>
      <c r="K191" s="96"/>
      <c r="L191" s="96" t="s">
        <v>19</v>
      </c>
      <c r="M191" s="96"/>
      <c r="N191" s="96"/>
      <c r="O191" s="96" t="s">
        <v>20</v>
      </c>
      <c r="P191" s="96"/>
      <c r="Q191" s="96"/>
      <c r="R191" s="96"/>
      <c r="S191" s="96"/>
    </row>
    <row r="192" spans="1:19" x14ac:dyDescent="0.25">
      <c r="A192" s="10"/>
      <c r="B192" s="35"/>
      <c r="C192" s="96"/>
      <c r="D192" s="96"/>
      <c r="E192" s="96"/>
      <c r="F192" s="96"/>
      <c r="G192" s="96"/>
      <c r="H192" s="96"/>
      <c r="I192" s="96"/>
      <c r="J192" s="96"/>
      <c r="K192" s="35"/>
      <c r="L192" s="35"/>
      <c r="M192" s="96"/>
      <c r="N192" s="35"/>
      <c r="O192" s="96" t="s">
        <v>3379</v>
      </c>
      <c r="P192" s="96"/>
      <c r="Q192" s="35"/>
      <c r="R192" s="35"/>
      <c r="S192" s="35"/>
    </row>
    <row r="193" spans="1:19" x14ac:dyDescent="0.25">
      <c r="A193" s="10" t="s">
        <v>33</v>
      </c>
      <c r="B193" s="35"/>
      <c r="C193" s="35" t="s">
        <v>34</v>
      </c>
      <c r="D193" s="35"/>
      <c r="E193" s="35"/>
      <c r="F193" s="35" t="s">
        <v>34</v>
      </c>
      <c r="G193" s="96"/>
      <c r="H193" s="96"/>
      <c r="I193" s="96" t="s">
        <v>3380</v>
      </c>
      <c r="J193" s="35"/>
      <c r="K193" s="35"/>
      <c r="L193" s="35" t="s">
        <v>3381</v>
      </c>
      <c r="M193" s="35"/>
      <c r="N193" s="35"/>
      <c r="O193" s="35" t="s">
        <v>3382</v>
      </c>
      <c r="P193" s="35"/>
      <c r="Q193" s="96"/>
      <c r="R193" s="96"/>
      <c r="S193" s="35"/>
    </row>
    <row r="194" spans="1:19" ht="13.8" thickBot="1" x14ac:dyDescent="0.3">
      <c r="A194" s="12" t="s">
        <v>39</v>
      </c>
      <c r="B194" s="98"/>
      <c r="C194" s="98" t="s">
        <v>39</v>
      </c>
      <c r="D194" s="98"/>
      <c r="E194" s="98"/>
      <c r="F194" s="99" t="s">
        <v>3383</v>
      </c>
      <c r="G194" s="98"/>
      <c r="H194" s="98"/>
      <c r="I194" s="98" t="s">
        <v>3384</v>
      </c>
      <c r="J194" s="98"/>
      <c r="K194" s="99"/>
      <c r="L194" s="99" t="s">
        <v>3379</v>
      </c>
      <c r="M194" s="99"/>
      <c r="N194" s="99"/>
      <c r="O194" s="99" t="s">
        <v>3385</v>
      </c>
      <c r="P194" s="99"/>
      <c r="Q194" s="99"/>
      <c r="R194" s="99"/>
      <c r="S194" s="99"/>
    </row>
    <row r="195" spans="1:19" x14ac:dyDescent="0.25">
      <c r="A195" s="10">
        <v>1</v>
      </c>
      <c r="B195" s="101"/>
      <c r="C195" s="101"/>
      <c r="D195" s="101"/>
      <c r="E195" s="57" t="s">
        <v>3517</v>
      </c>
      <c r="F195" s="57"/>
      <c r="G195" s="57"/>
      <c r="H195" s="57"/>
      <c r="I195" s="57"/>
      <c r="J195" s="101"/>
      <c r="K195" s="101"/>
      <c r="L195" s="101"/>
      <c r="M195" s="101"/>
      <c r="N195" s="101"/>
      <c r="O195" s="101"/>
      <c r="P195" s="101"/>
      <c r="Q195" s="105"/>
      <c r="R195" s="101"/>
      <c r="S195" s="101"/>
    </row>
    <row r="196" spans="1:19" x14ac:dyDescent="0.25">
      <c r="A196" s="10">
        <v>2</v>
      </c>
      <c r="B196" s="101"/>
      <c r="C196" s="37">
        <v>920</v>
      </c>
      <c r="D196" s="10"/>
      <c r="E196" s="110" t="s">
        <v>3518</v>
      </c>
      <c r="F196" s="57"/>
      <c r="G196" s="57"/>
      <c r="H196" s="57"/>
      <c r="I196" s="111">
        <f>ROUND(VLOOKUP("9920000",'[74]FERC 2021'!A:O,15,FALSE)/1000,9)</f>
        <v>64143.159390358996</v>
      </c>
      <c r="J196" s="101"/>
      <c r="K196" s="101"/>
      <c r="L196" s="111">
        <f>+'[74]C-4 Supplement'!J86</f>
        <v>63710.922751198894</v>
      </c>
      <c r="M196" s="57"/>
      <c r="N196" s="57"/>
      <c r="O196" s="104">
        <f t="shared" ref="O196:O207" si="10">IF(I196=0,0,ROUND(L196/I196,6))</f>
        <v>0.99326099999999995</v>
      </c>
      <c r="P196" s="57"/>
      <c r="Q196" s="105"/>
      <c r="R196" s="57"/>
      <c r="S196" s="57"/>
    </row>
    <row r="197" spans="1:19" x14ac:dyDescent="0.25">
      <c r="A197" s="10">
        <v>3</v>
      </c>
      <c r="B197" s="101"/>
      <c r="C197" s="37">
        <v>921</v>
      </c>
      <c r="D197" s="10"/>
      <c r="E197" s="110" t="s">
        <v>3519</v>
      </c>
      <c r="F197" s="105"/>
      <c r="G197" s="105"/>
      <c r="H197" s="105"/>
      <c r="I197" s="111">
        <f>ROUND(VLOOKUP("9921000",'[74]FERC 2021'!A:O,15,FALSE)/1000,9)</f>
        <v>6849.195197473</v>
      </c>
      <c r="J197" s="109"/>
      <c r="K197" s="109"/>
      <c r="L197" s="111">
        <f>+'[74]C-4 Supplement'!J87</f>
        <v>6803.0410457092776</v>
      </c>
      <c r="M197" s="105"/>
      <c r="N197" s="105"/>
      <c r="O197" s="104">
        <f t="shared" si="10"/>
        <v>0.99326099999999995</v>
      </c>
      <c r="P197" s="105"/>
      <c r="Q197" s="105"/>
      <c r="R197" s="105"/>
      <c r="S197" s="105"/>
    </row>
    <row r="198" spans="1:19" x14ac:dyDescent="0.25">
      <c r="A198" s="10">
        <v>4</v>
      </c>
      <c r="B198" s="101"/>
      <c r="C198" s="37">
        <v>922</v>
      </c>
      <c r="D198" s="10"/>
      <c r="E198" s="110" t="s">
        <v>3520</v>
      </c>
      <c r="F198" s="105"/>
      <c r="G198" s="105"/>
      <c r="H198" s="105"/>
      <c r="I198" s="111">
        <f>ROUND(VLOOKUP("9922000",'[74]FERC 2021'!A:O,15,FALSE)/1000,9)</f>
        <v>-48919.225259015999</v>
      </c>
      <c r="J198" s="105"/>
      <c r="K198" s="105"/>
      <c r="L198" s="111">
        <f>+'[74]C-4 Supplement'!J88</f>
        <v>-48589.576989157758</v>
      </c>
      <c r="M198" s="105"/>
      <c r="N198" s="105"/>
      <c r="O198" s="104">
        <f t="shared" si="10"/>
        <v>0.99326099999999995</v>
      </c>
      <c r="P198" s="105"/>
      <c r="Q198" s="105"/>
      <c r="R198" s="105"/>
      <c r="S198" s="105"/>
    </row>
    <row r="199" spans="1:19" x14ac:dyDescent="0.25">
      <c r="A199" s="10">
        <v>5</v>
      </c>
      <c r="B199" s="101"/>
      <c r="C199" s="37">
        <v>923</v>
      </c>
      <c r="D199" s="10"/>
      <c r="E199" s="110" t="s">
        <v>3521</v>
      </c>
      <c r="F199" s="105"/>
      <c r="G199" s="105"/>
      <c r="H199" s="105"/>
      <c r="I199" s="111">
        <f>ROUND(VLOOKUP("9923000",'[74]FERC 2021'!A:O,15,FALSE)/1000,9)</f>
        <v>18641.952154998999</v>
      </c>
      <c r="J199" s="105"/>
      <c r="K199" s="105"/>
      <c r="L199" s="111">
        <f>+'[74]C-4 Supplement'!J89</f>
        <v>18516.331047098422</v>
      </c>
      <c r="M199" s="105"/>
      <c r="N199" s="105"/>
      <c r="O199" s="104">
        <f t="shared" si="10"/>
        <v>0.99326099999999995</v>
      </c>
      <c r="P199" s="105"/>
      <c r="Q199" s="105"/>
      <c r="R199" s="105"/>
      <c r="S199" s="105"/>
    </row>
    <row r="200" spans="1:19" x14ac:dyDescent="0.25">
      <c r="A200" s="10">
        <v>6</v>
      </c>
      <c r="B200" s="101"/>
      <c r="C200" s="37">
        <v>924</v>
      </c>
      <c r="D200" s="10"/>
      <c r="E200" s="110" t="s">
        <v>63</v>
      </c>
      <c r="F200" s="105"/>
      <c r="G200" s="105"/>
      <c r="H200" s="105"/>
      <c r="I200" s="111">
        <f>ROUND(VLOOKUP("9924000",'[74]FERC 2021'!A:O,15,FALSE)/1000,9)</f>
        <v>13545.567650000001</v>
      </c>
      <c r="J200" s="105"/>
      <c r="K200" s="105"/>
      <c r="L200" s="111">
        <f>+'[74]C-4 Supplement'!J90</f>
        <v>13454.289161503348</v>
      </c>
      <c r="M200" s="105"/>
      <c r="N200" s="105"/>
      <c r="O200" s="104">
        <f t="shared" si="10"/>
        <v>0.99326099999999995</v>
      </c>
      <c r="P200" s="105"/>
      <c r="Q200" s="105"/>
      <c r="R200" s="105"/>
      <c r="S200" s="105"/>
    </row>
    <row r="201" spans="1:19" x14ac:dyDescent="0.25">
      <c r="A201" s="10">
        <v>7</v>
      </c>
      <c r="B201" s="101"/>
      <c r="C201" s="37">
        <v>925</v>
      </c>
      <c r="D201" s="10"/>
      <c r="E201" s="110" t="s">
        <v>3522</v>
      </c>
      <c r="F201" s="105"/>
      <c r="G201" s="105"/>
      <c r="H201" s="105"/>
      <c r="I201" s="111">
        <f>ROUND(VLOOKUP("9925000",'[74]FERC 2021'!A:O,15,FALSE)/1000,9)</f>
        <v>17659.993290000999</v>
      </c>
      <c r="J201" s="105"/>
      <c r="K201" s="105"/>
      <c r="L201" s="111">
        <f>+'[74]C-4 Supplement'!J91</f>
        <v>17540.989233764765</v>
      </c>
      <c r="M201" s="105"/>
      <c r="N201" s="105"/>
      <c r="O201" s="104">
        <f t="shared" si="10"/>
        <v>0.99326099999999995</v>
      </c>
      <c r="P201" s="105"/>
      <c r="Q201" s="105"/>
      <c r="R201" s="105"/>
      <c r="S201" s="105"/>
    </row>
    <row r="202" spans="1:19" x14ac:dyDescent="0.25">
      <c r="A202" s="10">
        <v>8</v>
      </c>
      <c r="B202" s="101"/>
      <c r="C202" s="37">
        <v>926</v>
      </c>
      <c r="D202" s="10"/>
      <c r="E202" s="110" t="s">
        <v>3523</v>
      </c>
      <c r="F202" s="105"/>
      <c r="G202" s="105"/>
      <c r="H202" s="105"/>
      <c r="I202" s="111">
        <f>ROUND(VLOOKUP("9926000",'[74]FERC 2021'!A:O,15,FALSE)/1000,9)</f>
        <v>52119.198704818002</v>
      </c>
      <c r="J202" s="105"/>
      <c r="K202" s="105"/>
      <c r="L202" s="111">
        <f>+'[74]C-4 Supplement'!J92</f>
        <v>51767.987016806357</v>
      </c>
      <c r="M202" s="105"/>
      <c r="N202" s="105"/>
      <c r="O202" s="104">
        <f t="shared" si="10"/>
        <v>0.99326099999999995</v>
      </c>
      <c r="P202" s="105"/>
      <c r="Q202" s="105"/>
      <c r="R202" s="105"/>
      <c r="S202" s="105"/>
    </row>
    <row r="203" spans="1:19" x14ac:dyDescent="0.25">
      <c r="A203" s="10">
        <v>9</v>
      </c>
      <c r="B203" s="101"/>
      <c r="C203" s="37">
        <v>928</v>
      </c>
      <c r="D203" s="10"/>
      <c r="E203" s="110" t="s">
        <v>3524</v>
      </c>
      <c r="F203" s="105"/>
      <c r="G203" s="105"/>
      <c r="H203" s="105"/>
      <c r="I203" s="111">
        <f>ROUND(VLOOKUP("9928000",'[74]FERC 2021'!A:O,15,FALSE)/1000,9)</f>
        <v>1720.4903759629999</v>
      </c>
      <c r="J203" s="105"/>
      <c r="K203" s="105"/>
      <c r="L203" s="111">
        <f>+'[74]C-4 Supplement'!J93</f>
        <v>1708.8966380666823</v>
      </c>
      <c r="M203" s="105"/>
      <c r="N203" s="105"/>
      <c r="O203" s="104">
        <f t="shared" si="10"/>
        <v>0.99326099999999995</v>
      </c>
      <c r="P203" s="105"/>
      <c r="Q203" s="105"/>
      <c r="R203" s="105"/>
      <c r="S203" s="105"/>
    </row>
    <row r="204" spans="1:19" x14ac:dyDescent="0.25">
      <c r="A204" s="10">
        <v>10</v>
      </c>
      <c r="B204" s="101"/>
      <c r="C204" s="37">
        <v>929</v>
      </c>
      <c r="D204" s="10"/>
      <c r="E204" s="110" t="s">
        <v>3525</v>
      </c>
      <c r="F204" s="105"/>
      <c r="G204" s="105"/>
      <c r="H204" s="105"/>
      <c r="I204" s="111">
        <f>ROUND(VLOOKUP("9929000",'[74]FERC 2021'!A:O,15,FALSE)/1000,9)</f>
        <v>0</v>
      </c>
      <c r="J204" s="105"/>
      <c r="K204" s="105"/>
      <c r="L204" s="111">
        <f>+'[74]C-4 Supplement'!J94</f>
        <v>0</v>
      </c>
      <c r="M204" s="105"/>
      <c r="N204" s="105"/>
      <c r="O204" s="104">
        <f t="shared" si="10"/>
        <v>0</v>
      </c>
      <c r="P204" s="105"/>
      <c r="Q204" s="105"/>
      <c r="R204" s="105"/>
      <c r="S204" s="105"/>
    </row>
    <row r="205" spans="1:19" x14ac:dyDescent="0.25">
      <c r="A205" s="10">
        <v>11</v>
      </c>
      <c r="B205" s="101"/>
      <c r="C205" s="37">
        <v>930</v>
      </c>
      <c r="D205" s="10"/>
      <c r="E205" s="110" t="s">
        <v>3526</v>
      </c>
      <c r="F205" s="105"/>
      <c r="G205" s="105"/>
      <c r="H205" s="105"/>
      <c r="I205" s="111">
        <f>ROUND(VLOOKUP("9930100",'[74]FERC 2021'!A:O,15,FALSE)/1000,9)+ROUND(VLOOKUP("9930200",'[74]FERC 2021'!A:O,15,FALSE)/1000,9)</f>
        <v>18977.059887425999</v>
      </c>
      <c r="J205" s="105"/>
      <c r="K205" s="105"/>
      <c r="L205" s="111">
        <f>+'[74]C-4 Supplement'!J95</f>
        <v>18849.180614486508</v>
      </c>
      <c r="M205" s="105"/>
      <c r="N205" s="105"/>
      <c r="O205" s="104">
        <f t="shared" si="10"/>
        <v>0.99326099999999995</v>
      </c>
      <c r="P205" s="105"/>
      <c r="Q205" s="105"/>
      <c r="R205" s="105"/>
      <c r="S205" s="105"/>
    </row>
    <row r="206" spans="1:19" x14ac:dyDescent="0.25">
      <c r="A206" s="10">
        <v>12</v>
      </c>
      <c r="B206" s="101"/>
      <c r="C206" s="37">
        <v>931</v>
      </c>
      <c r="D206" s="10"/>
      <c r="E206" s="110" t="s">
        <v>869</v>
      </c>
      <c r="F206" s="105"/>
      <c r="G206" s="105"/>
      <c r="H206" s="105"/>
      <c r="I206" s="111">
        <f>ROUND(VLOOKUP("9931000",'[74]FERC 2021'!A:O,15,FALSE)/1000,9)</f>
        <v>1660.68363512</v>
      </c>
      <c r="J206" s="105"/>
      <c r="K206" s="105"/>
      <c r="L206" s="111">
        <f>+'[74]C-4 Supplement'!J96</f>
        <v>1649.4929123683492</v>
      </c>
      <c r="M206" s="105"/>
      <c r="N206" s="105"/>
      <c r="O206" s="104">
        <f t="shared" si="10"/>
        <v>0.99326099999999995</v>
      </c>
      <c r="P206" s="105"/>
      <c r="Q206" s="105"/>
      <c r="R206" s="105"/>
      <c r="S206" s="105"/>
    </row>
    <row r="207" spans="1:19" x14ac:dyDescent="0.25">
      <c r="A207" s="10">
        <v>13</v>
      </c>
      <c r="B207" s="101"/>
      <c r="C207" s="37">
        <v>935</v>
      </c>
      <c r="D207" s="10"/>
      <c r="E207" s="110" t="s">
        <v>3424</v>
      </c>
      <c r="F207" s="105"/>
      <c r="G207" s="105"/>
      <c r="H207" s="105"/>
      <c r="I207" s="111">
        <f>ROUND(VLOOKUP("9935000",'[74]FERC 2021'!A:O,15,FALSE)/1000,9)</f>
        <v>4283.3880459620004</v>
      </c>
      <c r="J207" s="105"/>
      <c r="K207" s="105"/>
      <c r="L207" s="111">
        <f>+'[74]C-4 Supplement'!J97</f>
        <v>4254.5239040830857</v>
      </c>
      <c r="M207" s="105"/>
      <c r="N207" s="105"/>
      <c r="O207" s="104">
        <f t="shared" si="10"/>
        <v>0.99326099999999995</v>
      </c>
      <c r="P207" s="105"/>
      <c r="Q207" s="105"/>
      <c r="R207" s="105"/>
      <c r="S207" s="105"/>
    </row>
    <row r="208" spans="1:19" x14ac:dyDescent="0.25">
      <c r="A208" s="10">
        <v>14</v>
      </c>
      <c r="B208" s="101"/>
      <c r="C208" s="37"/>
      <c r="D208" s="10"/>
      <c r="E208" s="114" t="s">
        <v>3527</v>
      </c>
      <c r="F208" s="105"/>
      <c r="G208" s="105"/>
      <c r="H208" s="105"/>
      <c r="I208" s="115">
        <f>SUM(I196:I207)</f>
        <v>150681.46307310497</v>
      </c>
      <c r="J208" s="105"/>
      <c r="K208" s="105"/>
      <c r="L208" s="115">
        <f>SUM(L196:L207)</f>
        <v>149666.07733592793</v>
      </c>
      <c r="M208" s="105"/>
      <c r="N208" s="105"/>
      <c r="O208" s="104">
        <f>IF(I208=0,0,ROUND(L208/I208,6))</f>
        <v>0.99326099999999995</v>
      </c>
      <c r="P208" s="105"/>
      <c r="Q208" s="105"/>
      <c r="R208" s="105"/>
      <c r="S208" s="105"/>
    </row>
    <row r="209" spans="1:19" x14ac:dyDescent="0.25">
      <c r="A209" s="10">
        <v>15</v>
      </c>
      <c r="B209" s="101"/>
      <c r="C209" s="37"/>
      <c r="D209" s="10"/>
      <c r="E209" s="10" t="s">
        <v>11</v>
      </c>
      <c r="F209" s="105"/>
      <c r="G209" s="105"/>
      <c r="H209" s="105"/>
      <c r="I209" s="105"/>
      <c r="J209" s="105"/>
      <c r="K209" s="105"/>
      <c r="L209" s="111"/>
      <c r="M209" s="105"/>
      <c r="N209" s="105"/>
      <c r="O209" s="112"/>
      <c r="P209" s="105"/>
      <c r="Q209" s="105"/>
      <c r="R209" s="105"/>
      <c r="S209" s="105"/>
    </row>
    <row r="210" spans="1:19" x14ac:dyDescent="0.25">
      <c r="A210" s="10">
        <v>16</v>
      </c>
      <c r="B210" s="101"/>
      <c r="C210" s="37"/>
      <c r="D210" s="10"/>
      <c r="E210" s="10" t="s">
        <v>11</v>
      </c>
      <c r="F210" s="105"/>
      <c r="G210" s="105"/>
      <c r="H210" s="105"/>
      <c r="J210" s="105"/>
      <c r="K210" s="105"/>
      <c r="M210" s="105"/>
      <c r="N210" s="105"/>
      <c r="O210" s="112"/>
      <c r="P210" s="105"/>
      <c r="Q210" s="105"/>
      <c r="R210" s="105"/>
      <c r="S210" s="105"/>
    </row>
    <row r="211" spans="1:19" x14ac:dyDescent="0.25">
      <c r="A211" s="10">
        <v>17</v>
      </c>
      <c r="B211" s="101"/>
      <c r="C211" s="61"/>
      <c r="D211" s="10"/>
      <c r="E211" s="110"/>
      <c r="I211" s="111"/>
      <c r="L211" s="111"/>
      <c r="O211" s="104"/>
      <c r="P211" s="105"/>
      <c r="Q211" s="105"/>
      <c r="R211" s="105"/>
      <c r="S211" s="105"/>
    </row>
    <row r="212" spans="1:19" x14ac:dyDescent="0.25">
      <c r="A212" s="10">
        <v>18</v>
      </c>
      <c r="B212" s="101"/>
      <c r="C212" s="61"/>
      <c r="D212" s="10"/>
      <c r="E212" s="10" t="s">
        <v>3528</v>
      </c>
      <c r="F212" s="105"/>
      <c r="G212" s="105"/>
      <c r="H212" s="105"/>
      <c r="I212" s="115">
        <f>+I208+I181+I174+I167+I159+I86+I108</f>
        <v>1019274.8248151399</v>
      </c>
      <c r="J212" s="105"/>
      <c r="K212" s="105"/>
      <c r="L212" s="115">
        <f>+L208+L181+L174+L167+L159+L86+L98+L107</f>
        <v>1016895.3607722061</v>
      </c>
      <c r="M212" s="105"/>
      <c r="N212" s="105"/>
      <c r="O212" s="104">
        <f>IF(I212=0,0,ROUND(L212/I212,6))</f>
        <v>0.99766600000000005</v>
      </c>
      <c r="P212" s="105"/>
      <c r="Q212" s="105"/>
      <c r="R212" s="105"/>
      <c r="S212" s="105"/>
    </row>
    <row r="213" spans="1:19" x14ac:dyDescent="0.25">
      <c r="A213" s="10">
        <v>19</v>
      </c>
      <c r="B213" s="101"/>
      <c r="C213" s="59"/>
      <c r="D213" s="10"/>
      <c r="E213" s="10" t="s">
        <v>11</v>
      </c>
      <c r="F213" s="105"/>
      <c r="G213" s="105"/>
      <c r="H213" s="105"/>
      <c r="I213" s="105"/>
      <c r="J213" s="105"/>
      <c r="K213" s="105"/>
      <c r="L213" s="105"/>
      <c r="M213" s="105"/>
      <c r="N213" s="105"/>
      <c r="O213" s="112"/>
      <c r="P213" s="105"/>
      <c r="Q213" s="105"/>
      <c r="R213" s="105"/>
      <c r="S213" s="105"/>
    </row>
    <row r="214" spans="1:19" x14ac:dyDescent="0.25">
      <c r="A214" s="10">
        <v>20</v>
      </c>
      <c r="B214" s="101"/>
      <c r="C214" s="59"/>
      <c r="D214" s="10"/>
      <c r="E214" s="10" t="s">
        <v>3529</v>
      </c>
      <c r="F214" s="105"/>
      <c r="G214" s="105"/>
      <c r="H214" s="105"/>
      <c r="I214" s="115">
        <f>+'[74]C-1'!G134</f>
        <v>374739.11972544593</v>
      </c>
      <c r="J214" s="105"/>
      <c r="K214" s="105"/>
      <c r="L214" s="115">
        <f>+'[74]C-1'!O134</f>
        <v>372264.73534556117</v>
      </c>
      <c r="M214" s="105"/>
      <c r="N214" s="105"/>
      <c r="O214" s="104">
        <f>IF(I214=0,0,ROUND(L214/I214,6))</f>
        <v>0.99339699999999997</v>
      </c>
      <c r="P214" s="105"/>
      <c r="Q214" s="105"/>
      <c r="R214" s="105"/>
      <c r="S214" s="105"/>
    </row>
    <row r="215" spans="1:19" x14ac:dyDescent="0.25">
      <c r="A215" s="10">
        <v>21</v>
      </c>
      <c r="B215" s="101"/>
      <c r="C215" s="37"/>
      <c r="D215" s="10"/>
      <c r="E215" s="10" t="s">
        <v>11</v>
      </c>
      <c r="F215" s="10"/>
      <c r="G215" s="10"/>
      <c r="H215" s="10"/>
      <c r="I215" s="10"/>
      <c r="J215" s="10"/>
      <c r="K215" s="10"/>
      <c r="L215" s="10"/>
      <c r="M215" s="10"/>
      <c r="N215" s="10"/>
      <c r="O215" s="112"/>
      <c r="P215" s="105"/>
      <c r="Q215" s="105"/>
      <c r="R215" s="105"/>
      <c r="S215" s="105"/>
    </row>
    <row r="216" spans="1:19" x14ac:dyDescent="0.25">
      <c r="A216" s="10">
        <v>22</v>
      </c>
      <c r="B216" s="101"/>
      <c r="C216" s="10"/>
      <c r="D216" s="10"/>
      <c r="E216" s="10" t="s">
        <v>3530</v>
      </c>
      <c r="F216" s="105"/>
      <c r="G216" s="105"/>
      <c r="H216" s="105"/>
      <c r="I216" s="105"/>
      <c r="J216" s="109"/>
      <c r="K216" s="109"/>
      <c r="L216" s="105"/>
      <c r="M216" s="105"/>
      <c r="N216" s="105"/>
      <c r="O216" s="112"/>
      <c r="P216" s="105"/>
      <c r="Q216" s="105"/>
      <c r="R216" s="105"/>
      <c r="S216" s="105"/>
    </row>
    <row r="217" spans="1:19" x14ac:dyDescent="0.25">
      <c r="A217" s="10">
        <v>23</v>
      </c>
      <c r="B217" s="101"/>
      <c r="C217" s="10"/>
      <c r="D217" s="10"/>
      <c r="E217" s="110" t="s">
        <v>3531</v>
      </c>
      <c r="F217" s="105"/>
      <c r="G217" s="105"/>
      <c r="H217" s="105"/>
      <c r="I217" s="111">
        <f>+[74]Accounts!D152/1000</f>
        <v>20343.662466665999</v>
      </c>
      <c r="J217" s="105"/>
      <c r="K217" s="105"/>
      <c r="L217" s="111">
        <f>+'[74]C-4 Supplement'!J98</f>
        <v>20188.254933986002</v>
      </c>
      <c r="M217" s="105"/>
      <c r="N217" s="105"/>
      <c r="O217" s="104">
        <f t="shared" ref="O217:O223" si="11">IF(I217=0,0,ROUND(L217/I217,6))</f>
        <v>0.99236100000000005</v>
      </c>
      <c r="P217" s="105"/>
      <c r="Q217" s="105"/>
      <c r="R217" s="105"/>
      <c r="S217" s="105"/>
    </row>
    <row r="218" spans="1:19" x14ac:dyDescent="0.25">
      <c r="A218" s="10">
        <v>24</v>
      </c>
      <c r="B218" s="101"/>
      <c r="C218" s="10"/>
      <c r="D218" s="10"/>
      <c r="E218" s="110" t="s">
        <v>3532</v>
      </c>
      <c r="F218" s="10"/>
      <c r="G218" s="10"/>
      <c r="H218" s="10"/>
      <c r="I218" s="133">
        <f>+[74]Accounts!D158/1000</f>
        <v>48361</v>
      </c>
      <c r="J218" s="10"/>
      <c r="K218" s="10"/>
      <c r="L218" s="111">
        <f>+'[74]C-4 Supplement'!J99</f>
        <v>48361</v>
      </c>
      <c r="M218" s="10"/>
      <c r="N218" s="10"/>
      <c r="O218" s="134">
        <f t="shared" si="11"/>
        <v>1</v>
      </c>
      <c r="P218" s="105"/>
      <c r="Q218" s="105"/>
      <c r="R218" s="105"/>
      <c r="S218" s="105"/>
    </row>
    <row r="219" spans="1:19" x14ac:dyDescent="0.25">
      <c r="A219" s="10">
        <v>25</v>
      </c>
      <c r="B219" s="101"/>
      <c r="C219" s="10"/>
      <c r="D219" s="10"/>
      <c r="E219" s="110" t="s">
        <v>3533</v>
      </c>
      <c r="F219" s="105"/>
      <c r="G219" s="105"/>
      <c r="H219" s="105"/>
      <c r="I219" s="111">
        <f>+[74]Accounts!D157/1000</f>
        <v>69480</v>
      </c>
      <c r="J219" s="105"/>
      <c r="K219" s="105"/>
      <c r="L219" s="111">
        <f>+'[74]C-4 Supplement'!J100</f>
        <v>68949.234441522072</v>
      </c>
      <c r="M219" s="105"/>
      <c r="N219" s="105"/>
      <c r="O219" s="104">
        <f t="shared" si="11"/>
        <v>0.99236100000000005</v>
      </c>
      <c r="P219" s="105"/>
      <c r="Q219" s="105"/>
      <c r="R219" s="105"/>
      <c r="S219" s="105"/>
    </row>
    <row r="220" spans="1:19" x14ac:dyDescent="0.25">
      <c r="A220" s="10">
        <v>26</v>
      </c>
      <c r="B220" s="101"/>
      <c r="C220" s="10"/>
      <c r="D220" s="10"/>
      <c r="E220" s="110" t="s">
        <v>3534</v>
      </c>
      <c r="F220" s="105"/>
      <c r="G220" s="105"/>
      <c r="H220" s="105"/>
      <c r="I220" s="111">
        <f>+([74]Accounts!D160+[74]Accounts!D161+[74]Accounts!D163+[74]Accounts!D151+[74]Accounts!D150+[74]Accounts!D155+[74]Accounts!D154+[74]Accounts!D149+[74]Accounts!D153+[74]Accounts!D156)/1000</f>
        <v>-5306.3987299992004</v>
      </c>
      <c r="J220" s="105"/>
      <c r="K220" s="105"/>
      <c r="L220" s="111">
        <f>+'[74]C-4 Supplement'!J101</f>
        <v>-5265.8625514523583</v>
      </c>
      <c r="M220" s="105"/>
      <c r="N220" s="105"/>
      <c r="O220" s="104">
        <f t="shared" si="11"/>
        <v>0.99236100000000005</v>
      </c>
      <c r="P220" s="105"/>
      <c r="Q220" s="105"/>
      <c r="R220" s="105"/>
      <c r="S220" s="105"/>
    </row>
    <row r="221" spans="1:19" x14ac:dyDescent="0.25">
      <c r="A221" s="10">
        <v>27</v>
      </c>
      <c r="B221" s="101"/>
      <c r="C221" s="10"/>
      <c r="D221" s="10"/>
      <c r="E221" s="110" t="s">
        <v>3535</v>
      </c>
      <c r="F221" s="105"/>
      <c r="G221" s="105"/>
      <c r="H221" s="105"/>
      <c r="I221" s="111">
        <f>+[74]Accounts!D162/1000</f>
        <v>1415</v>
      </c>
      <c r="J221" s="105"/>
      <c r="K221" s="105"/>
      <c r="L221" s="111">
        <f>+'[74]C-4 Supplement'!J102</f>
        <v>1415</v>
      </c>
      <c r="M221" s="105"/>
      <c r="N221" s="105"/>
      <c r="O221" s="134">
        <f t="shared" si="11"/>
        <v>1</v>
      </c>
      <c r="P221" s="105"/>
      <c r="Q221" s="105"/>
      <c r="R221" s="105"/>
      <c r="S221" s="105"/>
    </row>
    <row r="222" spans="1:19" x14ac:dyDescent="0.25">
      <c r="A222" s="10">
        <v>28</v>
      </c>
      <c r="B222" s="101"/>
      <c r="C222" s="10"/>
      <c r="D222" s="10"/>
      <c r="E222" s="110" t="s">
        <v>3536</v>
      </c>
      <c r="F222" s="105"/>
      <c r="G222" s="105"/>
      <c r="H222" s="105"/>
      <c r="I222" s="135">
        <f>+[74]Accounts!D159/1000</f>
        <v>47842</v>
      </c>
      <c r="J222" s="105"/>
      <c r="K222" s="105"/>
      <c r="L222" s="111">
        <f>+'[74]C-4 Supplement'!J103</f>
        <v>47842</v>
      </c>
      <c r="M222" s="105"/>
      <c r="N222" s="105"/>
      <c r="O222" s="134">
        <f t="shared" si="11"/>
        <v>1</v>
      </c>
      <c r="P222" s="105"/>
      <c r="Q222" s="105"/>
      <c r="R222" s="105"/>
      <c r="S222" s="105"/>
    </row>
    <row r="223" spans="1:19" x14ac:dyDescent="0.25">
      <c r="A223" s="10">
        <v>29</v>
      </c>
      <c r="B223" s="101"/>
      <c r="C223" s="10"/>
      <c r="D223" s="10"/>
      <c r="E223" s="10" t="s">
        <v>11</v>
      </c>
      <c r="F223" s="105"/>
      <c r="G223" s="105"/>
      <c r="H223" s="105"/>
      <c r="I223" s="115">
        <f>SUM(I217:I222)</f>
        <v>182135.26373666679</v>
      </c>
      <c r="J223" s="105"/>
      <c r="K223" s="105"/>
      <c r="L223" s="115">
        <f>SUM(L217:L222)</f>
        <v>181489.62682405571</v>
      </c>
      <c r="M223" s="105"/>
      <c r="N223" s="105"/>
      <c r="O223" s="104">
        <f t="shared" si="11"/>
        <v>0.99645499999999998</v>
      </c>
      <c r="P223" s="105"/>
      <c r="Q223" s="105"/>
      <c r="R223" s="105"/>
      <c r="S223" s="105"/>
    </row>
    <row r="224" spans="1:19" x14ac:dyDescent="0.25">
      <c r="A224" s="10">
        <v>30</v>
      </c>
      <c r="B224" s="101"/>
      <c r="C224" s="10"/>
      <c r="E224" s="10" t="s">
        <v>11</v>
      </c>
      <c r="F224" s="10"/>
      <c r="G224" s="10"/>
      <c r="H224" s="10"/>
      <c r="I224" s="10"/>
      <c r="J224" s="10"/>
      <c r="K224" s="10"/>
      <c r="L224" s="10"/>
      <c r="M224" s="10"/>
      <c r="N224" s="10"/>
      <c r="O224" s="102"/>
      <c r="P224" s="105"/>
      <c r="Q224" s="10"/>
      <c r="R224" s="105"/>
      <c r="S224" s="105"/>
    </row>
    <row r="225" spans="1:19" x14ac:dyDescent="0.25">
      <c r="A225" s="10">
        <v>31</v>
      </c>
      <c r="B225" s="101"/>
      <c r="C225" s="10"/>
      <c r="E225" s="10" t="s">
        <v>3537</v>
      </c>
      <c r="F225" s="105"/>
      <c r="G225" s="105"/>
      <c r="H225" s="105"/>
      <c r="I225" s="105"/>
      <c r="J225" s="105"/>
      <c r="K225" s="105"/>
      <c r="L225" s="105"/>
      <c r="M225" s="105"/>
      <c r="N225" s="102"/>
      <c r="O225" s="132"/>
      <c r="P225" s="105"/>
      <c r="Q225" s="105"/>
      <c r="R225" s="105"/>
      <c r="S225" s="105"/>
    </row>
    <row r="226" spans="1:19" x14ac:dyDescent="0.25">
      <c r="A226" s="10">
        <v>32</v>
      </c>
      <c r="B226" s="101"/>
      <c r="C226" s="10"/>
      <c r="E226" s="110" t="s">
        <v>3538</v>
      </c>
      <c r="F226" s="105"/>
      <c r="G226" s="105"/>
      <c r="I226" s="111">
        <f>+([74]Accounts!D112/1000)</f>
        <v>-49741.655749999969</v>
      </c>
      <c r="J226" s="105"/>
      <c r="K226" s="105"/>
      <c r="L226" s="111">
        <f>+'[74]C-4 Supplement'!J104</f>
        <v>-50696.435890720561</v>
      </c>
      <c r="M226" s="105"/>
      <c r="N226" s="105"/>
      <c r="O226" s="104">
        <f t="shared" ref="O226:O235" si="12">IF(I226=0,0,ROUND(L226/I226,6))</f>
        <v>1.0191950000000001</v>
      </c>
      <c r="P226" s="105"/>
      <c r="Q226" s="105" t="s">
        <v>11</v>
      </c>
      <c r="R226" s="105"/>
      <c r="S226" s="105"/>
    </row>
    <row r="227" spans="1:19" x14ac:dyDescent="0.25">
      <c r="A227" s="10">
        <v>33</v>
      </c>
      <c r="B227" s="101"/>
      <c r="C227" s="10"/>
      <c r="E227" s="110" t="s">
        <v>3539</v>
      </c>
      <c r="F227" s="105"/>
      <c r="G227" s="105"/>
      <c r="I227" s="111">
        <f>+([74]Accounts!D123/1000)</f>
        <v>15035.198260000001</v>
      </c>
      <c r="J227" s="105"/>
      <c r="K227" s="105"/>
      <c r="L227" s="111">
        <f>+'[74]C-4 Supplement'!J105</f>
        <v>15323.795583390161</v>
      </c>
      <c r="M227" s="105"/>
      <c r="N227" s="105"/>
      <c r="O227" s="104">
        <f t="shared" si="12"/>
        <v>1.0191950000000001</v>
      </c>
      <c r="P227" s="105"/>
      <c r="Q227" s="105"/>
      <c r="R227" s="105"/>
      <c r="S227" s="105"/>
    </row>
    <row r="228" spans="1:19" x14ac:dyDescent="0.25">
      <c r="A228" s="10">
        <v>34</v>
      </c>
      <c r="B228" s="101"/>
      <c r="C228" s="10"/>
      <c r="E228" s="110" t="s">
        <v>3540</v>
      </c>
      <c r="F228" s="105"/>
      <c r="G228" s="105"/>
      <c r="I228" s="111">
        <f>([74]Accounts!D128+[74]Accounts!D127)/1000</f>
        <v>86013.92542</v>
      </c>
      <c r="J228" s="105"/>
      <c r="K228" s="105"/>
      <c r="L228" s="111">
        <f>+'[74]C-4 Supplement'!J106</f>
        <v>85632.429104164126</v>
      </c>
      <c r="M228" s="105"/>
      <c r="N228" s="105"/>
      <c r="O228" s="104">
        <f t="shared" si="12"/>
        <v>0.99556500000000003</v>
      </c>
      <c r="P228" s="105"/>
      <c r="Q228" s="105"/>
      <c r="R228" s="105"/>
      <c r="S228" s="105"/>
    </row>
    <row r="229" spans="1:19" x14ac:dyDescent="0.25">
      <c r="A229" s="10">
        <v>35</v>
      </c>
      <c r="B229" s="101"/>
      <c r="C229" s="10"/>
      <c r="E229" s="10" t="s">
        <v>11</v>
      </c>
      <c r="F229" s="105"/>
      <c r="G229" s="105"/>
      <c r="I229" s="142">
        <f>SUM(I226:I228)</f>
        <v>51307.467930000028</v>
      </c>
      <c r="J229" s="105"/>
      <c r="K229" s="105"/>
      <c r="L229" s="142">
        <f>SUM(L226:L228)</f>
        <v>50259.788796833731</v>
      </c>
      <c r="M229" s="105"/>
      <c r="N229" s="105"/>
      <c r="O229" s="104">
        <f t="shared" si="12"/>
        <v>0.97958000000000001</v>
      </c>
      <c r="P229" s="105"/>
      <c r="Q229" s="105"/>
      <c r="R229" s="105"/>
      <c r="S229" s="105"/>
    </row>
    <row r="230" spans="1:19" x14ac:dyDescent="0.25">
      <c r="A230" s="10">
        <v>36</v>
      </c>
      <c r="B230" s="101"/>
      <c r="C230" s="10"/>
      <c r="E230" s="10" t="s">
        <v>11</v>
      </c>
      <c r="F230" s="10"/>
      <c r="G230" s="10"/>
      <c r="I230" s="136"/>
      <c r="J230" s="137"/>
      <c r="K230" s="10"/>
      <c r="L230" s="138"/>
      <c r="M230" s="10"/>
      <c r="N230" s="10"/>
      <c r="O230" s="112"/>
      <c r="P230" s="105"/>
      <c r="Q230" s="105"/>
      <c r="R230" s="105"/>
      <c r="S230" s="105"/>
    </row>
    <row r="231" spans="1:19" x14ac:dyDescent="0.25">
      <c r="A231" s="10">
        <v>37</v>
      </c>
      <c r="B231" s="101"/>
      <c r="C231" s="10"/>
      <c r="E231" s="10" t="s">
        <v>3541</v>
      </c>
      <c r="F231" s="105"/>
      <c r="G231" s="105"/>
      <c r="I231" s="135">
        <f>+'[74]2of3 Dec 2021'!T14/1000</f>
        <v>0</v>
      </c>
      <c r="J231" s="105"/>
      <c r="K231" s="105"/>
      <c r="L231" s="135">
        <f>+'[74]2of3 Dec 2021'!T17/1000</f>
        <v>0</v>
      </c>
      <c r="M231" s="105"/>
      <c r="N231" s="105"/>
      <c r="O231" s="104">
        <f t="shared" si="12"/>
        <v>0</v>
      </c>
      <c r="P231" s="105"/>
      <c r="Q231" s="105"/>
      <c r="R231" s="105"/>
      <c r="S231" s="105"/>
    </row>
    <row r="232" spans="1:19" x14ac:dyDescent="0.25">
      <c r="A232" s="10">
        <v>38</v>
      </c>
      <c r="B232" s="101"/>
      <c r="C232" s="10"/>
      <c r="E232" s="10" t="s">
        <v>11</v>
      </c>
      <c r="F232" s="105"/>
      <c r="G232" s="105"/>
      <c r="I232" s="139"/>
      <c r="J232" s="105"/>
      <c r="K232" s="105"/>
      <c r="L232" s="139"/>
      <c r="M232" s="105"/>
      <c r="N232" s="105"/>
      <c r="O232" s="112"/>
      <c r="P232" s="105"/>
      <c r="Q232" s="105"/>
      <c r="R232" s="105"/>
      <c r="S232" s="105"/>
    </row>
    <row r="233" spans="1:19" x14ac:dyDescent="0.25">
      <c r="A233" s="10">
        <v>39</v>
      </c>
      <c r="B233" s="101"/>
      <c r="C233" s="10"/>
      <c r="E233" s="10" t="s">
        <v>3542</v>
      </c>
      <c r="F233" s="105"/>
      <c r="G233" s="105"/>
      <c r="I233" s="135">
        <f>+I231+I229+I223+I214+I212</f>
        <v>1627456.6762072525</v>
      </c>
      <c r="J233" s="111"/>
      <c r="K233" s="111"/>
      <c r="L233" s="135">
        <f>+L231+L229+L223+L214+L212</f>
        <v>1620909.5117386566</v>
      </c>
      <c r="M233" s="105"/>
      <c r="N233" s="105"/>
      <c r="O233" s="104">
        <f t="shared" si="12"/>
        <v>0.995977</v>
      </c>
      <c r="P233" s="105"/>
      <c r="Q233" s="105"/>
      <c r="R233" s="105"/>
      <c r="S233" s="105"/>
    </row>
    <row r="234" spans="1:19" x14ac:dyDescent="0.25">
      <c r="A234" s="10">
        <v>40</v>
      </c>
      <c r="B234" s="101"/>
      <c r="C234" s="10"/>
      <c r="E234" s="10" t="s">
        <v>11</v>
      </c>
      <c r="F234" s="105"/>
      <c r="G234" s="105"/>
      <c r="I234" s="111"/>
      <c r="J234" s="111"/>
      <c r="K234" s="111"/>
      <c r="L234" s="111"/>
      <c r="M234" s="105"/>
      <c r="N234" s="105"/>
      <c r="O234" s="112"/>
      <c r="P234" s="105"/>
      <c r="Q234" s="105"/>
      <c r="R234" s="105"/>
      <c r="S234" s="105"/>
    </row>
    <row r="235" spans="1:19" ht="13.8" thickBot="1" x14ac:dyDescent="0.3">
      <c r="A235" s="10">
        <v>41</v>
      </c>
      <c r="B235" s="101"/>
      <c r="C235" s="10"/>
      <c r="D235" s="10"/>
      <c r="E235" s="10" t="s">
        <v>3543</v>
      </c>
      <c r="F235" s="105"/>
      <c r="G235" s="105"/>
      <c r="I235" s="140">
        <f>I13-I233</f>
        <v>403668.77477400377</v>
      </c>
      <c r="J235" s="111"/>
      <c r="K235" s="111"/>
      <c r="L235" s="140">
        <f>L13-L233</f>
        <v>402574.09536539973</v>
      </c>
      <c r="M235" s="105"/>
      <c r="N235" s="105"/>
      <c r="O235" s="104">
        <f t="shared" si="12"/>
        <v>0.99728799999999995</v>
      </c>
      <c r="P235" s="105"/>
      <c r="Q235" s="105"/>
      <c r="R235" s="105"/>
      <c r="S235" s="105"/>
    </row>
    <row r="236" spans="1:19" ht="13.8" thickTop="1" x14ac:dyDescent="0.25">
      <c r="A236" s="10">
        <v>42</v>
      </c>
      <c r="B236" s="101"/>
      <c r="C236" s="10"/>
      <c r="D236" s="10"/>
      <c r="P236" s="105"/>
      <c r="Q236" s="105"/>
      <c r="R236" s="105"/>
      <c r="S236" s="105"/>
    </row>
    <row r="237" spans="1:19" x14ac:dyDescent="0.25">
      <c r="A237" s="10">
        <v>43</v>
      </c>
      <c r="B237" s="101"/>
      <c r="C237" s="10"/>
      <c r="D237" s="10"/>
      <c r="P237" s="105"/>
      <c r="Q237" s="105"/>
      <c r="R237" s="105"/>
      <c r="S237" s="105"/>
    </row>
    <row r="238" spans="1:19" x14ac:dyDescent="0.25">
      <c r="A238" s="10">
        <v>44</v>
      </c>
      <c r="B238" s="101"/>
      <c r="C238" s="10"/>
      <c r="D238" s="10"/>
      <c r="P238" s="105"/>
      <c r="Q238" s="105"/>
      <c r="R238" s="105"/>
      <c r="S238" s="105"/>
    </row>
    <row r="239" spans="1:19" x14ac:dyDescent="0.25">
      <c r="A239" s="10">
        <v>45</v>
      </c>
      <c r="B239" s="101"/>
      <c r="C239" s="10"/>
      <c r="D239" s="10"/>
      <c r="P239" s="105"/>
      <c r="Q239" s="105"/>
      <c r="R239" s="105"/>
      <c r="S239" s="105"/>
    </row>
    <row r="240" spans="1:19" x14ac:dyDescent="0.25">
      <c r="A240" s="10">
        <v>46</v>
      </c>
      <c r="B240" s="101"/>
      <c r="C240" s="10"/>
      <c r="D240" s="10"/>
      <c r="P240" s="105"/>
      <c r="Q240" s="10"/>
      <c r="R240" s="105"/>
      <c r="S240" s="105"/>
    </row>
    <row r="241" spans="1:19" x14ac:dyDescent="0.25">
      <c r="A241" s="10">
        <v>47</v>
      </c>
      <c r="B241" s="101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5"/>
      <c r="Q241" s="10"/>
      <c r="R241" s="105"/>
      <c r="S241" s="105"/>
    </row>
    <row r="242" spans="1:19" x14ac:dyDescent="0.25">
      <c r="A242" s="10">
        <v>48</v>
      </c>
      <c r="B242" s="101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5"/>
      <c r="Q242" s="105" t="s">
        <v>11</v>
      </c>
      <c r="R242" s="105"/>
      <c r="S242" s="105"/>
    </row>
    <row r="243" spans="1:19" ht="13.8" thickBot="1" x14ac:dyDescent="0.3">
      <c r="A243" s="89">
        <v>49</v>
      </c>
      <c r="B243" s="89" t="s">
        <v>3431</v>
      </c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</row>
    <row r="1048576" spans="27:27" x14ac:dyDescent="0.25">
      <c r="AA1048576" s="141"/>
    </row>
  </sheetData>
  <printOptions horizontalCentered="1" verticalCentered="1"/>
  <pageMargins left="0.25" right="0" top="0" bottom="0" header="0.3" footer="0.3"/>
  <pageSetup paperSize="9" scale="72" orientation="landscape" r:id="rId1"/>
  <rowBreaks count="3" manualBreakCount="3">
    <brk id="61" max="16383" man="1"/>
    <brk id="122" max="16383" man="1"/>
    <brk id="183" max="16383" man="1"/>
  </rowBreaks>
  <customProperties>
    <customPr name="_pios_id" r:id="rId2"/>
    <customPr name="EpmWorksheetKeyString_GUID" r:id="rId3"/>
  </customProperties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B3003-01C3-4121-978F-08A04F6D1F44}">
  <sheetPr>
    <tabColor theme="5"/>
  </sheetPr>
  <dimension ref="A1:T262"/>
  <sheetViews>
    <sheetView topLeftCell="B1" zoomScaleNormal="100" zoomScaleSheetLayoutView="100" workbookViewId="0">
      <selection activeCell="R238" sqref="R238"/>
    </sheetView>
  </sheetViews>
  <sheetFormatPr defaultColWidth="9.109375" defaultRowHeight="14.1" customHeight="1" x14ac:dyDescent="0.2"/>
  <cols>
    <col min="1" max="1" width="4.6640625" style="10" customWidth="1"/>
    <col min="2" max="3" width="10.44140625" style="10" customWidth="1"/>
    <col min="4" max="4" width="10.44140625" style="10" hidden="1" customWidth="1"/>
    <col min="5" max="6" width="10.44140625" style="10" customWidth="1"/>
    <col min="7" max="7" width="11.6640625" style="10" customWidth="1"/>
    <col min="8" max="11" width="10.44140625" style="10" customWidth="1"/>
    <col min="12" max="12" width="11.109375" style="10" bestFit="1" customWidth="1"/>
    <col min="13" max="18" width="10.44140625" style="10" customWidth="1"/>
    <col min="19" max="19" width="10.6640625" style="10" customWidth="1"/>
    <col min="20" max="16384" width="9.109375" style="10"/>
  </cols>
  <sheetData>
    <row r="1" spans="1:20" ht="14.1" customHeight="1" thickBot="1" x14ac:dyDescent="0.25">
      <c r="A1" s="256" t="s">
        <v>3373</v>
      </c>
      <c r="B1" s="256"/>
      <c r="C1" s="217"/>
      <c r="D1" s="217"/>
      <c r="E1" s="217"/>
      <c r="F1" s="217"/>
      <c r="G1" s="217"/>
      <c r="H1" s="217" t="s">
        <v>3374</v>
      </c>
      <c r="I1" s="217"/>
      <c r="J1" s="217"/>
      <c r="K1" s="217"/>
      <c r="L1" s="217"/>
      <c r="M1" s="217"/>
      <c r="N1" s="217"/>
      <c r="O1" s="208"/>
      <c r="P1" s="217"/>
      <c r="Q1" s="217"/>
      <c r="R1" s="217"/>
      <c r="S1" s="218" t="s">
        <v>3375</v>
      </c>
      <c r="T1" s="219"/>
    </row>
    <row r="2" spans="1:20" ht="14.1" customHeight="1" x14ac:dyDescent="0.2">
      <c r="A2" s="257" t="s">
        <v>3</v>
      </c>
      <c r="B2" s="257"/>
      <c r="C2" s="219"/>
      <c r="D2" s="219"/>
      <c r="E2" s="219"/>
      <c r="F2" s="220" t="s">
        <v>4</v>
      </c>
      <c r="G2" s="219"/>
      <c r="H2" s="219" t="s">
        <v>3376</v>
      </c>
      <c r="I2" s="219"/>
      <c r="J2" s="219"/>
      <c r="K2" s="221"/>
      <c r="L2" s="221"/>
      <c r="M2" s="219"/>
      <c r="N2" s="221"/>
      <c r="O2" s="209"/>
      <c r="P2" s="221" t="s">
        <v>6</v>
      </c>
      <c r="Q2" s="219"/>
      <c r="R2" s="219"/>
      <c r="S2" s="222"/>
      <c r="T2" s="219"/>
    </row>
    <row r="3" spans="1:20" ht="14.1" customHeight="1" x14ac:dyDescent="0.2">
      <c r="A3" s="258"/>
      <c r="B3" s="258"/>
      <c r="C3" s="219"/>
      <c r="D3" s="219"/>
      <c r="E3" s="219"/>
      <c r="F3" s="219"/>
      <c r="G3" s="219"/>
      <c r="H3" s="219" t="s">
        <v>3377</v>
      </c>
      <c r="I3" s="219"/>
      <c r="J3" s="219"/>
      <c r="K3" s="223"/>
      <c r="L3" s="222"/>
      <c r="M3" s="219"/>
      <c r="N3" s="219"/>
      <c r="O3" s="210"/>
      <c r="P3" s="223" t="s">
        <v>8</v>
      </c>
      <c r="Q3" s="222" t="s">
        <v>81</v>
      </c>
      <c r="R3" s="219"/>
      <c r="S3" s="223"/>
      <c r="T3" s="219"/>
    </row>
    <row r="4" spans="1:20" ht="14.1" customHeight="1" x14ac:dyDescent="0.2">
      <c r="A4" s="258" t="s">
        <v>10</v>
      </c>
      <c r="B4" s="258"/>
      <c r="C4" s="219"/>
      <c r="D4" s="219"/>
      <c r="E4" s="219"/>
      <c r="F4" s="219"/>
      <c r="G4" s="219"/>
      <c r="H4" s="219"/>
      <c r="I4" s="219"/>
      <c r="J4" s="219"/>
      <c r="K4" s="223"/>
      <c r="L4" s="222"/>
      <c r="M4" s="223"/>
      <c r="N4" s="219"/>
      <c r="O4" s="207"/>
      <c r="P4" s="223"/>
      <c r="Q4" s="222" t="s">
        <v>82</v>
      </c>
      <c r="R4" s="219"/>
      <c r="S4" s="223"/>
      <c r="T4" s="219"/>
    </row>
    <row r="5" spans="1:20" ht="14.1" customHeight="1" x14ac:dyDescent="0.2">
      <c r="A5" s="258"/>
      <c r="B5" s="258"/>
      <c r="C5" s="219"/>
      <c r="D5" s="219"/>
      <c r="E5" s="219"/>
      <c r="F5" s="219"/>
      <c r="G5" s="219"/>
      <c r="H5" s="219"/>
      <c r="I5" s="219"/>
      <c r="J5" s="219"/>
      <c r="K5" s="223"/>
      <c r="L5" s="222"/>
      <c r="M5" s="223"/>
      <c r="N5" s="219"/>
      <c r="O5" s="207"/>
      <c r="P5" s="223"/>
      <c r="Q5" s="222" t="s">
        <v>83</v>
      </c>
      <c r="R5" s="219"/>
      <c r="S5" s="223"/>
      <c r="T5" s="219"/>
    </row>
    <row r="6" spans="1:20" ht="14.1" customHeight="1" x14ac:dyDescent="0.2">
      <c r="A6" s="258"/>
      <c r="B6" s="258"/>
      <c r="C6" s="219"/>
      <c r="D6" s="219"/>
      <c r="E6" s="219"/>
      <c r="F6" s="219"/>
      <c r="G6" s="219"/>
      <c r="H6" s="219"/>
      <c r="I6" s="219"/>
      <c r="J6" s="219"/>
      <c r="K6" s="223"/>
      <c r="L6" s="222"/>
      <c r="M6" s="223"/>
      <c r="N6" s="219"/>
      <c r="O6" s="207"/>
      <c r="P6" s="219"/>
      <c r="Q6" s="219" t="s">
        <v>3544</v>
      </c>
      <c r="R6" s="219"/>
      <c r="S6" s="223"/>
      <c r="T6" s="219"/>
    </row>
    <row r="7" spans="1:20" ht="14.1" customHeight="1" thickBot="1" x14ac:dyDescent="0.25">
      <c r="A7" s="256" t="s">
        <v>3545</v>
      </c>
      <c r="B7" s="256"/>
      <c r="C7" s="217"/>
      <c r="D7" s="217"/>
      <c r="E7" s="217"/>
      <c r="F7" s="217"/>
      <c r="G7" s="217"/>
      <c r="H7" s="217"/>
      <c r="I7" s="217" t="s">
        <v>16</v>
      </c>
      <c r="J7" s="217"/>
      <c r="K7" s="217"/>
      <c r="L7" s="217"/>
      <c r="M7" s="217"/>
      <c r="N7" s="217"/>
      <c r="O7" s="208"/>
      <c r="P7" s="217"/>
      <c r="Q7" s="217" t="s">
        <v>3546</v>
      </c>
      <c r="R7" s="217"/>
      <c r="S7" s="217"/>
      <c r="T7" s="219"/>
    </row>
    <row r="8" spans="1:20" ht="14.1" customHeight="1" x14ac:dyDescent="0.2">
      <c r="A8" s="257"/>
      <c r="B8" s="257"/>
      <c r="C8" s="224"/>
      <c r="D8" s="224"/>
      <c r="E8" s="224"/>
      <c r="F8" s="224"/>
      <c r="G8" s="224"/>
      <c r="H8" s="224"/>
      <c r="I8" s="211"/>
      <c r="J8" s="211"/>
      <c r="K8" s="211"/>
      <c r="L8" s="211"/>
      <c r="M8" s="211"/>
      <c r="N8" s="211"/>
      <c r="O8" s="211"/>
      <c r="P8" s="224"/>
      <c r="Q8" s="224"/>
      <c r="R8" s="224"/>
      <c r="S8" s="224"/>
      <c r="T8" s="219"/>
    </row>
    <row r="9" spans="1:20" ht="14.1" customHeight="1" x14ac:dyDescent="0.2">
      <c r="A9" s="258"/>
      <c r="B9" s="258"/>
      <c r="C9" s="224"/>
      <c r="D9" s="224"/>
      <c r="E9" s="224"/>
      <c r="F9" s="224"/>
      <c r="G9" s="224"/>
      <c r="H9" s="224"/>
      <c r="I9" s="237">
        <v>-1</v>
      </c>
      <c r="J9" s="211"/>
      <c r="K9" s="211"/>
      <c r="L9" s="237">
        <v>-2</v>
      </c>
      <c r="M9" s="211"/>
      <c r="N9" s="211"/>
      <c r="O9" s="211">
        <v>-3</v>
      </c>
      <c r="P9" s="224"/>
      <c r="Q9" s="224"/>
      <c r="R9" s="224"/>
      <c r="S9" s="224"/>
      <c r="T9" s="219"/>
    </row>
    <row r="10" spans="1:20" ht="14.1" customHeight="1" x14ac:dyDescent="0.2">
      <c r="A10" s="258"/>
      <c r="B10" s="258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11" t="s">
        <v>3379</v>
      </c>
      <c r="P10" s="224"/>
      <c r="Q10" s="224"/>
      <c r="R10" s="224"/>
      <c r="S10" s="224"/>
      <c r="T10" s="219"/>
    </row>
    <row r="11" spans="1:20" ht="14.1" customHeight="1" x14ac:dyDescent="0.2">
      <c r="A11" s="258" t="s">
        <v>33</v>
      </c>
      <c r="B11" s="258"/>
      <c r="C11" s="224" t="s">
        <v>34</v>
      </c>
      <c r="D11" s="224"/>
      <c r="E11" s="224"/>
      <c r="F11" s="224" t="s">
        <v>34</v>
      </c>
      <c r="G11" s="224"/>
      <c r="H11" s="224"/>
      <c r="I11" s="224" t="s">
        <v>3380</v>
      </c>
      <c r="J11" s="224"/>
      <c r="K11" s="224"/>
      <c r="L11" s="224" t="s">
        <v>3381</v>
      </c>
      <c r="M11" s="224"/>
      <c r="N11" s="224"/>
      <c r="O11" s="211" t="s">
        <v>3382</v>
      </c>
      <c r="P11" s="224"/>
      <c r="Q11" s="224"/>
      <c r="R11" s="224"/>
      <c r="S11" s="224"/>
      <c r="T11" s="219"/>
    </row>
    <row r="12" spans="1:20" ht="14.1" customHeight="1" thickBot="1" x14ac:dyDescent="0.25">
      <c r="A12" s="256" t="s">
        <v>39</v>
      </c>
      <c r="B12" s="256"/>
      <c r="C12" s="225" t="s">
        <v>39</v>
      </c>
      <c r="D12" s="225"/>
      <c r="E12" s="225"/>
      <c r="F12" s="225" t="s">
        <v>3383</v>
      </c>
      <c r="G12" s="225"/>
      <c r="H12" s="225"/>
      <c r="I12" s="225" t="s">
        <v>3384</v>
      </c>
      <c r="J12" s="225"/>
      <c r="K12" s="225"/>
      <c r="L12" s="225" t="s">
        <v>3379</v>
      </c>
      <c r="M12" s="225"/>
      <c r="N12" s="225"/>
      <c r="O12" s="212" t="s">
        <v>3385</v>
      </c>
      <c r="P12" s="225"/>
      <c r="Q12" s="225"/>
      <c r="R12" s="225"/>
      <c r="S12" s="225"/>
      <c r="T12" s="219"/>
    </row>
    <row r="13" spans="1:20" ht="14.1" customHeight="1" x14ac:dyDescent="0.2">
      <c r="A13" s="257">
        <v>1</v>
      </c>
      <c r="B13" s="257"/>
      <c r="C13" s="224"/>
      <c r="D13" s="219"/>
      <c r="E13" s="219"/>
      <c r="F13" s="219"/>
      <c r="G13" s="219"/>
      <c r="H13" s="219"/>
      <c r="I13" s="193"/>
      <c r="J13" s="193"/>
      <c r="K13" s="193"/>
      <c r="L13" s="193"/>
      <c r="M13" s="193"/>
      <c r="N13" s="193"/>
      <c r="O13" s="207"/>
      <c r="P13" s="219"/>
      <c r="Q13" s="219"/>
      <c r="R13" s="219"/>
      <c r="S13" s="219"/>
      <c r="T13" s="219"/>
    </row>
    <row r="14" spans="1:20" ht="14.1" customHeight="1" x14ac:dyDescent="0.2">
      <c r="A14" s="258">
        <v>2</v>
      </c>
      <c r="B14" s="258"/>
      <c r="C14" s="224" t="s">
        <v>3547</v>
      </c>
      <c r="D14" s="219"/>
      <c r="E14" s="219" t="s">
        <v>3548</v>
      </c>
      <c r="F14" s="219"/>
      <c r="G14" s="219"/>
      <c r="H14" s="219"/>
      <c r="I14" s="193">
        <v>2566765</v>
      </c>
      <c r="J14" s="193"/>
      <c r="K14" s="193"/>
      <c r="L14" s="193">
        <v>2566765</v>
      </c>
      <c r="M14" s="193"/>
      <c r="N14" s="193"/>
      <c r="O14" s="207">
        <v>1</v>
      </c>
      <c r="P14" s="219"/>
      <c r="Q14" s="219"/>
      <c r="R14" s="219"/>
      <c r="S14" s="219"/>
      <c r="T14" s="219"/>
    </row>
    <row r="15" spans="1:20" ht="14.1" customHeight="1" x14ac:dyDescent="0.2">
      <c r="A15" s="258">
        <v>3</v>
      </c>
      <c r="B15" s="258"/>
      <c r="C15" s="224" t="s">
        <v>3549</v>
      </c>
      <c r="D15" s="219"/>
      <c r="E15" s="219" t="s">
        <v>3550</v>
      </c>
      <c r="F15" s="219"/>
      <c r="G15" s="219"/>
      <c r="H15" s="219"/>
      <c r="I15" s="193">
        <v>31021</v>
      </c>
      <c r="J15" s="193"/>
      <c r="K15" s="193"/>
      <c r="L15" s="193">
        <v>23010</v>
      </c>
      <c r="M15" s="193"/>
      <c r="N15" s="193"/>
      <c r="O15" s="207">
        <v>0.74175599999999997</v>
      </c>
      <c r="P15" s="219"/>
      <c r="Q15" s="219"/>
      <c r="R15" s="219"/>
      <c r="S15" s="219"/>
      <c r="T15" s="219"/>
    </row>
    <row r="16" spans="1:20" ht="14.1" customHeight="1" x14ac:dyDescent="0.2">
      <c r="A16" s="258">
        <v>4</v>
      </c>
      <c r="B16" s="258"/>
      <c r="C16" s="219"/>
      <c r="D16" s="219"/>
      <c r="E16" s="219"/>
      <c r="F16" s="219"/>
      <c r="G16" s="219"/>
      <c r="H16" s="219"/>
      <c r="I16" s="193"/>
      <c r="J16" s="193"/>
      <c r="K16" s="193"/>
      <c r="L16" s="193"/>
      <c r="M16" s="193"/>
      <c r="N16" s="193"/>
      <c r="O16" s="207"/>
      <c r="P16" s="219"/>
      <c r="Q16" s="219"/>
      <c r="R16" s="219"/>
      <c r="S16" s="219"/>
      <c r="T16" s="219"/>
    </row>
    <row r="17" spans="1:20" ht="14.1" customHeight="1" x14ac:dyDescent="0.2">
      <c r="A17" s="258">
        <v>5</v>
      </c>
      <c r="B17" s="258"/>
      <c r="C17" s="219"/>
      <c r="D17" s="219"/>
      <c r="E17" s="219" t="s">
        <v>3551</v>
      </c>
      <c r="F17" s="219"/>
      <c r="G17" s="219"/>
      <c r="H17" s="219"/>
      <c r="I17" s="227">
        <v>2597787</v>
      </c>
      <c r="J17" s="193"/>
      <c r="K17" s="193"/>
      <c r="L17" s="227">
        <v>2589776</v>
      </c>
      <c r="M17" s="193"/>
      <c r="N17" s="193"/>
      <c r="O17" s="213">
        <v>0.99691600000000002</v>
      </c>
      <c r="P17" s="219"/>
      <c r="Q17" s="219"/>
      <c r="R17" s="219"/>
      <c r="S17" s="219"/>
      <c r="T17" s="219"/>
    </row>
    <row r="18" spans="1:20" ht="14.1" customHeight="1" x14ac:dyDescent="0.2">
      <c r="A18" s="258">
        <v>6</v>
      </c>
      <c r="B18" s="258"/>
      <c r="C18" s="219"/>
      <c r="D18" s="219"/>
      <c r="E18" s="219"/>
      <c r="F18" s="219"/>
      <c r="G18" s="219"/>
      <c r="H18" s="219"/>
      <c r="I18" s="193"/>
      <c r="J18" s="193"/>
      <c r="K18" s="193"/>
      <c r="L18" s="193"/>
      <c r="M18" s="193"/>
      <c r="N18" s="193"/>
      <c r="O18" s="207"/>
      <c r="P18" s="219"/>
      <c r="Q18" s="219"/>
      <c r="R18" s="219"/>
      <c r="S18" s="219"/>
      <c r="T18" s="219"/>
    </row>
    <row r="19" spans="1:20" ht="14.1" customHeight="1" x14ac:dyDescent="0.2">
      <c r="A19" s="258">
        <v>7</v>
      </c>
      <c r="B19" s="258"/>
      <c r="C19" s="224"/>
      <c r="D19" s="219"/>
      <c r="E19" s="219" t="s">
        <v>3552</v>
      </c>
      <c r="F19" s="219"/>
      <c r="G19" s="219"/>
      <c r="H19" s="219"/>
      <c r="I19" s="193"/>
      <c r="J19" s="193"/>
      <c r="K19" s="193"/>
      <c r="L19" s="193"/>
      <c r="M19" s="193"/>
      <c r="N19" s="193"/>
      <c r="O19" s="207"/>
      <c r="P19" s="219"/>
      <c r="Q19" s="219"/>
      <c r="R19" s="219"/>
      <c r="S19" s="219"/>
      <c r="T19" s="219"/>
    </row>
    <row r="20" spans="1:20" ht="14.1" customHeight="1" x14ac:dyDescent="0.2">
      <c r="A20" s="258">
        <v>8</v>
      </c>
      <c r="B20" s="258"/>
      <c r="C20" s="224"/>
      <c r="D20" s="219"/>
      <c r="E20" s="219" t="s">
        <v>3553</v>
      </c>
      <c r="F20" s="219"/>
      <c r="G20" s="219"/>
      <c r="H20" s="219"/>
      <c r="I20" s="193"/>
      <c r="J20" s="193"/>
      <c r="K20" s="193"/>
      <c r="L20" s="193"/>
      <c r="M20" s="193"/>
      <c r="N20" s="193"/>
      <c r="O20" s="207"/>
      <c r="P20" s="219"/>
      <c r="Q20" s="219"/>
      <c r="R20" s="219"/>
      <c r="S20" s="219"/>
      <c r="T20" s="219"/>
    </row>
    <row r="21" spans="1:20" ht="14.1" customHeight="1" x14ac:dyDescent="0.2">
      <c r="A21" s="258">
        <v>9</v>
      </c>
      <c r="B21" s="258"/>
      <c r="C21" s="224"/>
      <c r="D21" s="219"/>
      <c r="E21" s="219" t="s">
        <v>3554</v>
      </c>
      <c r="F21" s="219"/>
      <c r="G21" s="219"/>
      <c r="H21" s="219"/>
      <c r="I21" s="193"/>
      <c r="J21" s="193"/>
      <c r="K21" s="193"/>
      <c r="L21" s="193"/>
      <c r="M21" s="193"/>
      <c r="N21" s="193"/>
      <c r="O21" s="207"/>
      <c r="P21" s="219"/>
      <c r="Q21" s="219"/>
      <c r="R21" s="219"/>
      <c r="S21" s="219"/>
      <c r="T21" s="219"/>
    </row>
    <row r="22" spans="1:20" ht="14.1" customHeight="1" x14ac:dyDescent="0.2">
      <c r="A22" s="258">
        <v>10</v>
      </c>
      <c r="B22" s="258"/>
      <c r="C22" s="224">
        <v>500</v>
      </c>
      <c r="D22" s="219"/>
      <c r="E22" s="219" t="s">
        <v>3555</v>
      </c>
      <c r="F22" s="219"/>
      <c r="G22" s="219"/>
      <c r="H22" s="219"/>
      <c r="I22" s="193">
        <v>5637</v>
      </c>
      <c r="J22" s="193"/>
      <c r="K22" s="193"/>
      <c r="L22" s="193">
        <v>5618</v>
      </c>
      <c r="M22" s="193"/>
      <c r="N22" s="193"/>
      <c r="O22" s="207">
        <v>0.99650499999999997</v>
      </c>
      <c r="P22" s="219"/>
      <c r="Q22" s="219"/>
      <c r="R22" s="219"/>
      <c r="S22" s="219"/>
      <c r="T22" s="219"/>
    </row>
    <row r="23" spans="1:20" ht="14.1" customHeight="1" x14ac:dyDescent="0.2">
      <c r="A23" s="258">
        <v>11</v>
      </c>
      <c r="B23" s="258"/>
      <c r="C23" s="224">
        <v>501</v>
      </c>
      <c r="D23" s="219"/>
      <c r="E23" s="219" t="s">
        <v>3556</v>
      </c>
      <c r="F23" s="219"/>
      <c r="G23" s="219"/>
      <c r="H23" s="219"/>
      <c r="I23" s="193">
        <v>15536</v>
      </c>
      <c r="J23" s="193"/>
      <c r="K23" s="193"/>
      <c r="L23" s="193">
        <v>15536</v>
      </c>
      <c r="M23" s="193"/>
      <c r="N23" s="193"/>
      <c r="O23" s="207">
        <v>1</v>
      </c>
      <c r="P23" s="219"/>
      <c r="Q23" s="219"/>
      <c r="R23" s="219"/>
      <c r="S23" s="219"/>
      <c r="T23" s="219"/>
    </row>
    <row r="24" spans="1:20" ht="14.1" customHeight="1" x14ac:dyDescent="0.2">
      <c r="A24" s="258">
        <v>12</v>
      </c>
      <c r="B24" s="258"/>
      <c r="C24" s="224">
        <v>502</v>
      </c>
      <c r="D24" s="219"/>
      <c r="E24" s="219" t="s">
        <v>3557</v>
      </c>
      <c r="F24" s="219"/>
      <c r="G24" s="219"/>
      <c r="H24" s="219"/>
      <c r="I24" s="193">
        <v>11521</v>
      </c>
      <c r="J24" s="193"/>
      <c r="K24" s="193"/>
      <c r="L24" s="193">
        <v>11481</v>
      </c>
      <c r="M24" s="193"/>
      <c r="N24" s="193"/>
      <c r="O24" s="207">
        <v>0.99650499999999997</v>
      </c>
      <c r="P24" s="219"/>
      <c r="Q24" s="219"/>
      <c r="R24" s="219"/>
      <c r="S24" s="219"/>
      <c r="T24" s="219"/>
    </row>
    <row r="25" spans="1:20" ht="14.1" customHeight="1" x14ac:dyDescent="0.2">
      <c r="A25" s="258">
        <v>13</v>
      </c>
      <c r="B25" s="258"/>
      <c r="C25" s="224">
        <v>503</v>
      </c>
      <c r="D25" s="219"/>
      <c r="E25" s="219" t="s">
        <v>3558</v>
      </c>
      <c r="F25" s="219"/>
      <c r="G25" s="219"/>
      <c r="H25" s="219"/>
      <c r="I25" s="193" t="s">
        <v>3559</v>
      </c>
      <c r="J25" s="193"/>
      <c r="K25" s="193"/>
      <c r="L25" s="193" t="s">
        <v>3560</v>
      </c>
      <c r="M25" s="193"/>
      <c r="N25" s="193"/>
      <c r="O25" s="207">
        <v>0.99650499999999997</v>
      </c>
      <c r="P25" s="219"/>
      <c r="Q25" s="219"/>
      <c r="R25" s="219"/>
      <c r="S25" s="219"/>
      <c r="T25" s="219"/>
    </row>
    <row r="26" spans="1:20" ht="14.1" customHeight="1" x14ac:dyDescent="0.2">
      <c r="A26" s="258">
        <v>14</v>
      </c>
      <c r="B26" s="258"/>
      <c r="C26" s="224">
        <v>505</v>
      </c>
      <c r="D26" s="219"/>
      <c r="E26" s="219" t="s">
        <v>3561</v>
      </c>
      <c r="F26" s="219"/>
      <c r="G26" s="219"/>
      <c r="H26" s="219"/>
      <c r="I26" s="193">
        <v>243</v>
      </c>
      <c r="J26" s="193"/>
      <c r="K26" s="193"/>
      <c r="L26" s="193">
        <v>242</v>
      </c>
      <c r="M26" s="193"/>
      <c r="N26" s="193"/>
      <c r="O26" s="207">
        <v>0.99650499999999997</v>
      </c>
      <c r="P26" s="219"/>
      <c r="Q26" s="219"/>
      <c r="R26" s="219"/>
      <c r="S26" s="219"/>
      <c r="T26" s="219"/>
    </row>
    <row r="27" spans="1:20" ht="14.1" customHeight="1" x14ac:dyDescent="0.2">
      <c r="A27" s="258">
        <v>15</v>
      </c>
      <c r="B27" s="258"/>
      <c r="C27" s="224">
        <v>506</v>
      </c>
      <c r="D27" s="219"/>
      <c r="E27" s="219" t="s">
        <v>3562</v>
      </c>
      <c r="F27" s="219"/>
      <c r="G27" s="219"/>
      <c r="H27" s="219"/>
      <c r="I27" s="193">
        <v>4976</v>
      </c>
      <c r="J27" s="193"/>
      <c r="K27" s="193"/>
      <c r="L27" s="193">
        <v>4958</v>
      </c>
      <c r="M27" s="193"/>
      <c r="N27" s="193"/>
      <c r="O27" s="207">
        <v>0.99650499999999997</v>
      </c>
      <c r="P27" s="219"/>
      <c r="Q27" s="219"/>
      <c r="R27" s="219"/>
      <c r="S27" s="219"/>
      <c r="T27" s="219"/>
    </row>
    <row r="28" spans="1:20" ht="14.1" customHeight="1" x14ac:dyDescent="0.2">
      <c r="A28" s="258">
        <v>16</v>
      </c>
      <c r="B28" s="258"/>
      <c r="C28" s="224">
        <v>507</v>
      </c>
      <c r="D28" s="219"/>
      <c r="E28" s="219" t="s">
        <v>3563</v>
      </c>
      <c r="F28" s="219"/>
      <c r="G28" s="219"/>
      <c r="H28" s="219"/>
      <c r="I28" s="193">
        <v>24</v>
      </c>
      <c r="J28" s="193"/>
      <c r="K28" s="193"/>
      <c r="L28" s="193">
        <v>24</v>
      </c>
      <c r="M28" s="193"/>
      <c r="N28" s="193"/>
      <c r="O28" s="207">
        <v>0.99650499999999997</v>
      </c>
      <c r="P28" s="219"/>
      <c r="Q28" s="219"/>
      <c r="R28" s="219"/>
      <c r="S28" s="219"/>
      <c r="T28" s="219"/>
    </row>
    <row r="29" spans="1:20" ht="14.1" customHeight="1" x14ac:dyDescent="0.2">
      <c r="A29" s="258">
        <v>17</v>
      </c>
      <c r="B29" s="258"/>
      <c r="C29" s="224">
        <v>509</v>
      </c>
      <c r="D29" s="219"/>
      <c r="E29" s="219" t="s">
        <v>3564</v>
      </c>
      <c r="F29" s="219"/>
      <c r="G29" s="219"/>
      <c r="H29" s="219"/>
      <c r="I29" s="193">
        <v>10</v>
      </c>
      <c r="J29" s="193"/>
      <c r="K29" s="193"/>
      <c r="L29" s="193">
        <v>10</v>
      </c>
      <c r="M29" s="193"/>
      <c r="N29" s="193"/>
      <c r="O29" s="207">
        <v>1</v>
      </c>
      <c r="P29" s="219"/>
      <c r="Q29" s="219"/>
      <c r="R29" s="219"/>
      <c r="S29" s="219"/>
      <c r="T29" s="219"/>
    </row>
    <row r="30" spans="1:20" ht="14.1" customHeight="1" x14ac:dyDescent="0.2">
      <c r="A30" s="258">
        <v>18</v>
      </c>
      <c r="B30" s="258"/>
      <c r="C30" s="224"/>
      <c r="D30" s="219"/>
      <c r="E30" s="219" t="s">
        <v>3565</v>
      </c>
      <c r="F30" s="219"/>
      <c r="G30" s="219"/>
      <c r="H30" s="219"/>
      <c r="I30" s="227">
        <v>37947</v>
      </c>
      <c r="J30" s="193"/>
      <c r="K30" s="193"/>
      <c r="L30" s="227">
        <v>37868</v>
      </c>
      <c r="M30" s="193"/>
      <c r="N30" s="193"/>
      <c r="O30" s="213">
        <v>0.99793699999999996</v>
      </c>
      <c r="P30" s="219"/>
      <c r="Q30" s="219"/>
      <c r="R30" s="219"/>
      <c r="S30" s="219"/>
      <c r="T30" s="219"/>
    </row>
    <row r="31" spans="1:20" ht="14.1" customHeight="1" x14ac:dyDescent="0.2">
      <c r="A31" s="258">
        <v>19</v>
      </c>
      <c r="B31" s="258"/>
      <c r="C31" s="224"/>
      <c r="D31" s="219"/>
      <c r="E31" s="219" t="s">
        <v>3566</v>
      </c>
      <c r="F31" s="219"/>
      <c r="G31" s="219"/>
      <c r="H31" s="219"/>
      <c r="I31" s="193"/>
      <c r="J31" s="193"/>
      <c r="K31" s="193"/>
      <c r="L31" s="193"/>
      <c r="M31" s="193"/>
      <c r="N31" s="193"/>
      <c r="O31" s="207"/>
      <c r="P31" s="219"/>
      <c r="Q31" s="219"/>
      <c r="R31" s="219"/>
      <c r="S31" s="219"/>
      <c r="T31" s="219"/>
    </row>
    <row r="32" spans="1:20" ht="14.1" customHeight="1" x14ac:dyDescent="0.2">
      <c r="A32" s="258">
        <v>20</v>
      </c>
      <c r="B32" s="258"/>
      <c r="C32" s="224">
        <v>510</v>
      </c>
      <c r="D32" s="219"/>
      <c r="E32" s="219" t="s">
        <v>3567</v>
      </c>
      <c r="F32" s="219"/>
      <c r="G32" s="219"/>
      <c r="H32" s="219"/>
      <c r="I32" s="193" t="s">
        <v>3560</v>
      </c>
      <c r="J32" s="193"/>
      <c r="K32" s="193"/>
      <c r="L32" s="193" t="s">
        <v>3560</v>
      </c>
      <c r="M32" s="193"/>
      <c r="N32" s="193"/>
      <c r="O32" s="207">
        <v>0.99650499999999997</v>
      </c>
      <c r="P32" s="219"/>
      <c r="Q32" s="219"/>
      <c r="R32" s="219"/>
      <c r="S32" s="219"/>
      <c r="T32" s="219"/>
    </row>
    <row r="33" spans="1:20" ht="14.1" customHeight="1" x14ac:dyDescent="0.2">
      <c r="A33" s="258">
        <v>21</v>
      </c>
      <c r="B33" s="258"/>
      <c r="C33" s="224">
        <v>511</v>
      </c>
      <c r="D33" s="219"/>
      <c r="E33" s="219" t="s">
        <v>3568</v>
      </c>
      <c r="F33" s="219"/>
      <c r="G33" s="219"/>
      <c r="H33" s="219"/>
      <c r="I33" s="193">
        <v>3810</v>
      </c>
      <c r="J33" s="193"/>
      <c r="K33" s="193"/>
      <c r="L33" s="193">
        <v>3797</v>
      </c>
      <c r="M33" s="193"/>
      <c r="N33" s="193"/>
      <c r="O33" s="207">
        <v>0.99650499999999997</v>
      </c>
      <c r="P33" s="219"/>
      <c r="Q33" s="219"/>
      <c r="R33" s="219"/>
      <c r="S33" s="219"/>
      <c r="T33" s="219"/>
    </row>
    <row r="34" spans="1:20" ht="14.1" customHeight="1" x14ac:dyDescent="0.2">
      <c r="A34" s="258">
        <v>22</v>
      </c>
      <c r="B34" s="258"/>
      <c r="C34" s="224">
        <v>512</v>
      </c>
      <c r="D34" s="219"/>
      <c r="E34" s="219" t="s">
        <v>3569</v>
      </c>
      <c r="F34" s="219"/>
      <c r="G34" s="219"/>
      <c r="H34" s="219"/>
      <c r="I34" s="193">
        <v>22311</v>
      </c>
      <c r="J34" s="193"/>
      <c r="K34" s="193"/>
      <c r="L34" s="193">
        <v>22233</v>
      </c>
      <c r="M34" s="193"/>
      <c r="N34" s="193"/>
      <c r="O34" s="207">
        <v>0.99650499999999997</v>
      </c>
      <c r="P34" s="219"/>
      <c r="Q34" s="219"/>
      <c r="R34" s="219"/>
      <c r="S34" s="219"/>
      <c r="T34" s="219"/>
    </row>
    <row r="35" spans="1:20" ht="14.1" customHeight="1" x14ac:dyDescent="0.2">
      <c r="A35" s="258">
        <v>23</v>
      </c>
      <c r="B35" s="258"/>
      <c r="C35" s="224">
        <v>513</v>
      </c>
      <c r="D35" s="219"/>
      <c r="E35" s="219" t="s">
        <v>3570</v>
      </c>
      <c r="F35" s="219"/>
      <c r="G35" s="219"/>
      <c r="H35" s="219"/>
      <c r="I35" s="193">
        <v>16</v>
      </c>
      <c r="J35" s="193"/>
      <c r="K35" s="193"/>
      <c r="L35" s="193">
        <v>16</v>
      </c>
      <c r="M35" s="193"/>
      <c r="N35" s="193"/>
      <c r="O35" s="207">
        <v>0.99650499999999997</v>
      </c>
      <c r="P35" s="219"/>
      <c r="Q35" s="219"/>
      <c r="R35" s="219"/>
      <c r="S35" s="219"/>
      <c r="T35" s="219"/>
    </row>
    <row r="36" spans="1:20" ht="14.1" customHeight="1" x14ac:dyDescent="0.2">
      <c r="A36" s="258">
        <v>24</v>
      </c>
      <c r="B36" s="258"/>
      <c r="C36" s="224">
        <v>514</v>
      </c>
      <c r="D36" s="219"/>
      <c r="E36" s="219" t="s">
        <v>3571</v>
      </c>
      <c r="F36" s="219"/>
      <c r="G36" s="219"/>
      <c r="H36" s="219"/>
      <c r="I36" s="193">
        <v>16</v>
      </c>
      <c r="J36" s="193"/>
      <c r="K36" s="193"/>
      <c r="L36" s="193">
        <v>16</v>
      </c>
      <c r="M36" s="193"/>
      <c r="N36" s="193"/>
      <c r="O36" s="207">
        <v>0.99650499999999997</v>
      </c>
      <c r="P36" s="219"/>
      <c r="Q36" s="219"/>
      <c r="R36" s="219"/>
      <c r="S36" s="219"/>
      <c r="T36" s="219"/>
    </row>
    <row r="37" spans="1:20" ht="14.1" customHeight="1" x14ac:dyDescent="0.2">
      <c r="A37" s="258">
        <v>25</v>
      </c>
      <c r="B37" s="258"/>
      <c r="C37" s="224"/>
      <c r="D37" s="219"/>
      <c r="E37" s="219" t="s">
        <v>3572</v>
      </c>
      <c r="F37" s="219"/>
      <c r="G37" s="219"/>
      <c r="H37" s="219"/>
      <c r="I37" s="227">
        <v>26153</v>
      </c>
      <c r="J37" s="193"/>
      <c r="K37" s="193"/>
      <c r="L37" s="227">
        <v>26061</v>
      </c>
      <c r="M37" s="193"/>
      <c r="N37" s="193"/>
      <c r="O37" s="213">
        <v>0.99650499999999997</v>
      </c>
      <c r="P37" s="219"/>
      <c r="Q37" s="219"/>
      <c r="R37" s="219"/>
      <c r="S37" s="219"/>
      <c r="T37" s="219"/>
    </row>
    <row r="38" spans="1:20" ht="14.1" customHeight="1" x14ac:dyDescent="0.2">
      <c r="A38" s="258">
        <v>26</v>
      </c>
      <c r="B38" s="258"/>
      <c r="C38" s="224"/>
      <c r="D38" s="219"/>
      <c r="E38" s="219"/>
      <c r="F38" s="219"/>
      <c r="G38" s="219"/>
      <c r="H38" s="219"/>
      <c r="I38" s="193"/>
      <c r="J38" s="193"/>
      <c r="K38" s="193"/>
      <c r="L38" s="193"/>
      <c r="M38" s="193"/>
      <c r="N38" s="193"/>
      <c r="O38" s="207"/>
      <c r="P38" s="219"/>
      <c r="Q38" s="219"/>
      <c r="R38" s="219"/>
      <c r="S38" s="219"/>
      <c r="T38" s="219"/>
    </row>
    <row r="39" spans="1:20" ht="14.1" customHeight="1" x14ac:dyDescent="0.2">
      <c r="A39" s="258">
        <v>27</v>
      </c>
      <c r="B39" s="258"/>
      <c r="C39" s="224"/>
      <c r="D39" s="219"/>
      <c r="E39" s="219" t="s">
        <v>3573</v>
      </c>
      <c r="F39" s="219"/>
      <c r="G39" s="219"/>
      <c r="H39" s="219"/>
      <c r="I39" s="193"/>
      <c r="J39" s="193"/>
      <c r="K39" s="193"/>
      <c r="L39" s="193"/>
      <c r="M39" s="193"/>
      <c r="N39" s="193"/>
      <c r="O39" s="207"/>
      <c r="P39" s="219"/>
      <c r="Q39" s="219"/>
      <c r="R39" s="219"/>
      <c r="S39" s="219"/>
      <c r="T39" s="219"/>
    </row>
    <row r="40" spans="1:20" ht="14.1" customHeight="1" x14ac:dyDescent="0.2">
      <c r="A40" s="258">
        <v>28</v>
      </c>
      <c r="B40" s="258"/>
      <c r="C40" s="224"/>
      <c r="D40" s="219"/>
      <c r="E40" s="219" t="s">
        <v>3554</v>
      </c>
      <c r="F40" s="219"/>
      <c r="G40" s="219"/>
      <c r="H40" s="219"/>
      <c r="I40" s="193"/>
      <c r="J40" s="193"/>
      <c r="K40" s="193"/>
      <c r="L40" s="193"/>
      <c r="M40" s="193"/>
      <c r="N40" s="193"/>
      <c r="O40" s="207"/>
      <c r="P40" s="219"/>
      <c r="Q40" s="219"/>
      <c r="R40" s="219"/>
      <c r="S40" s="219"/>
      <c r="T40" s="219"/>
    </row>
    <row r="41" spans="1:20" ht="14.1" customHeight="1" x14ac:dyDescent="0.2">
      <c r="A41" s="258">
        <v>29</v>
      </c>
      <c r="B41" s="258"/>
      <c r="C41" s="224">
        <v>546</v>
      </c>
      <c r="D41" s="219"/>
      <c r="E41" s="219" t="s">
        <v>3555</v>
      </c>
      <c r="F41" s="219"/>
      <c r="G41" s="219"/>
      <c r="H41" s="219"/>
      <c r="I41" s="193" t="s">
        <v>3560</v>
      </c>
      <c r="J41" s="193"/>
      <c r="K41" s="193"/>
      <c r="L41" s="193" t="s">
        <v>3560</v>
      </c>
      <c r="M41" s="193"/>
      <c r="N41" s="193"/>
      <c r="O41" s="207">
        <v>0.99650499999999997</v>
      </c>
      <c r="P41" s="219"/>
      <c r="Q41" s="219"/>
      <c r="R41" s="219"/>
      <c r="S41" s="219"/>
      <c r="T41" s="219"/>
    </row>
    <row r="42" spans="1:20" ht="14.1" customHeight="1" x14ac:dyDescent="0.2">
      <c r="A42" s="258">
        <v>30</v>
      </c>
      <c r="B42" s="258"/>
      <c r="C42" s="224">
        <v>547</v>
      </c>
      <c r="D42" s="219"/>
      <c r="E42" s="219" t="s">
        <v>3556</v>
      </c>
      <c r="F42" s="219"/>
      <c r="G42" s="219"/>
      <c r="H42" s="219"/>
      <c r="I42" s="193">
        <v>670559</v>
      </c>
      <c r="J42" s="193"/>
      <c r="K42" s="193"/>
      <c r="L42" s="193">
        <v>670559</v>
      </c>
      <c r="M42" s="193"/>
      <c r="N42" s="193"/>
      <c r="O42" s="207">
        <v>1</v>
      </c>
      <c r="P42" s="219"/>
      <c r="Q42" s="219"/>
      <c r="R42" s="219"/>
      <c r="S42" s="219"/>
      <c r="T42" s="219"/>
    </row>
    <row r="43" spans="1:20" ht="14.1" customHeight="1" x14ac:dyDescent="0.2">
      <c r="A43" s="258">
        <v>31</v>
      </c>
      <c r="B43" s="258"/>
      <c r="C43" s="224">
        <v>548</v>
      </c>
      <c r="D43" s="219"/>
      <c r="E43" s="219" t="s">
        <v>3574</v>
      </c>
      <c r="F43" s="219"/>
      <c r="G43" s="219"/>
      <c r="H43" s="219"/>
      <c r="I43" s="193">
        <v>29268</v>
      </c>
      <c r="J43" s="193"/>
      <c r="K43" s="193"/>
      <c r="L43" s="193">
        <v>29166</v>
      </c>
      <c r="M43" s="193"/>
      <c r="N43" s="193"/>
      <c r="O43" s="207">
        <v>0.99650499999999997</v>
      </c>
      <c r="P43" s="219"/>
      <c r="Q43" s="219"/>
      <c r="R43" s="219"/>
      <c r="S43" s="219"/>
      <c r="T43" s="219"/>
    </row>
    <row r="44" spans="1:20" ht="14.1" customHeight="1" x14ac:dyDescent="0.2">
      <c r="A44" s="258">
        <v>32</v>
      </c>
      <c r="B44" s="258"/>
      <c r="C44" s="224">
        <v>549</v>
      </c>
      <c r="D44" s="219"/>
      <c r="E44" s="219" t="s">
        <v>3575</v>
      </c>
      <c r="F44" s="219"/>
      <c r="G44" s="219"/>
      <c r="H44" s="219"/>
      <c r="I44" s="193">
        <v>9327</v>
      </c>
      <c r="J44" s="193"/>
      <c r="K44" s="193"/>
      <c r="L44" s="193">
        <v>9294</v>
      </c>
      <c r="M44" s="193"/>
      <c r="N44" s="193"/>
      <c r="O44" s="207">
        <v>0.99650499999999997</v>
      </c>
      <c r="P44" s="219"/>
      <c r="Q44" s="219"/>
      <c r="R44" s="219"/>
      <c r="S44" s="219"/>
      <c r="T44" s="219"/>
    </row>
    <row r="45" spans="1:20" ht="14.1" customHeight="1" x14ac:dyDescent="0.2">
      <c r="A45" s="258">
        <v>33</v>
      </c>
      <c r="B45" s="258"/>
      <c r="C45" s="224">
        <v>550</v>
      </c>
      <c r="D45" s="219"/>
      <c r="E45" s="219" t="s">
        <v>3563</v>
      </c>
      <c r="F45" s="219"/>
      <c r="G45" s="219"/>
      <c r="H45" s="219"/>
      <c r="I45" s="193" t="s">
        <v>3559</v>
      </c>
      <c r="J45" s="193"/>
      <c r="K45" s="193"/>
      <c r="L45" s="193" t="s">
        <v>3560</v>
      </c>
      <c r="M45" s="193"/>
      <c r="N45" s="193"/>
      <c r="O45" s="207">
        <v>0.99650499999999997</v>
      </c>
      <c r="P45" s="219"/>
      <c r="Q45" s="219"/>
      <c r="R45" s="219"/>
      <c r="S45" s="219"/>
      <c r="T45" s="219"/>
    </row>
    <row r="46" spans="1:20" ht="14.1" customHeight="1" x14ac:dyDescent="0.2">
      <c r="A46" s="258">
        <v>34</v>
      </c>
      <c r="B46" s="258"/>
      <c r="C46" s="224"/>
      <c r="D46" s="219"/>
      <c r="E46" s="219" t="s">
        <v>3576</v>
      </c>
      <c r="F46" s="219"/>
      <c r="G46" s="219"/>
      <c r="H46" s="219"/>
      <c r="I46" s="227">
        <v>709154</v>
      </c>
      <c r="J46" s="193"/>
      <c r="K46" s="193"/>
      <c r="L46" s="227">
        <v>709019</v>
      </c>
      <c r="M46" s="193"/>
      <c r="N46" s="193"/>
      <c r="O46" s="213">
        <v>0.99980999999999998</v>
      </c>
      <c r="P46" s="219"/>
      <c r="Q46" s="219"/>
      <c r="R46" s="219"/>
      <c r="S46" s="219"/>
      <c r="T46" s="219"/>
    </row>
    <row r="47" spans="1:20" ht="14.1" customHeight="1" x14ac:dyDescent="0.2">
      <c r="A47" s="258">
        <v>35</v>
      </c>
      <c r="B47" s="258"/>
      <c r="C47" s="224"/>
      <c r="D47" s="219"/>
      <c r="E47" s="219" t="s">
        <v>3566</v>
      </c>
      <c r="F47" s="219"/>
      <c r="G47" s="219"/>
      <c r="H47" s="219"/>
      <c r="I47" s="193"/>
      <c r="J47" s="193"/>
      <c r="K47" s="193"/>
      <c r="L47" s="193"/>
      <c r="M47" s="193"/>
      <c r="N47" s="193"/>
      <c r="O47" s="207"/>
      <c r="P47" s="219"/>
      <c r="Q47" s="219"/>
      <c r="R47" s="219"/>
      <c r="S47" s="219"/>
      <c r="T47" s="219"/>
    </row>
    <row r="48" spans="1:20" ht="14.1" customHeight="1" x14ac:dyDescent="0.2">
      <c r="A48" s="258">
        <v>36</v>
      </c>
      <c r="B48" s="258"/>
      <c r="C48" s="224">
        <v>551</v>
      </c>
      <c r="D48" s="219"/>
      <c r="E48" s="219" t="s">
        <v>3567</v>
      </c>
      <c r="F48" s="219"/>
      <c r="G48" s="219"/>
      <c r="H48" s="219"/>
      <c r="I48" s="193" t="s">
        <v>3560</v>
      </c>
      <c r="J48" s="193"/>
      <c r="K48" s="193"/>
      <c r="L48" s="193" t="s">
        <v>3560</v>
      </c>
      <c r="M48" s="193"/>
      <c r="N48" s="193"/>
      <c r="O48" s="207">
        <v>0.99650499999999997</v>
      </c>
      <c r="P48" s="219"/>
      <c r="Q48" s="219"/>
      <c r="R48" s="219"/>
      <c r="S48" s="219"/>
      <c r="T48" s="219"/>
    </row>
    <row r="49" spans="1:20" ht="14.1" customHeight="1" x14ac:dyDescent="0.2">
      <c r="A49" s="258">
        <v>37</v>
      </c>
      <c r="B49" s="258"/>
      <c r="C49" s="224">
        <v>552</v>
      </c>
      <c r="D49" s="219"/>
      <c r="E49" s="219" t="s">
        <v>3568</v>
      </c>
      <c r="F49" s="219"/>
      <c r="G49" s="219"/>
      <c r="H49" s="219"/>
      <c r="I49" s="193">
        <v>1879</v>
      </c>
      <c r="J49" s="193"/>
      <c r="K49" s="193"/>
      <c r="L49" s="193">
        <v>1872</v>
      </c>
      <c r="M49" s="193"/>
      <c r="N49" s="193"/>
      <c r="O49" s="207">
        <v>0.99650499999999997</v>
      </c>
      <c r="P49" s="219"/>
      <c r="Q49" s="219"/>
      <c r="R49" s="219"/>
      <c r="S49" s="219"/>
      <c r="T49" s="219"/>
    </row>
    <row r="50" spans="1:20" ht="14.1" customHeight="1" x14ac:dyDescent="0.2">
      <c r="A50" s="258">
        <v>38</v>
      </c>
      <c r="B50" s="258"/>
      <c r="C50" s="224">
        <v>553</v>
      </c>
      <c r="D50" s="219"/>
      <c r="E50" s="219" t="s">
        <v>3577</v>
      </c>
      <c r="F50" s="219"/>
      <c r="G50" s="219"/>
      <c r="H50" s="219"/>
      <c r="I50" s="193">
        <v>37241</v>
      </c>
      <c r="J50" s="193"/>
      <c r="K50" s="193"/>
      <c r="L50" s="193">
        <v>37111</v>
      </c>
      <c r="M50" s="193"/>
      <c r="N50" s="193"/>
      <c r="O50" s="207">
        <v>0.99650499999999997</v>
      </c>
      <c r="P50" s="219"/>
      <c r="Q50" s="219"/>
      <c r="R50" s="219"/>
      <c r="S50" s="219"/>
      <c r="T50" s="219"/>
    </row>
    <row r="51" spans="1:20" ht="14.1" customHeight="1" x14ac:dyDescent="0.2">
      <c r="A51" s="258">
        <v>39</v>
      </c>
      <c r="B51" s="258"/>
      <c r="C51" s="224">
        <v>554</v>
      </c>
      <c r="D51" s="219"/>
      <c r="E51" s="219" t="s">
        <v>3578</v>
      </c>
      <c r="F51" s="219"/>
      <c r="G51" s="219"/>
      <c r="H51" s="219"/>
      <c r="I51" s="193">
        <v>1266</v>
      </c>
      <c r="J51" s="193"/>
      <c r="K51" s="193"/>
      <c r="L51" s="193">
        <v>1262</v>
      </c>
      <c r="M51" s="193"/>
      <c r="N51" s="193"/>
      <c r="O51" s="207">
        <v>0.99650499999999997</v>
      </c>
      <c r="P51" s="219"/>
      <c r="Q51" s="219"/>
      <c r="R51" s="219"/>
      <c r="S51" s="219"/>
      <c r="T51" s="219"/>
    </row>
    <row r="52" spans="1:20" ht="14.1" customHeight="1" x14ac:dyDescent="0.2">
      <c r="A52" s="258">
        <v>40</v>
      </c>
      <c r="B52" s="258"/>
      <c r="C52" s="224">
        <v>555</v>
      </c>
      <c r="D52" s="219"/>
      <c r="E52" s="219" t="s">
        <v>3579</v>
      </c>
      <c r="F52" s="219"/>
      <c r="G52" s="219"/>
      <c r="H52" s="219"/>
      <c r="I52" s="193">
        <v>16783</v>
      </c>
      <c r="J52" s="193"/>
      <c r="K52" s="193"/>
      <c r="L52" s="193">
        <v>16783</v>
      </c>
      <c r="M52" s="193"/>
      <c r="N52" s="193"/>
      <c r="O52" s="207">
        <v>1</v>
      </c>
      <c r="P52" s="219"/>
      <c r="Q52" s="219"/>
      <c r="R52" s="219"/>
      <c r="S52" s="219"/>
      <c r="T52" s="219"/>
    </row>
    <row r="53" spans="1:20" ht="14.1" customHeight="1" x14ac:dyDescent="0.2">
      <c r="A53" s="258">
        <v>41</v>
      </c>
      <c r="B53" s="258"/>
      <c r="C53" s="224">
        <v>556</v>
      </c>
      <c r="D53" s="219"/>
      <c r="E53" s="219" t="s">
        <v>3580</v>
      </c>
      <c r="F53" s="219"/>
      <c r="G53" s="219"/>
      <c r="H53" s="219"/>
      <c r="I53" s="193">
        <v>-956</v>
      </c>
      <c r="J53" s="193"/>
      <c r="K53" s="193"/>
      <c r="L53" s="193">
        <v>-952</v>
      </c>
      <c r="M53" s="193"/>
      <c r="N53" s="193"/>
      <c r="O53" s="207">
        <v>0.99650499999999997</v>
      </c>
      <c r="P53" s="219"/>
      <c r="Q53" s="219"/>
      <c r="R53" s="219"/>
      <c r="S53" s="219"/>
      <c r="T53" s="219"/>
    </row>
    <row r="54" spans="1:20" ht="14.1" customHeight="1" x14ac:dyDescent="0.2">
      <c r="A54" s="258">
        <v>42</v>
      </c>
      <c r="B54" s="258"/>
      <c r="C54" s="224">
        <v>557</v>
      </c>
      <c r="D54" s="219"/>
      <c r="E54" s="219" t="s">
        <v>3581</v>
      </c>
      <c r="F54" s="219"/>
      <c r="G54" s="219"/>
      <c r="H54" s="219"/>
      <c r="I54" s="193" t="s">
        <v>3559</v>
      </c>
      <c r="J54" s="193"/>
      <c r="K54" s="193"/>
      <c r="L54" s="193" t="s">
        <v>3560</v>
      </c>
      <c r="M54" s="193"/>
      <c r="N54" s="193"/>
      <c r="O54" s="207">
        <v>0.99650499999999997</v>
      </c>
      <c r="P54" s="219"/>
      <c r="Q54" s="219"/>
      <c r="R54" s="219"/>
      <c r="S54" s="219"/>
      <c r="T54" s="219"/>
    </row>
    <row r="55" spans="1:20" ht="14.1" customHeight="1" x14ac:dyDescent="0.2">
      <c r="A55" s="258">
        <v>43</v>
      </c>
      <c r="B55" s="258"/>
      <c r="C55" s="224"/>
      <c r="D55" s="219"/>
      <c r="E55" s="219" t="s">
        <v>3582</v>
      </c>
      <c r="F55" s="219"/>
      <c r="G55" s="219"/>
      <c r="H55" s="219"/>
      <c r="I55" s="227">
        <v>56214</v>
      </c>
      <c r="J55" s="193"/>
      <c r="K55" s="193"/>
      <c r="L55" s="227">
        <v>56076</v>
      </c>
      <c r="M55" s="193"/>
      <c r="N55" s="193"/>
      <c r="O55" s="213">
        <v>0.99754799999999999</v>
      </c>
      <c r="P55" s="219"/>
      <c r="Q55" s="219"/>
      <c r="R55" s="219"/>
      <c r="S55" s="219"/>
      <c r="T55" s="219"/>
    </row>
    <row r="56" spans="1:20" ht="14.1" customHeight="1" x14ac:dyDescent="0.2">
      <c r="A56" s="258">
        <v>44</v>
      </c>
      <c r="B56" s="258"/>
      <c r="C56" s="224"/>
      <c r="D56" s="219"/>
      <c r="E56" s="219"/>
      <c r="F56" s="219"/>
      <c r="G56" s="219"/>
      <c r="H56" s="219"/>
      <c r="I56" s="193"/>
      <c r="J56" s="193"/>
      <c r="K56" s="193"/>
      <c r="L56" s="193"/>
      <c r="M56" s="193"/>
      <c r="N56" s="193"/>
      <c r="O56" s="207"/>
      <c r="P56" s="219"/>
      <c r="Q56" s="219"/>
      <c r="R56" s="219"/>
      <c r="S56" s="219"/>
      <c r="T56" s="219"/>
    </row>
    <row r="57" spans="1:20" ht="14.1" customHeight="1" x14ac:dyDescent="0.2">
      <c r="A57" s="258">
        <v>45</v>
      </c>
      <c r="B57" s="258"/>
      <c r="C57" s="224"/>
      <c r="D57" s="219"/>
      <c r="E57" s="219" t="s">
        <v>3583</v>
      </c>
      <c r="F57" s="219"/>
      <c r="G57" s="219"/>
      <c r="H57" s="219"/>
      <c r="I57" s="227">
        <v>829467</v>
      </c>
      <c r="J57" s="193"/>
      <c r="K57" s="193"/>
      <c r="L57" s="227">
        <v>829025</v>
      </c>
      <c r="M57" s="193"/>
      <c r="N57" s="193"/>
      <c r="O57" s="214">
        <v>0.99946699999999999</v>
      </c>
      <c r="P57" s="219"/>
      <c r="Q57" s="219"/>
      <c r="R57" s="219"/>
      <c r="S57" s="219"/>
      <c r="T57" s="219"/>
    </row>
    <row r="58" spans="1:20" ht="14.1" customHeight="1" x14ac:dyDescent="0.2">
      <c r="A58" s="258">
        <v>46</v>
      </c>
      <c r="B58" s="258"/>
      <c r="C58" s="224"/>
      <c r="D58" s="219"/>
      <c r="E58" s="219"/>
      <c r="F58" s="219"/>
      <c r="G58" s="219"/>
      <c r="H58" s="219"/>
      <c r="I58" s="193"/>
      <c r="J58" s="193"/>
      <c r="K58" s="193"/>
      <c r="L58" s="193"/>
      <c r="M58" s="193"/>
      <c r="N58" s="193"/>
      <c r="O58" s="207"/>
      <c r="P58" s="219"/>
      <c r="Q58" s="219"/>
      <c r="R58" s="219"/>
      <c r="S58" s="219"/>
      <c r="T58" s="219"/>
    </row>
    <row r="59" spans="1:20" ht="14.1" customHeight="1" x14ac:dyDescent="0.2">
      <c r="A59" s="258">
        <v>47</v>
      </c>
      <c r="B59" s="258"/>
      <c r="C59" s="224"/>
      <c r="D59" s="219"/>
      <c r="E59" s="219"/>
      <c r="F59" s="219"/>
      <c r="G59" s="219"/>
      <c r="H59" s="219"/>
      <c r="I59" s="193"/>
      <c r="J59" s="193"/>
      <c r="K59" s="193"/>
      <c r="L59" s="193"/>
      <c r="M59" s="193"/>
      <c r="N59" s="193"/>
      <c r="O59" s="207"/>
      <c r="P59" s="219"/>
      <c r="Q59" s="219"/>
      <c r="R59" s="219"/>
      <c r="S59" s="219"/>
      <c r="T59" s="219"/>
    </row>
    <row r="60" spans="1:20" ht="14.1" customHeight="1" x14ac:dyDescent="0.2">
      <c r="A60" s="258">
        <v>48</v>
      </c>
      <c r="B60" s="258"/>
      <c r="C60" s="219"/>
      <c r="D60" s="219"/>
      <c r="E60" s="219"/>
      <c r="F60" s="219"/>
      <c r="G60" s="219"/>
      <c r="H60" s="219"/>
      <c r="I60" s="193"/>
      <c r="J60" s="193"/>
      <c r="K60" s="193"/>
      <c r="L60" s="193"/>
      <c r="M60" s="193"/>
      <c r="N60" s="193"/>
      <c r="O60" s="207"/>
      <c r="P60" s="219"/>
      <c r="Q60" s="219"/>
      <c r="R60" s="219"/>
      <c r="S60" s="219"/>
      <c r="T60" s="219"/>
    </row>
    <row r="61" spans="1:20" ht="14.1" customHeight="1" thickBot="1" x14ac:dyDescent="0.25">
      <c r="A61" s="217">
        <v>49</v>
      </c>
      <c r="B61" s="217" t="s">
        <v>3431</v>
      </c>
      <c r="C61" s="225"/>
      <c r="D61" s="217"/>
      <c r="E61" s="217"/>
      <c r="F61" s="217"/>
      <c r="G61" s="217"/>
      <c r="H61" s="217"/>
      <c r="I61" s="229"/>
      <c r="J61" s="229"/>
      <c r="K61" s="229"/>
      <c r="L61" s="229"/>
      <c r="M61" s="229"/>
      <c r="N61" s="229"/>
      <c r="O61" s="208"/>
      <c r="P61" s="217"/>
      <c r="Q61" s="217"/>
      <c r="R61" s="217"/>
      <c r="S61" s="217"/>
      <c r="T61" s="219"/>
    </row>
    <row r="62" spans="1:20" ht="14.1" customHeight="1" x14ac:dyDescent="0.2">
      <c r="A62" s="257" t="s">
        <v>3584</v>
      </c>
      <c r="B62" s="257"/>
      <c r="C62" s="219"/>
      <c r="D62" s="219"/>
      <c r="E62" s="219"/>
      <c r="F62" s="219"/>
      <c r="G62" s="219"/>
      <c r="H62" s="219"/>
      <c r="I62" s="193"/>
      <c r="J62" s="193"/>
      <c r="K62" s="193"/>
      <c r="L62" s="193"/>
      <c r="M62" s="193"/>
      <c r="N62" s="193"/>
      <c r="O62" s="207"/>
      <c r="P62" s="219"/>
      <c r="Q62" s="219" t="s">
        <v>3585</v>
      </c>
      <c r="R62" s="219"/>
      <c r="S62" s="219"/>
      <c r="T62" s="219"/>
    </row>
    <row r="63" spans="1:20" ht="14.1" customHeight="1" x14ac:dyDescent="0.2">
      <c r="A63" s="258"/>
      <c r="B63" s="258"/>
      <c r="C63" s="219"/>
      <c r="D63" s="219"/>
      <c r="E63" s="219"/>
      <c r="F63" s="219"/>
      <c r="G63" s="219"/>
      <c r="H63" s="219"/>
      <c r="I63" s="193"/>
      <c r="J63" s="193"/>
      <c r="K63" s="193"/>
      <c r="L63" s="193"/>
      <c r="M63" s="193"/>
      <c r="N63" s="193"/>
      <c r="O63" s="207"/>
      <c r="P63" s="219"/>
      <c r="Q63" s="219"/>
      <c r="R63" s="219"/>
      <c r="S63" s="219"/>
      <c r="T63" s="219"/>
    </row>
    <row r="64" spans="1:20" ht="14.1" customHeight="1" thickBot="1" x14ac:dyDescent="0.25">
      <c r="A64" s="256" t="s">
        <v>3373</v>
      </c>
      <c r="B64" s="256"/>
      <c r="C64" s="217"/>
      <c r="D64" s="217"/>
      <c r="E64" s="217"/>
      <c r="F64" s="217"/>
      <c r="G64" s="217"/>
      <c r="H64" s="217" t="s">
        <v>3374</v>
      </c>
      <c r="I64" s="229"/>
      <c r="J64" s="229"/>
      <c r="K64" s="229"/>
      <c r="L64" s="229"/>
      <c r="M64" s="229"/>
      <c r="N64" s="229"/>
      <c r="O64" s="208"/>
      <c r="P64" s="217"/>
      <c r="Q64" s="217"/>
      <c r="R64" s="217"/>
      <c r="S64" s="218" t="s">
        <v>3432</v>
      </c>
      <c r="T64" s="219"/>
    </row>
    <row r="65" spans="1:20" ht="14.1" customHeight="1" x14ac:dyDescent="0.2">
      <c r="A65" s="257" t="s">
        <v>3</v>
      </c>
      <c r="B65" s="257"/>
      <c r="C65" s="219"/>
      <c r="D65" s="219"/>
      <c r="E65" s="219"/>
      <c r="F65" s="220" t="s">
        <v>4</v>
      </c>
      <c r="G65" s="219"/>
      <c r="H65" s="219" t="s">
        <v>3376</v>
      </c>
      <c r="I65" s="193"/>
      <c r="J65" s="193"/>
      <c r="K65" s="230"/>
      <c r="L65" s="230"/>
      <c r="M65" s="193"/>
      <c r="N65" s="230"/>
      <c r="O65" s="209"/>
      <c r="P65" s="221" t="s">
        <v>6</v>
      </c>
      <c r="Q65" s="219"/>
      <c r="R65" s="219"/>
      <c r="S65" s="222"/>
      <c r="T65" s="219"/>
    </row>
    <row r="66" spans="1:20" ht="14.1" customHeight="1" x14ac:dyDescent="0.2">
      <c r="A66" s="258"/>
      <c r="B66" s="258"/>
      <c r="C66" s="219"/>
      <c r="D66" s="219"/>
      <c r="E66" s="219"/>
      <c r="F66" s="219"/>
      <c r="G66" s="219"/>
      <c r="H66" s="219" t="s">
        <v>3377</v>
      </c>
      <c r="I66" s="193"/>
      <c r="J66" s="193"/>
      <c r="K66" s="231"/>
      <c r="L66" s="232"/>
      <c r="M66" s="193"/>
      <c r="N66" s="193"/>
      <c r="O66" s="210"/>
      <c r="P66" s="223" t="s">
        <v>8</v>
      </c>
      <c r="Q66" s="222" t="s">
        <v>81</v>
      </c>
      <c r="R66" s="219"/>
      <c r="S66" s="223"/>
      <c r="T66" s="219"/>
    </row>
    <row r="67" spans="1:20" ht="14.1" customHeight="1" x14ac:dyDescent="0.2">
      <c r="A67" s="258" t="s">
        <v>10</v>
      </c>
      <c r="B67" s="258"/>
      <c r="C67" s="219"/>
      <c r="D67" s="219"/>
      <c r="E67" s="219"/>
      <c r="F67" s="219"/>
      <c r="G67" s="226"/>
      <c r="H67" s="219"/>
      <c r="I67" s="193"/>
      <c r="J67" s="193"/>
      <c r="K67" s="231"/>
      <c r="L67" s="232"/>
      <c r="M67" s="231"/>
      <c r="N67" s="193"/>
      <c r="O67" s="207"/>
      <c r="P67" s="223"/>
      <c r="Q67" s="222" t="s">
        <v>82</v>
      </c>
      <c r="R67" s="219"/>
      <c r="S67" s="223"/>
      <c r="T67" s="219"/>
    </row>
    <row r="68" spans="1:20" ht="14.1" customHeight="1" x14ac:dyDescent="0.2">
      <c r="A68" s="258"/>
      <c r="B68" s="258"/>
      <c r="C68" s="219"/>
      <c r="D68" s="219"/>
      <c r="E68" s="219"/>
      <c r="F68" s="219"/>
      <c r="G68" s="226"/>
      <c r="H68" s="219"/>
      <c r="I68" s="193"/>
      <c r="J68" s="193"/>
      <c r="K68" s="231"/>
      <c r="L68" s="232"/>
      <c r="M68" s="231"/>
      <c r="N68" s="193"/>
      <c r="O68" s="207"/>
      <c r="P68" s="223"/>
      <c r="Q68" s="222" t="s">
        <v>83</v>
      </c>
      <c r="R68" s="219"/>
      <c r="S68" s="223"/>
      <c r="T68" s="219"/>
    </row>
    <row r="69" spans="1:20" ht="14.1" customHeight="1" x14ac:dyDescent="0.2">
      <c r="A69" s="258"/>
      <c r="B69" s="258"/>
      <c r="C69" s="219"/>
      <c r="D69" s="219"/>
      <c r="E69" s="219"/>
      <c r="F69" s="219"/>
      <c r="G69" s="226"/>
      <c r="H69" s="219"/>
      <c r="I69" s="193"/>
      <c r="J69" s="193"/>
      <c r="K69" s="231"/>
      <c r="L69" s="232"/>
      <c r="M69" s="231"/>
      <c r="N69" s="193"/>
      <c r="O69" s="207"/>
      <c r="P69" s="219"/>
      <c r="Q69" s="219" t="s">
        <v>3544</v>
      </c>
      <c r="R69" s="219"/>
      <c r="S69" s="223"/>
      <c r="T69" s="219"/>
    </row>
    <row r="70" spans="1:20" ht="14.1" customHeight="1" thickBot="1" x14ac:dyDescent="0.25">
      <c r="A70" s="256" t="s">
        <v>3545</v>
      </c>
      <c r="B70" s="256"/>
      <c r="C70" s="217"/>
      <c r="D70" s="217"/>
      <c r="E70" s="217"/>
      <c r="F70" s="217"/>
      <c r="G70" s="217"/>
      <c r="H70" s="217"/>
      <c r="I70" s="229" t="s">
        <v>16</v>
      </c>
      <c r="J70" s="229"/>
      <c r="K70" s="229"/>
      <c r="L70" s="229"/>
      <c r="M70" s="229"/>
      <c r="N70" s="229"/>
      <c r="O70" s="208"/>
      <c r="P70" s="217"/>
      <c r="Q70" s="217" t="s">
        <v>3546</v>
      </c>
      <c r="R70" s="217"/>
      <c r="S70" s="217"/>
      <c r="T70" s="219"/>
    </row>
    <row r="71" spans="1:20" ht="14.1" customHeight="1" x14ac:dyDescent="0.2">
      <c r="A71" s="257"/>
      <c r="B71" s="257"/>
      <c r="C71" s="224"/>
      <c r="D71" s="224"/>
      <c r="E71" s="224"/>
      <c r="F71" s="224"/>
      <c r="G71" s="224"/>
      <c r="H71" s="224"/>
      <c r="I71" s="233"/>
      <c r="J71" s="233"/>
      <c r="K71" s="233"/>
      <c r="L71" s="233"/>
      <c r="M71" s="233"/>
      <c r="N71" s="233"/>
      <c r="O71" s="211"/>
      <c r="P71" s="224"/>
      <c r="Q71" s="224"/>
      <c r="R71" s="224"/>
      <c r="S71" s="224"/>
      <c r="T71" s="219"/>
    </row>
    <row r="72" spans="1:20" ht="14.1" customHeight="1" x14ac:dyDescent="0.2">
      <c r="A72" s="258"/>
      <c r="B72" s="258"/>
      <c r="C72" s="224"/>
      <c r="D72" s="224"/>
      <c r="E72" s="224"/>
      <c r="F72" s="224"/>
      <c r="G72" s="224"/>
      <c r="H72" s="224"/>
      <c r="I72" s="233">
        <v>-1</v>
      </c>
      <c r="J72" s="233"/>
      <c r="K72" s="233"/>
      <c r="L72" s="233">
        <v>-2</v>
      </c>
      <c r="M72" s="233"/>
      <c r="N72" s="233"/>
      <c r="O72" s="211">
        <v>-3</v>
      </c>
      <c r="P72" s="224"/>
      <c r="Q72" s="224"/>
      <c r="R72" s="224"/>
      <c r="S72" s="224"/>
      <c r="T72" s="219"/>
    </row>
    <row r="73" spans="1:20" ht="14.1" customHeight="1" x14ac:dyDescent="0.2">
      <c r="A73" s="258"/>
      <c r="B73" s="258"/>
      <c r="C73" s="224"/>
      <c r="D73" s="224"/>
      <c r="E73" s="224"/>
      <c r="F73" s="224"/>
      <c r="G73" s="224"/>
      <c r="H73" s="224"/>
      <c r="I73" s="233"/>
      <c r="J73" s="233"/>
      <c r="K73" s="233"/>
      <c r="L73" s="233"/>
      <c r="M73" s="233"/>
      <c r="N73" s="233"/>
      <c r="O73" s="211" t="s">
        <v>3379</v>
      </c>
      <c r="P73" s="224"/>
      <c r="Q73" s="224"/>
      <c r="R73" s="224"/>
      <c r="S73" s="224"/>
      <c r="T73" s="219"/>
    </row>
    <row r="74" spans="1:20" ht="14.1" customHeight="1" x14ac:dyDescent="0.2">
      <c r="A74" s="258" t="s">
        <v>33</v>
      </c>
      <c r="B74" s="258"/>
      <c r="C74" s="224" t="s">
        <v>34</v>
      </c>
      <c r="D74" s="224"/>
      <c r="E74" s="224"/>
      <c r="F74" s="224" t="s">
        <v>34</v>
      </c>
      <c r="G74" s="224"/>
      <c r="H74" s="224"/>
      <c r="I74" s="233" t="s">
        <v>3380</v>
      </c>
      <c r="J74" s="233"/>
      <c r="K74" s="233"/>
      <c r="L74" s="233" t="s">
        <v>3381</v>
      </c>
      <c r="M74" s="233"/>
      <c r="N74" s="233"/>
      <c r="O74" s="211" t="s">
        <v>3382</v>
      </c>
      <c r="P74" s="224"/>
      <c r="Q74" s="224"/>
      <c r="R74" s="224"/>
      <c r="S74" s="224"/>
      <c r="T74" s="219"/>
    </row>
    <row r="75" spans="1:20" ht="14.1" customHeight="1" thickBot="1" x14ac:dyDescent="0.25">
      <c r="A75" s="256" t="s">
        <v>39</v>
      </c>
      <c r="B75" s="256"/>
      <c r="C75" s="225" t="s">
        <v>39</v>
      </c>
      <c r="D75" s="225"/>
      <c r="E75" s="225"/>
      <c r="F75" s="225" t="s">
        <v>3383</v>
      </c>
      <c r="G75" s="225"/>
      <c r="H75" s="225"/>
      <c r="I75" s="234" t="s">
        <v>3384</v>
      </c>
      <c r="J75" s="234"/>
      <c r="K75" s="234"/>
      <c r="L75" s="234" t="s">
        <v>3379</v>
      </c>
      <c r="M75" s="234"/>
      <c r="N75" s="234"/>
      <c r="O75" s="212" t="s">
        <v>3385</v>
      </c>
      <c r="P75" s="225"/>
      <c r="Q75" s="225"/>
      <c r="R75" s="225"/>
      <c r="S75" s="225"/>
      <c r="T75" s="219"/>
    </row>
    <row r="76" spans="1:20" ht="14.1" customHeight="1" x14ac:dyDescent="0.2">
      <c r="A76" s="257">
        <v>1</v>
      </c>
      <c r="B76" s="257"/>
      <c r="C76" s="219"/>
      <c r="D76" s="219"/>
      <c r="E76" s="219"/>
      <c r="F76" s="219"/>
      <c r="G76" s="219"/>
      <c r="H76" s="219"/>
      <c r="I76" s="193"/>
      <c r="J76" s="193"/>
      <c r="K76" s="193"/>
      <c r="L76" s="193"/>
      <c r="M76" s="193"/>
      <c r="N76" s="193"/>
      <c r="O76" s="207"/>
      <c r="P76" s="219"/>
      <c r="Q76" s="219"/>
      <c r="R76" s="219"/>
      <c r="S76" s="219"/>
      <c r="T76" s="219"/>
    </row>
    <row r="77" spans="1:20" ht="14.1" customHeight="1" x14ac:dyDescent="0.2">
      <c r="A77" s="258">
        <v>2</v>
      </c>
      <c r="B77" s="258"/>
      <c r="C77" s="224"/>
      <c r="D77" s="219"/>
      <c r="E77" s="219" t="s">
        <v>3586</v>
      </c>
      <c r="F77" s="219"/>
      <c r="G77" s="219"/>
      <c r="H77" s="219"/>
      <c r="I77" s="193"/>
      <c r="J77" s="193"/>
      <c r="K77" s="193"/>
      <c r="L77" s="193"/>
      <c r="M77" s="193"/>
      <c r="N77" s="193"/>
      <c r="O77" s="207"/>
      <c r="P77" s="219"/>
      <c r="Q77" s="219"/>
      <c r="R77" s="219"/>
      <c r="S77" s="219"/>
      <c r="T77" s="219"/>
    </row>
    <row r="78" spans="1:20" ht="14.1" customHeight="1" x14ac:dyDescent="0.2">
      <c r="A78" s="258">
        <v>3</v>
      </c>
      <c r="B78" s="258"/>
      <c r="C78" s="224"/>
      <c r="D78" s="219"/>
      <c r="E78" s="219" t="s">
        <v>3554</v>
      </c>
      <c r="F78" s="219"/>
      <c r="G78" s="219"/>
      <c r="H78" s="219"/>
      <c r="I78" s="193"/>
      <c r="J78" s="193"/>
      <c r="K78" s="193"/>
      <c r="L78" s="193"/>
      <c r="M78" s="193"/>
      <c r="N78" s="193"/>
      <c r="O78" s="207"/>
      <c r="P78" s="219"/>
      <c r="Q78" s="219"/>
      <c r="R78" s="219"/>
      <c r="S78" s="219"/>
      <c r="T78" s="219"/>
    </row>
    <row r="79" spans="1:20" ht="14.1" customHeight="1" x14ac:dyDescent="0.2">
      <c r="A79" s="258">
        <v>4</v>
      </c>
      <c r="B79" s="258"/>
      <c r="C79" s="224">
        <v>560</v>
      </c>
      <c r="D79" s="219"/>
      <c r="E79" s="219" t="s">
        <v>3587</v>
      </c>
      <c r="F79" s="219"/>
      <c r="G79" s="219"/>
      <c r="H79" s="219"/>
      <c r="I79" s="193">
        <v>916</v>
      </c>
      <c r="J79" s="193"/>
      <c r="K79" s="193"/>
      <c r="L79" s="193">
        <v>913</v>
      </c>
      <c r="M79" s="193"/>
      <c r="N79" s="193"/>
      <c r="O79" s="207">
        <v>0.99650499999999997</v>
      </c>
      <c r="P79" s="219"/>
      <c r="Q79" s="219"/>
      <c r="R79" s="219"/>
      <c r="S79" s="219"/>
      <c r="T79" s="219"/>
    </row>
    <row r="80" spans="1:20" ht="14.1" customHeight="1" x14ac:dyDescent="0.2">
      <c r="A80" s="258">
        <v>5</v>
      </c>
      <c r="B80" s="258"/>
      <c r="C80" s="224">
        <v>561</v>
      </c>
      <c r="D80" s="219"/>
      <c r="E80" s="219" t="s">
        <v>3580</v>
      </c>
      <c r="F80" s="219"/>
      <c r="G80" s="219"/>
      <c r="H80" s="219"/>
      <c r="I80" s="193">
        <v>2641</v>
      </c>
      <c r="J80" s="193"/>
      <c r="K80" s="193"/>
      <c r="L80" s="193">
        <v>2631</v>
      </c>
      <c r="M80" s="193"/>
      <c r="N80" s="193"/>
      <c r="O80" s="207">
        <v>0.99650499999999997</v>
      </c>
      <c r="P80" s="219"/>
      <c r="Q80" s="219"/>
      <c r="R80" s="219"/>
      <c r="S80" s="219"/>
      <c r="T80" s="219"/>
    </row>
    <row r="81" spans="1:20" ht="14.1" customHeight="1" x14ac:dyDescent="0.2">
      <c r="A81" s="258">
        <v>6</v>
      </c>
      <c r="B81" s="258"/>
      <c r="C81" s="224">
        <v>562</v>
      </c>
      <c r="D81" s="219"/>
      <c r="E81" s="219" t="s">
        <v>3588</v>
      </c>
      <c r="F81" s="219"/>
      <c r="G81" s="219"/>
      <c r="H81" s="219"/>
      <c r="I81" s="193">
        <v>1644</v>
      </c>
      <c r="J81" s="193"/>
      <c r="K81" s="193"/>
      <c r="L81" s="193">
        <v>1638</v>
      </c>
      <c r="M81" s="193"/>
      <c r="N81" s="193"/>
      <c r="O81" s="207">
        <v>0.99650499999999997</v>
      </c>
      <c r="P81" s="219"/>
      <c r="Q81" s="219"/>
      <c r="R81" s="219"/>
      <c r="S81" s="219"/>
      <c r="T81" s="219"/>
    </row>
    <row r="82" spans="1:20" ht="14.1" customHeight="1" x14ac:dyDescent="0.2">
      <c r="A82" s="258">
        <v>7</v>
      </c>
      <c r="B82" s="258"/>
      <c r="C82" s="224">
        <v>563</v>
      </c>
      <c r="D82" s="219"/>
      <c r="E82" s="219" t="s">
        <v>3589</v>
      </c>
      <c r="F82" s="219"/>
      <c r="G82" s="219"/>
      <c r="H82" s="219"/>
      <c r="I82" s="193">
        <v>464</v>
      </c>
      <c r="J82" s="193"/>
      <c r="K82" s="193"/>
      <c r="L82" s="193">
        <v>462</v>
      </c>
      <c r="M82" s="193"/>
      <c r="N82" s="193"/>
      <c r="O82" s="207">
        <v>0.99650499999999997</v>
      </c>
      <c r="P82" s="219"/>
      <c r="Q82" s="219"/>
      <c r="R82" s="219"/>
      <c r="S82" s="219"/>
      <c r="T82" s="219"/>
    </row>
    <row r="83" spans="1:20" ht="14.1" customHeight="1" x14ac:dyDescent="0.2">
      <c r="A83" s="258">
        <v>7</v>
      </c>
      <c r="B83" s="258"/>
      <c r="C83" s="224">
        <v>564</v>
      </c>
      <c r="D83" s="219"/>
      <c r="E83" s="219" t="s">
        <v>3590</v>
      </c>
      <c r="F83" s="219"/>
      <c r="G83" s="219"/>
      <c r="H83" s="219"/>
      <c r="I83" s="193" t="s">
        <v>3559</v>
      </c>
      <c r="J83" s="193"/>
      <c r="K83" s="193"/>
      <c r="L83" s="193" t="s">
        <v>3560</v>
      </c>
      <c r="M83" s="193"/>
      <c r="N83" s="193"/>
      <c r="O83" s="207">
        <v>0.99650499999999997</v>
      </c>
      <c r="P83" s="219"/>
      <c r="Q83" s="219"/>
      <c r="R83" s="219"/>
      <c r="S83" s="219"/>
      <c r="T83" s="219"/>
    </row>
    <row r="84" spans="1:20" ht="14.1" customHeight="1" x14ac:dyDescent="0.2">
      <c r="A84" s="258">
        <v>8</v>
      </c>
      <c r="B84" s="258"/>
      <c r="C84" s="224">
        <v>565</v>
      </c>
      <c r="D84" s="219"/>
      <c r="E84" s="219" t="s">
        <v>3591</v>
      </c>
      <c r="F84" s="219"/>
      <c r="G84" s="219"/>
      <c r="H84" s="219"/>
      <c r="I84" s="193" t="s">
        <v>3559</v>
      </c>
      <c r="J84" s="193"/>
      <c r="K84" s="193"/>
      <c r="L84" s="193" t="s">
        <v>3560</v>
      </c>
      <c r="M84" s="193"/>
      <c r="N84" s="193"/>
      <c r="O84" s="207">
        <v>0.99650499999999997</v>
      </c>
      <c r="P84" s="219"/>
      <c r="Q84" s="219"/>
      <c r="R84" s="219"/>
      <c r="S84" s="219"/>
      <c r="T84" s="219"/>
    </row>
    <row r="85" spans="1:20" ht="14.1" customHeight="1" x14ac:dyDescent="0.2">
      <c r="A85" s="258">
        <v>9</v>
      </c>
      <c r="B85" s="258"/>
      <c r="C85" s="224">
        <v>566</v>
      </c>
      <c r="D85" s="219"/>
      <c r="E85" s="219" t="s">
        <v>3592</v>
      </c>
      <c r="F85" s="219"/>
      <c r="G85" s="219"/>
      <c r="H85" s="219"/>
      <c r="I85" s="193">
        <v>1801</v>
      </c>
      <c r="J85" s="193"/>
      <c r="K85" s="193"/>
      <c r="L85" s="193">
        <v>1795</v>
      </c>
      <c r="M85" s="193"/>
      <c r="N85" s="193"/>
      <c r="O85" s="207">
        <v>0.99650499999999997</v>
      </c>
      <c r="P85" s="219"/>
      <c r="Q85" s="219"/>
      <c r="R85" s="219"/>
      <c r="S85" s="219"/>
      <c r="T85" s="219"/>
    </row>
    <row r="86" spans="1:20" ht="14.1" customHeight="1" x14ac:dyDescent="0.2">
      <c r="A86" s="258">
        <v>10</v>
      </c>
      <c r="B86" s="258"/>
      <c r="C86" s="224">
        <v>567</v>
      </c>
      <c r="D86" s="219"/>
      <c r="E86" s="219" t="s">
        <v>3563</v>
      </c>
      <c r="F86" s="219"/>
      <c r="G86" s="219"/>
      <c r="H86" s="219"/>
      <c r="I86" s="193" t="s">
        <v>3559</v>
      </c>
      <c r="J86" s="193"/>
      <c r="K86" s="193"/>
      <c r="L86" s="193" t="s">
        <v>3560</v>
      </c>
      <c r="M86" s="193"/>
      <c r="N86" s="193"/>
      <c r="O86" s="207">
        <v>0.99650499999999997</v>
      </c>
      <c r="P86" s="219"/>
      <c r="Q86" s="219"/>
      <c r="R86" s="219"/>
      <c r="S86" s="219"/>
      <c r="T86" s="219"/>
    </row>
    <row r="87" spans="1:20" ht="14.1" customHeight="1" x14ac:dyDescent="0.2">
      <c r="A87" s="258">
        <v>11</v>
      </c>
      <c r="B87" s="258"/>
      <c r="C87" s="224"/>
      <c r="D87" s="219"/>
      <c r="E87" s="219" t="s">
        <v>3593</v>
      </c>
      <c r="F87" s="219"/>
      <c r="G87" s="219"/>
      <c r="H87" s="219"/>
      <c r="I87" s="227">
        <v>7465</v>
      </c>
      <c r="J87" s="193"/>
      <c r="K87" s="193"/>
      <c r="L87" s="227">
        <v>7439</v>
      </c>
      <c r="M87" s="193"/>
      <c r="N87" s="193"/>
      <c r="O87" s="213">
        <v>0.99650499999999997</v>
      </c>
      <c r="P87" s="219"/>
      <c r="Q87" s="219"/>
      <c r="R87" s="219"/>
      <c r="S87" s="219"/>
      <c r="T87" s="219"/>
    </row>
    <row r="88" spans="1:20" ht="14.1" customHeight="1" x14ac:dyDescent="0.2">
      <c r="A88" s="258">
        <v>12</v>
      </c>
      <c r="B88" s="258"/>
      <c r="C88" s="224"/>
      <c r="D88" s="219"/>
      <c r="E88" s="219"/>
      <c r="F88" s="219"/>
      <c r="G88" s="219"/>
      <c r="H88" s="219"/>
      <c r="I88" s="193"/>
      <c r="J88" s="193"/>
      <c r="K88" s="193"/>
      <c r="L88" s="193"/>
      <c r="M88" s="193"/>
      <c r="N88" s="193"/>
      <c r="O88" s="207"/>
      <c r="P88" s="219"/>
      <c r="Q88" s="219"/>
      <c r="R88" s="219"/>
      <c r="S88" s="219"/>
      <c r="T88" s="219"/>
    </row>
    <row r="89" spans="1:20" ht="14.1" customHeight="1" x14ac:dyDescent="0.2">
      <c r="A89" s="258">
        <v>13</v>
      </c>
      <c r="B89" s="258"/>
      <c r="C89" s="224"/>
      <c r="D89" s="219"/>
      <c r="E89" s="219" t="s">
        <v>3401</v>
      </c>
      <c r="F89" s="219"/>
      <c r="G89" s="219"/>
      <c r="H89" s="219"/>
      <c r="I89" s="193"/>
      <c r="J89" s="193"/>
      <c r="K89" s="193"/>
      <c r="L89" s="193"/>
      <c r="M89" s="193"/>
      <c r="N89" s="193"/>
      <c r="O89" s="207"/>
      <c r="P89" s="219"/>
      <c r="Q89" s="219"/>
      <c r="R89" s="219"/>
      <c r="S89" s="219"/>
      <c r="T89" s="219"/>
    </row>
    <row r="90" spans="1:20" ht="14.1" customHeight="1" x14ac:dyDescent="0.2">
      <c r="A90" s="258">
        <v>14</v>
      </c>
      <c r="B90" s="258"/>
      <c r="C90" s="224">
        <v>568</v>
      </c>
      <c r="D90" s="219"/>
      <c r="E90" s="219" t="s">
        <v>3587</v>
      </c>
      <c r="F90" s="219"/>
      <c r="G90" s="219"/>
      <c r="H90" s="219"/>
      <c r="I90" s="193" t="s">
        <v>3560</v>
      </c>
      <c r="J90" s="193"/>
      <c r="K90" s="193"/>
      <c r="L90" s="193" t="s">
        <v>3560</v>
      </c>
      <c r="M90" s="193"/>
      <c r="N90" s="193"/>
      <c r="O90" s="207">
        <v>0.99650499999999997</v>
      </c>
      <c r="P90" s="219"/>
      <c r="Q90" s="219"/>
      <c r="R90" s="219"/>
      <c r="S90" s="219"/>
      <c r="T90" s="219"/>
    </row>
    <row r="91" spans="1:20" ht="14.1" customHeight="1" x14ac:dyDescent="0.2">
      <c r="A91" s="258">
        <v>15</v>
      </c>
      <c r="B91" s="258"/>
      <c r="C91" s="224">
        <v>569</v>
      </c>
      <c r="D91" s="219"/>
      <c r="E91" s="219" t="s">
        <v>3594</v>
      </c>
      <c r="F91" s="219"/>
      <c r="G91" s="219"/>
      <c r="H91" s="219"/>
      <c r="I91" s="193">
        <v>1881</v>
      </c>
      <c r="J91" s="193"/>
      <c r="K91" s="193"/>
      <c r="L91" s="193">
        <v>1875</v>
      </c>
      <c r="M91" s="193"/>
      <c r="N91" s="193"/>
      <c r="O91" s="207">
        <v>0.99650499999999997</v>
      </c>
      <c r="P91" s="219"/>
      <c r="Q91" s="219"/>
      <c r="R91" s="219"/>
      <c r="S91" s="219"/>
      <c r="T91" s="219"/>
    </row>
    <row r="92" spans="1:20" ht="14.1" customHeight="1" x14ac:dyDescent="0.2">
      <c r="A92" s="258">
        <v>16</v>
      </c>
      <c r="B92" s="258"/>
      <c r="C92" s="224">
        <v>570</v>
      </c>
      <c r="D92" s="219"/>
      <c r="E92" s="219" t="s">
        <v>3595</v>
      </c>
      <c r="F92" s="219"/>
      <c r="G92" s="219"/>
      <c r="H92" s="219"/>
      <c r="I92" s="193">
        <v>1229</v>
      </c>
      <c r="J92" s="193"/>
      <c r="K92" s="193"/>
      <c r="L92" s="193">
        <v>1225</v>
      </c>
      <c r="M92" s="193"/>
      <c r="N92" s="193"/>
      <c r="O92" s="207">
        <v>0.99650499999999997</v>
      </c>
      <c r="P92" s="219"/>
      <c r="Q92" s="219"/>
      <c r="R92" s="219"/>
      <c r="S92" s="219"/>
      <c r="T92" s="219"/>
    </row>
    <row r="93" spans="1:20" ht="14.1" customHeight="1" x14ac:dyDescent="0.2">
      <c r="A93" s="258">
        <v>17</v>
      </c>
      <c r="B93" s="258"/>
      <c r="C93" s="224">
        <v>571</v>
      </c>
      <c r="D93" s="219"/>
      <c r="E93" s="219" t="s">
        <v>3589</v>
      </c>
      <c r="F93" s="219"/>
      <c r="G93" s="219"/>
      <c r="H93" s="219"/>
      <c r="I93" s="193">
        <v>5757</v>
      </c>
      <c r="J93" s="193"/>
      <c r="K93" s="193"/>
      <c r="L93" s="193">
        <v>5737</v>
      </c>
      <c r="M93" s="193"/>
      <c r="N93" s="193"/>
      <c r="O93" s="207">
        <v>0.99650499999999997</v>
      </c>
      <c r="P93" s="219"/>
      <c r="Q93" s="219"/>
      <c r="R93" s="219"/>
      <c r="S93" s="219"/>
      <c r="T93" s="219"/>
    </row>
    <row r="94" spans="1:20" ht="14.1" customHeight="1" x14ac:dyDescent="0.2">
      <c r="A94" s="258">
        <v>18</v>
      </c>
      <c r="B94" s="258"/>
      <c r="C94" s="224">
        <v>572</v>
      </c>
      <c r="D94" s="219"/>
      <c r="E94" s="219" t="s">
        <v>3590</v>
      </c>
      <c r="F94" s="219"/>
      <c r="G94" s="219"/>
      <c r="H94" s="219"/>
      <c r="I94" s="193" t="s">
        <v>3559</v>
      </c>
      <c r="J94" s="193"/>
      <c r="K94" s="193"/>
      <c r="L94" s="193" t="s">
        <v>3560</v>
      </c>
      <c r="M94" s="193"/>
      <c r="N94" s="193"/>
      <c r="O94" s="207">
        <v>0.99650499999999997</v>
      </c>
      <c r="P94" s="219"/>
      <c r="Q94" s="219"/>
      <c r="R94" s="219"/>
      <c r="S94" s="219"/>
      <c r="T94" s="219"/>
    </row>
    <row r="95" spans="1:20" ht="14.1" customHeight="1" x14ac:dyDescent="0.2">
      <c r="A95" s="258">
        <v>19</v>
      </c>
      <c r="B95" s="258"/>
      <c r="C95" s="224">
        <v>573</v>
      </c>
      <c r="D95" s="219"/>
      <c r="E95" s="219" t="s">
        <v>3592</v>
      </c>
      <c r="F95" s="219"/>
      <c r="G95" s="219"/>
      <c r="H95" s="219"/>
      <c r="I95" s="193" t="s">
        <v>3559</v>
      </c>
      <c r="J95" s="193"/>
      <c r="K95" s="193"/>
      <c r="L95" s="193" t="s">
        <v>3560</v>
      </c>
      <c r="M95" s="193"/>
      <c r="N95" s="193"/>
      <c r="O95" s="207">
        <v>0.99650499999999997</v>
      </c>
      <c r="P95" s="219"/>
      <c r="Q95" s="219"/>
      <c r="R95" s="219"/>
      <c r="S95" s="219"/>
      <c r="T95" s="219"/>
    </row>
    <row r="96" spans="1:20" ht="14.1" customHeight="1" x14ac:dyDescent="0.2">
      <c r="A96" s="258">
        <v>20</v>
      </c>
      <c r="B96" s="258"/>
      <c r="C96" s="224"/>
      <c r="D96" s="219"/>
      <c r="E96" s="219" t="s">
        <v>3596</v>
      </c>
      <c r="F96" s="219"/>
      <c r="G96" s="219"/>
      <c r="H96" s="219"/>
      <c r="I96" s="227">
        <v>8868</v>
      </c>
      <c r="J96" s="193"/>
      <c r="K96" s="193"/>
      <c r="L96" s="227">
        <v>8837</v>
      </c>
      <c r="M96" s="193"/>
      <c r="N96" s="193"/>
      <c r="O96" s="215">
        <v>0.99650499999999997</v>
      </c>
      <c r="P96" s="219"/>
      <c r="Q96" s="219"/>
      <c r="R96" s="219"/>
      <c r="S96" s="219"/>
      <c r="T96" s="219"/>
    </row>
    <row r="97" spans="1:20" ht="14.1" customHeight="1" x14ac:dyDescent="0.2">
      <c r="A97" s="258">
        <v>21</v>
      </c>
      <c r="B97" s="258"/>
      <c r="C97" s="224"/>
      <c r="D97" s="219"/>
      <c r="E97" s="219" t="s">
        <v>3597</v>
      </c>
      <c r="F97" s="219"/>
      <c r="G97" s="219"/>
      <c r="H97" s="219"/>
      <c r="I97" s="227">
        <v>16333</v>
      </c>
      <c r="J97" s="193"/>
      <c r="K97" s="193"/>
      <c r="L97" s="227">
        <v>16276</v>
      </c>
      <c r="M97" s="193"/>
      <c r="N97" s="193"/>
      <c r="O97" s="214">
        <v>0.99650499999999997</v>
      </c>
      <c r="P97" s="219"/>
      <c r="Q97" s="219"/>
      <c r="R97" s="219"/>
      <c r="S97" s="219"/>
      <c r="T97" s="219"/>
    </row>
    <row r="98" spans="1:20" ht="14.1" customHeight="1" x14ac:dyDescent="0.2">
      <c r="A98" s="258">
        <v>22</v>
      </c>
      <c r="B98" s="258"/>
      <c r="C98" s="219"/>
      <c r="D98" s="219"/>
      <c r="E98" s="219"/>
      <c r="F98" s="219"/>
      <c r="G98" s="219"/>
      <c r="H98" s="219"/>
      <c r="I98" s="193"/>
      <c r="J98" s="193"/>
      <c r="K98" s="193"/>
      <c r="L98" s="193"/>
      <c r="M98" s="193"/>
      <c r="N98" s="193"/>
      <c r="O98" s="207"/>
      <c r="P98" s="219"/>
      <c r="Q98" s="219"/>
      <c r="R98" s="219"/>
      <c r="S98" s="219"/>
      <c r="T98" s="219"/>
    </row>
    <row r="99" spans="1:20" ht="14.1" customHeight="1" x14ac:dyDescent="0.2">
      <c r="A99" s="258">
        <v>23</v>
      </c>
      <c r="B99" s="258"/>
      <c r="C99" s="219"/>
      <c r="D99" s="219"/>
      <c r="E99" s="219" t="s">
        <v>3598</v>
      </c>
      <c r="F99" s="219"/>
      <c r="G99" s="219"/>
      <c r="H99" s="219"/>
      <c r="I99" s="193"/>
      <c r="J99" s="193"/>
      <c r="K99" s="193"/>
      <c r="L99" s="193"/>
      <c r="M99" s="193"/>
      <c r="N99" s="193"/>
      <c r="O99" s="207"/>
      <c r="P99" s="219"/>
      <c r="Q99" s="219"/>
      <c r="R99" s="219"/>
      <c r="S99" s="219"/>
      <c r="T99" s="219"/>
    </row>
    <row r="100" spans="1:20" ht="14.1" customHeight="1" x14ac:dyDescent="0.2">
      <c r="A100" s="258">
        <v>24</v>
      </c>
      <c r="B100" s="258"/>
      <c r="C100" s="224"/>
      <c r="D100" s="219"/>
      <c r="E100" s="219" t="s">
        <v>3554</v>
      </c>
      <c r="F100" s="219"/>
      <c r="G100" s="219"/>
      <c r="H100" s="219"/>
      <c r="I100" s="193"/>
      <c r="J100" s="193"/>
      <c r="K100" s="193"/>
      <c r="L100" s="193"/>
      <c r="M100" s="193"/>
      <c r="N100" s="193"/>
      <c r="O100" s="207"/>
      <c r="P100" s="219"/>
      <c r="Q100" s="219"/>
      <c r="R100" s="219"/>
      <c r="S100" s="219"/>
      <c r="T100" s="219"/>
    </row>
    <row r="101" spans="1:20" ht="14.1" customHeight="1" x14ac:dyDescent="0.2">
      <c r="A101" s="258">
        <v>25</v>
      </c>
      <c r="B101" s="258"/>
      <c r="C101" s="224">
        <v>580</v>
      </c>
      <c r="D101" s="219"/>
      <c r="E101" s="219" t="s">
        <v>3599</v>
      </c>
      <c r="F101" s="219"/>
      <c r="G101" s="219"/>
      <c r="H101" s="219"/>
      <c r="I101" s="193">
        <v>1569</v>
      </c>
      <c r="J101" s="193"/>
      <c r="K101" s="193"/>
      <c r="L101" s="193">
        <v>1563</v>
      </c>
      <c r="M101" s="193"/>
      <c r="N101" s="193"/>
      <c r="O101" s="207">
        <v>0.99650499999999997</v>
      </c>
      <c r="P101" s="219"/>
      <c r="Q101" s="219"/>
      <c r="R101" s="219"/>
      <c r="S101" s="219"/>
      <c r="T101" s="219"/>
    </row>
    <row r="102" spans="1:20" ht="14.1" customHeight="1" x14ac:dyDescent="0.2">
      <c r="A102" s="258">
        <v>26</v>
      </c>
      <c r="B102" s="258"/>
      <c r="C102" s="224">
        <v>581</v>
      </c>
      <c r="D102" s="219"/>
      <c r="E102" s="219" t="s">
        <v>3580</v>
      </c>
      <c r="F102" s="219"/>
      <c r="G102" s="219"/>
      <c r="H102" s="219"/>
      <c r="I102" s="193">
        <v>1182</v>
      </c>
      <c r="J102" s="193"/>
      <c r="K102" s="193"/>
      <c r="L102" s="193">
        <v>1178</v>
      </c>
      <c r="M102" s="193"/>
      <c r="N102" s="193"/>
      <c r="O102" s="207">
        <v>0.99650499999999997</v>
      </c>
      <c r="P102" s="219"/>
      <c r="Q102" s="219"/>
      <c r="R102" s="219"/>
      <c r="S102" s="219"/>
      <c r="T102" s="219"/>
    </row>
    <row r="103" spans="1:20" ht="14.1" customHeight="1" x14ac:dyDescent="0.2">
      <c r="A103" s="258">
        <v>27</v>
      </c>
      <c r="B103" s="258"/>
      <c r="C103" s="224">
        <v>582</v>
      </c>
      <c r="D103" s="219"/>
      <c r="E103" s="219" t="s">
        <v>3600</v>
      </c>
      <c r="F103" s="219"/>
      <c r="G103" s="219"/>
      <c r="H103" s="219"/>
      <c r="I103" s="193">
        <v>1037</v>
      </c>
      <c r="J103" s="193"/>
      <c r="K103" s="193"/>
      <c r="L103" s="193">
        <v>1033</v>
      </c>
      <c r="M103" s="193"/>
      <c r="N103" s="193"/>
      <c r="O103" s="207">
        <v>0.99650499999999997</v>
      </c>
      <c r="P103" s="219"/>
      <c r="Q103" s="219"/>
      <c r="R103" s="219"/>
      <c r="S103" s="219"/>
      <c r="T103" s="219"/>
    </row>
    <row r="104" spans="1:20" ht="14.1" customHeight="1" x14ac:dyDescent="0.2">
      <c r="A104" s="258">
        <v>28</v>
      </c>
      <c r="B104" s="258"/>
      <c r="C104" s="224">
        <v>583</v>
      </c>
      <c r="D104" s="219"/>
      <c r="E104" s="219" t="s">
        <v>3589</v>
      </c>
      <c r="F104" s="219"/>
      <c r="G104" s="219"/>
      <c r="H104" s="219"/>
      <c r="I104" s="193">
        <v>8123</v>
      </c>
      <c r="J104" s="193"/>
      <c r="K104" s="193"/>
      <c r="L104" s="193">
        <v>8095</v>
      </c>
      <c r="M104" s="193"/>
      <c r="N104" s="193"/>
      <c r="O104" s="207">
        <v>0.99650499999999997</v>
      </c>
      <c r="P104" s="219"/>
      <c r="Q104" s="219"/>
      <c r="R104" s="219"/>
      <c r="S104" s="219"/>
      <c r="T104" s="219"/>
    </row>
    <row r="105" spans="1:20" ht="14.1" customHeight="1" x14ac:dyDescent="0.2">
      <c r="A105" s="258">
        <v>29</v>
      </c>
      <c r="B105" s="258"/>
      <c r="C105" s="224">
        <v>584</v>
      </c>
      <c r="D105" s="219"/>
      <c r="E105" s="219" t="s">
        <v>3590</v>
      </c>
      <c r="F105" s="219"/>
      <c r="G105" s="219"/>
      <c r="H105" s="219"/>
      <c r="I105" s="193">
        <v>902</v>
      </c>
      <c r="J105" s="193"/>
      <c r="K105" s="193"/>
      <c r="L105" s="193">
        <v>898</v>
      </c>
      <c r="M105" s="193"/>
      <c r="N105" s="193"/>
      <c r="O105" s="207">
        <v>0.99650499999999997</v>
      </c>
      <c r="P105" s="219"/>
      <c r="Q105" s="219"/>
      <c r="R105" s="219"/>
      <c r="S105" s="219"/>
      <c r="T105" s="219"/>
    </row>
    <row r="106" spans="1:20" ht="14.1" customHeight="1" x14ac:dyDescent="0.2">
      <c r="A106" s="258">
        <v>30</v>
      </c>
      <c r="B106" s="258"/>
      <c r="C106" s="224">
        <v>585</v>
      </c>
      <c r="D106" s="219"/>
      <c r="E106" s="219" t="s">
        <v>3601</v>
      </c>
      <c r="F106" s="219"/>
      <c r="G106" s="219"/>
      <c r="H106" s="219"/>
      <c r="I106" s="193">
        <v>1858</v>
      </c>
      <c r="J106" s="193"/>
      <c r="K106" s="193"/>
      <c r="L106" s="193">
        <v>1851</v>
      </c>
      <c r="M106" s="193"/>
      <c r="N106" s="193"/>
      <c r="O106" s="207">
        <v>0.99650499999999997</v>
      </c>
      <c r="P106" s="219"/>
      <c r="Q106" s="219"/>
      <c r="R106" s="219"/>
      <c r="S106" s="219"/>
      <c r="T106" s="219"/>
    </row>
    <row r="107" spans="1:20" ht="14.1" customHeight="1" x14ac:dyDescent="0.2">
      <c r="A107" s="258">
        <v>31</v>
      </c>
      <c r="B107" s="258"/>
      <c r="C107" s="224">
        <v>586</v>
      </c>
      <c r="D107" s="219"/>
      <c r="E107" s="219" t="s">
        <v>3602</v>
      </c>
      <c r="F107" s="219"/>
      <c r="G107" s="219"/>
      <c r="H107" s="219"/>
      <c r="I107" s="193">
        <v>5604</v>
      </c>
      <c r="J107" s="193"/>
      <c r="K107" s="193"/>
      <c r="L107" s="193">
        <v>5584</v>
      </c>
      <c r="M107" s="193"/>
      <c r="N107" s="193"/>
      <c r="O107" s="207">
        <v>0.99650499999999997</v>
      </c>
      <c r="P107" s="219"/>
      <c r="Q107" s="219"/>
      <c r="R107" s="219"/>
      <c r="S107" s="219"/>
      <c r="T107" s="219"/>
    </row>
    <row r="108" spans="1:20" ht="14.1" customHeight="1" x14ac:dyDescent="0.2">
      <c r="A108" s="258">
        <v>32</v>
      </c>
      <c r="B108" s="258"/>
      <c r="C108" s="224">
        <v>587</v>
      </c>
      <c r="D108" s="219"/>
      <c r="E108" s="219" t="s">
        <v>3603</v>
      </c>
      <c r="F108" s="219"/>
      <c r="G108" s="219"/>
      <c r="H108" s="219"/>
      <c r="I108" s="193" t="s">
        <v>3559</v>
      </c>
      <c r="J108" s="193"/>
      <c r="K108" s="193"/>
      <c r="L108" s="193" t="s">
        <v>3560</v>
      </c>
      <c r="M108" s="193"/>
      <c r="N108" s="193"/>
      <c r="O108" s="207">
        <v>0.99650499999999997</v>
      </c>
      <c r="P108" s="219"/>
      <c r="Q108" s="219"/>
      <c r="R108" s="219"/>
      <c r="S108" s="219"/>
      <c r="T108" s="219"/>
    </row>
    <row r="109" spans="1:20" ht="14.1" customHeight="1" x14ac:dyDescent="0.2">
      <c r="A109" s="258">
        <v>33</v>
      </c>
      <c r="B109" s="258"/>
      <c r="C109" s="224">
        <v>588</v>
      </c>
      <c r="D109" s="219"/>
      <c r="E109" s="219" t="s">
        <v>3604</v>
      </c>
      <c r="F109" s="219"/>
      <c r="G109" s="219"/>
      <c r="H109" s="219"/>
      <c r="I109" s="193">
        <v>12533</v>
      </c>
      <c r="J109" s="193"/>
      <c r="K109" s="193"/>
      <c r="L109" s="193">
        <v>12489</v>
      </c>
      <c r="M109" s="193"/>
      <c r="N109" s="193"/>
      <c r="O109" s="207">
        <v>0.99650499999999997</v>
      </c>
      <c r="P109" s="219"/>
      <c r="Q109" s="219"/>
      <c r="R109" s="219"/>
      <c r="S109" s="219"/>
      <c r="T109" s="219"/>
    </row>
    <row r="110" spans="1:20" ht="14.1" customHeight="1" x14ac:dyDescent="0.2">
      <c r="A110" s="258">
        <v>34</v>
      </c>
      <c r="B110" s="258"/>
      <c r="C110" s="224">
        <v>589</v>
      </c>
      <c r="D110" s="219"/>
      <c r="E110" s="219" t="s">
        <v>3563</v>
      </c>
      <c r="F110" s="219"/>
      <c r="G110" s="219"/>
      <c r="H110" s="219"/>
      <c r="I110" s="193">
        <v>377</v>
      </c>
      <c r="J110" s="193"/>
      <c r="K110" s="193"/>
      <c r="L110" s="193">
        <v>376</v>
      </c>
      <c r="M110" s="193"/>
      <c r="N110" s="193"/>
      <c r="O110" s="207">
        <v>0.99650499999999997</v>
      </c>
      <c r="P110" s="219"/>
      <c r="Q110" s="219"/>
      <c r="R110" s="219"/>
      <c r="S110" s="219"/>
      <c r="T110" s="219"/>
    </row>
    <row r="111" spans="1:20" ht="14.1" customHeight="1" x14ac:dyDescent="0.2">
      <c r="A111" s="258">
        <v>35</v>
      </c>
      <c r="B111" s="258"/>
      <c r="C111" s="224"/>
      <c r="D111" s="219"/>
      <c r="E111" s="219" t="s">
        <v>3605</v>
      </c>
      <c r="F111" s="219"/>
      <c r="G111" s="219"/>
      <c r="H111" s="219"/>
      <c r="I111" s="227">
        <v>33183</v>
      </c>
      <c r="J111" s="193"/>
      <c r="K111" s="193"/>
      <c r="L111" s="227">
        <v>33067</v>
      </c>
      <c r="M111" s="193"/>
      <c r="N111" s="193"/>
      <c r="O111" s="213">
        <v>0.99650499999999997</v>
      </c>
      <c r="P111" s="219"/>
      <c r="Q111" s="219"/>
      <c r="R111" s="219"/>
      <c r="S111" s="219"/>
      <c r="T111" s="219"/>
    </row>
    <row r="112" spans="1:20" ht="14.1" customHeight="1" x14ac:dyDescent="0.2">
      <c r="A112" s="258">
        <v>36</v>
      </c>
      <c r="B112" s="258"/>
      <c r="C112" s="219"/>
      <c r="D112" s="219"/>
      <c r="E112" s="219" t="s">
        <v>3401</v>
      </c>
      <c r="F112" s="219"/>
      <c r="G112" s="219"/>
      <c r="H112" s="219"/>
      <c r="I112" s="193"/>
      <c r="J112" s="193"/>
      <c r="K112" s="193"/>
      <c r="L112" s="193"/>
      <c r="M112" s="193"/>
      <c r="N112" s="193"/>
      <c r="O112" s="207"/>
      <c r="P112" s="219"/>
      <c r="Q112" s="219"/>
      <c r="R112" s="219"/>
      <c r="S112" s="219"/>
      <c r="T112" s="219"/>
    </row>
    <row r="113" spans="1:20" ht="14.1" customHeight="1" x14ac:dyDescent="0.2">
      <c r="A113" s="258">
        <v>37</v>
      </c>
      <c r="B113" s="258"/>
      <c r="C113" s="224">
        <v>590</v>
      </c>
      <c r="D113" s="219"/>
      <c r="E113" s="219" t="s">
        <v>3606</v>
      </c>
      <c r="F113" s="219"/>
      <c r="G113" s="219"/>
      <c r="H113" s="219"/>
      <c r="I113" s="193" t="s">
        <v>3559</v>
      </c>
      <c r="J113" s="193"/>
      <c r="K113" s="193"/>
      <c r="L113" s="193" t="s">
        <v>3560</v>
      </c>
      <c r="M113" s="193"/>
      <c r="N113" s="193"/>
      <c r="O113" s="207">
        <v>0.99650499999999997</v>
      </c>
      <c r="P113" s="219"/>
      <c r="Q113" s="219"/>
      <c r="R113" s="219"/>
      <c r="S113" s="219"/>
      <c r="T113" s="219"/>
    </row>
    <row r="114" spans="1:20" ht="14.1" customHeight="1" x14ac:dyDescent="0.2">
      <c r="A114" s="258">
        <v>38</v>
      </c>
      <c r="B114" s="258"/>
      <c r="C114" s="224">
        <v>591</v>
      </c>
      <c r="D114" s="219"/>
      <c r="E114" s="219" t="s">
        <v>3568</v>
      </c>
      <c r="F114" s="219"/>
      <c r="G114" s="219"/>
      <c r="H114" s="219"/>
      <c r="I114" s="193">
        <v>-174</v>
      </c>
      <c r="J114" s="193"/>
      <c r="K114" s="193"/>
      <c r="L114" s="193">
        <v>-174</v>
      </c>
      <c r="M114" s="193"/>
      <c r="N114" s="193"/>
      <c r="O114" s="207">
        <v>0.99650499999999997</v>
      </c>
      <c r="P114" s="219"/>
      <c r="Q114" s="219"/>
      <c r="R114" s="219"/>
      <c r="S114" s="219"/>
      <c r="T114" s="219"/>
    </row>
    <row r="115" spans="1:20" ht="14.1" customHeight="1" x14ac:dyDescent="0.2">
      <c r="A115" s="258">
        <v>39</v>
      </c>
      <c r="B115" s="258"/>
      <c r="C115" s="224">
        <v>592</v>
      </c>
      <c r="D115" s="219"/>
      <c r="E115" s="219" t="s">
        <v>3607</v>
      </c>
      <c r="F115" s="219"/>
      <c r="G115" s="219"/>
      <c r="H115" s="219"/>
      <c r="I115" s="193">
        <v>2509</v>
      </c>
      <c r="J115" s="193"/>
      <c r="K115" s="193"/>
      <c r="L115" s="193">
        <v>2500</v>
      </c>
      <c r="M115" s="193"/>
      <c r="N115" s="193"/>
      <c r="O115" s="207">
        <v>0.99650499999999997</v>
      </c>
      <c r="P115" s="219"/>
      <c r="Q115" s="219"/>
      <c r="R115" s="219"/>
      <c r="S115" s="219"/>
      <c r="T115" s="219"/>
    </row>
    <row r="116" spans="1:20" ht="14.1" customHeight="1" x14ac:dyDescent="0.2">
      <c r="A116" s="258">
        <v>40</v>
      </c>
      <c r="B116" s="258"/>
      <c r="C116" s="224">
        <v>593</v>
      </c>
      <c r="D116" s="219"/>
      <c r="E116" s="219" t="s">
        <v>3608</v>
      </c>
      <c r="F116" s="219"/>
      <c r="G116" s="219"/>
      <c r="H116" s="219"/>
      <c r="I116" s="193">
        <v>42245</v>
      </c>
      <c r="J116" s="193"/>
      <c r="K116" s="193"/>
      <c r="L116" s="193">
        <v>42097</v>
      </c>
      <c r="M116" s="193"/>
      <c r="N116" s="193"/>
      <c r="O116" s="207">
        <v>0.99650499999999997</v>
      </c>
      <c r="P116" s="219"/>
      <c r="Q116" s="219"/>
      <c r="R116" s="219"/>
      <c r="S116" s="219"/>
      <c r="T116" s="219"/>
    </row>
    <row r="117" spans="1:20" ht="14.1" customHeight="1" x14ac:dyDescent="0.2">
      <c r="A117" s="258">
        <v>41</v>
      </c>
      <c r="B117" s="258"/>
      <c r="C117" s="224">
        <v>594</v>
      </c>
      <c r="D117" s="219"/>
      <c r="E117" s="219" t="s">
        <v>3609</v>
      </c>
      <c r="F117" s="219"/>
      <c r="G117" s="219"/>
      <c r="H117" s="219"/>
      <c r="I117" s="193">
        <v>4816</v>
      </c>
      <c r="J117" s="193"/>
      <c r="K117" s="193"/>
      <c r="L117" s="193">
        <v>4799</v>
      </c>
      <c r="M117" s="193"/>
      <c r="N117" s="193"/>
      <c r="O117" s="207">
        <v>0.99650499999999997</v>
      </c>
      <c r="P117" s="219"/>
      <c r="Q117" s="219"/>
      <c r="R117" s="219"/>
      <c r="S117" s="219"/>
      <c r="T117" s="219"/>
    </row>
    <row r="118" spans="1:20" ht="14.1" customHeight="1" x14ac:dyDescent="0.2">
      <c r="A118" s="258">
        <v>42</v>
      </c>
      <c r="B118" s="258"/>
      <c r="C118" s="224">
        <v>595</v>
      </c>
      <c r="D118" s="219"/>
      <c r="E118" s="219" t="s">
        <v>3610</v>
      </c>
      <c r="F118" s="219"/>
      <c r="G118" s="219"/>
      <c r="H118" s="219"/>
      <c r="I118" s="193">
        <v>218</v>
      </c>
      <c r="J118" s="193"/>
      <c r="K118" s="193"/>
      <c r="L118" s="193">
        <v>218</v>
      </c>
      <c r="M118" s="193"/>
      <c r="N118" s="193"/>
      <c r="O118" s="207">
        <v>0.99650499999999997</v>
      </c>
      <c r="P118" s="219"/>
      <c r="Q118" s="219"/>
      <c r="R118" s="219"/>
      <c r="S118" s="219"/>
      <c r="T118" s="219"/>
    </row>
    <row r="119" spans="1:20" ht="14.1" customHeight="1" x14ac:dyDescent="0.2">
      <c r="A119" s="258">
        <v>43</v>
      </c>
      <c r="B119" s="258"/>
      <c r="C119" s="224">
        <v>596</v>
      </c>
      <c r="D119" s="219"/>
      <c r="E119" s="219" t="s">
        <v>3611</v>
      </c>
      <c r="F119" s="219"/>
      <c r="G119" s="219"/>
      <c r="H119" s="219"/>
      <c r="I119" s="193">
        <v>621</v>
      </c>
      <c r="J119" s="193"/>
      <c r="K119" s="193"/>
      <c r="L119" s="193">
        <v>618</v>
      </c>
      <c r="M119" s="193"/>
      <c r="N119" s="193"/>
      <c r="O119" s="207">
        <v>0.99650499999999997</v>
      </c>
      <c r="P119" s="219"/>
      <c r="Q119" s="219"/>
      <c r="R119" s="219"/>
      <c r="S119" s="219"/>
      <c r="T119" s="219"/>
    </row>
    <row r="120" spans="1:20" ht="14.1" customHeight="1" x14ac:dyDescent="0.2">
      <c r="A120" s="258">
        <v>44</v>
      </c>
      <c r="B120" s="258"/>
      <c r="C120" s="224">
        <v>597</v>
      </c>
      <c r="D120" s="219"/>
      <c r="E120" s="219" t="s">
        <v>3612</v>
      </c>
      <c r="F120" s="219"/>
      <c r="G120" s="219"/>
      <c r="H120" s="219"/>
      <c r="I120" s="193">
        <v>863</v>
      </c>
      <c r="J120" s="193"/>
      <c r="K120" s="193"/>
      <c r="L120" s="193">
        <v>860</v>
      </c>
      <c r="M120" s="193"/>
      <c r="N120" s="193"/>
      <c r="O120" s="207">
        <v>0.99650499999999997</v>
      </c>
      <c r="P120" s="219"/>
      <c r="Q120" s="219"/>
      <c r="R120" s="219"/>
      <c r="S120" s="219"/>
      <c r="T120" s="219"/>
    </row>
    <row r="121" spans="1:20" ht="14.1" customHeight="1" x14ac:dyDescent="0.2">
      <c r="A121" s="258">
        <v>45</v>
      </c>
      <c r="B121" s="258"/>
      <c r="C121" s="224">
        <v>598</v>
      </c>
      <c r="D121" s="219"/>
      <c r="E121" s="219" t="s">
        <v>3613</v>
      </c>
      <c r="F121" s="219"/>
      <c r="G121" s="219"/>
      <c r="H121" s="219"/>
      <c r="I121" s="193" t="s">
        <v>3559</v>
      </c>
      <c r="J121" s="193"/>
      <c r="K121" s="193"/>
      <c r="L121" s="193" t="s">
        <v>3560</v>
      </c>
      <c r="M121" s="193"/>
      <c r="N121" s="193"/>
      <c r="O121" s="207">
        <v>0.99650499999999997</v>
      </c>
      <c r="P121" s="219"/>
      <c r="Q121" s="219"/>
      <c r="R121" s="219"/>
      <c r="S121" s="219"/>
      <c r="T121" s="219"/>
    </row>
    <row r="122" spans="1:20" ht="14.1" customHeight="1" x14ac:dyDescent="0.2">
      <c r="A122" s="258">
        <v>46</v>
      </c>
      <c r="B122" s="258"/>
      <c r="C122" s="224"/>
      <c r="D122" s="219"/>
      <c r="E122" s="219" t="s">
        <v>3614</v>
      </c>
      <c r="F122" s="219"/>
      <c r="G122" s="219"/>
      <c r="H122" s="219"/>
      <c r="I122" s="227">
        <v>51097</v>
      </c>
      <c r="J122" s="193"/>
      <c r="K122" s="193"/>
      <c r="L122" s="227">
        <v>50919</v>
      </c>
      <c r="M122" s="193"/>
      <c r="N122" s="193"/>
      <c r="O122" s="213">
        <v>0.99650499999999997</v>
      </c>
      <c r="P122" s="219"/>
      <c r="Q122" s="219"/>
      <c r="R122" s="219"/>
      <c r="S122" s="219"/>
      <c r="T122" s="219"/>
    </row>
    <row r="123" spans="1:20" ht="14.1" customHeight="1" x14ac:dyDescent="0.2">
      <c r="A123" s="258">
        <v>47</v>
      </c>
      <c r="B123" s="258"/>
      <c r="C123" s="224"/>
      <c r="D123" s="219"/>
      <c r="E123" s="219" t="s">
        <v>3615</v>
      </c>
      <c r="F123" s="219"/>
      <c r="G123" s="219"/>
      <c r="H123" s="219"/>
      <c r="I123" s="227">
        <v>84281</v>
      </c>
      <c r="J123" s="193"/>
      <c r="K123" s="193"/>
      <c r="L123" s="227">
        <v>83986</v>
      </c>
      <c r="M123" s="193"/>
      <c r="N123" s="193"/>
      <c r="O123" s="214">
        <v>0.99650499999999997</v>
      </c>
      <c r="P123" s="219"/>
      <c r="Q123" s="219"/>
      <c r="R123" s="219"/>
      <c r="S123" s="219"/>
      <c r="T123" s="219"/>
    </row>
    <row r="124" spans="1:20" ht="14.1" customHeight="1" x14ac:dyDescent="0.2">
      <c r="A124" s="258">
        <v>48</v>
      </c>
      <c r="B124" s="258"/>
      <c r="C124" s="219"/>
      <c r="D124" s="219"/>
      <c r="E124" s="219"/>
      <c r="F124" s="219"/>
      <c r="G124" s="219"/>
      <c r="H124" s="219"/>
      <c r="I124" s="193"/>
      <c r="J124" s="193"/>
      <c r="K124" s="193"/>
      <c r="L124" s="193"/>
      <c r="M124" s="193"/>
      <c r="N124" s="193"/>
      <c r="O124" s="207"/>
      <c r="P124" s="219"/>
      <c r="Q124" s="219"/>
      <c r="R124" s="219"/>
      <c r="S124" s="219"/>
      <c r="T124" s="219"/>
    </row>
    <row r="125" spans="1:20" ht="14.1" customHeight="1" x14ac:dyDescent="0.2">
      <c r="A125" s="258">
        <v>49</v>
      </c>
      <c r="B125" s="258"/>
      <c r="C125" s="219"/>
      <c r="D125" s="219"/>
      <c r="E125" s="219"/>
      <c r="F125" s="219"/>
      <c r="G125" s="219"/>
      <c r="H125" s="219"/>
      <c r="I125" s="193"/>
      <c r="J125" s="193"/>
      <c r="K125" s="193"/>
      <c r="L125" s="193"/>
      <c r="M125" s="193"/>
      <c r="N125" s="193"/>
      <c r="O125" s="207"/>
      <c r="P125" s="219"/>
      <c r="Q125" s="219"/>
      <c r="R125" s="219"/>
      <c r="S125" s="219"/>
      <c r="T125" s="219"/>
    </row>
    <row r="126" spans="1:20" ht="14.1" customHeight="1" thickBot="1" x14ac:dyDescent="0.25">
      <c r="A126" s="217">
        <v>50</v>
      </c>
      <c r="B126" s="217" t="s">
        <v>3431</v>
      </c>
      <c r="C126" s="217"/>
      <c r="D126" s="217"/>
      <c r="E126" s="217"/>
      <c r="F126" s="217"/>
      <c r="G126" s="217"/>
      <c r="H126" s="217"/>
      <c r="I126" s="229"/>
      <c r="J126" s="229"/>
      <c r="K126" s="229"/>
      <c r="L126" s="229"/>
      <c r="M126" s="229"/>
      <c r="N126" s="229"/>
      <c r="O126" s="208"/>
      <c r="P126" s="217"/>
      <c r="Q126" s="217"/>
      <c r="R126" s="217"/>
      <c r="S126" s="217"/>
      <c r="T126" s="219"/>
    </row>
    <row r="127" spans="1:20" ht="14.1" customHeight="1" x14ac:dyDescent="0.2">
      <c r="A127" s="257" t="s">
        <v>3584</v>
      </c>
      <c r="B127" s="257"/>
      <c r="C127" s="219"/>
      <c r="D127" s="219"/>
      <c r="E127" s="219"/>
      <c r="F127" s="219"/>
      <c r="G127" s="219"/>
      <c r="H127" s="219"/>
      <c r="I127" s="193"/>
      <c r="J127" s="193"/>
      <c r="K127" s="193"/>
      <c r="L127" s="193"/>
      <c r="M127" s="193"/>
      <c r="N127" s="193"/>
      <c r="O127" s="207"/>
      <c r="P127" s="219"/>
      <c r="Q127" s="219" t="s">
        <v>3585</v>
      </c>
      <c r="R127" s="219"/>
      <c r="S127" s="219"/>
      <c r="T127" s="219"/>
    </row>
    <row r="128" spans="1:20" ht="14.1" customHeight="1" x14ac:dyDescent="0.2">
      <c r="A128" s="258"/>
      <c r="B128" s="258"/>
      <c r="C128" s="219"/>
      <c r="D128" s="219"/>
      <c r="E128" s="219"/>
      <c r="F128" s="219"/>
      <c r="G128" s="219"/>
      <c r="H128" s="219"/>
      <c r="I128" s="193"/>
      <c r="J128" s="193"/>
      <c r="K128" s="193"/>
      <c r="L128" s="193"/>
      <c r="M128" s="193"/>
      <c r="N128" s="193"/>
      <c r="O128" s="207"/>
      <c r="P128" s="219"/>
      <c r="Q128" s="219"/>
      <c r="R128" s="219"/>
      <c r="S128" s="219"/>
      <c r="T128" s="219"/>
    </row>
    <row r="129" spans="1:20" ht="14.1" customHeight="1" thickBot="1" x14ac:dyDescent="0.25">
      <c r="A129" s="256" t="s">
        <v>3373</v>
      </c>
      <c r="B129" s="256"/>
      <c r="C129" s="217"/>
      <c r="D129" s="217"/>
      <c r="E129" s="217"/>
      <c r="F129" s="217"/>
      <c r="G129" s="217"/>
      <c r="H129" s="217" t="s">
        <v>3374</v>
      </c>
      <c r="I129" s="229"/>
      <c r="J129" s="229"/>
      <c r="K129" s="229"/>
      <c r="L129" s="229"/>
      <c r="M129" s="229"/>
      <c r="N129" s="229"/>
      <c r="O129" s="208"/>
      <c r="P129" s="217"/>
      <c r="Q129" s="217"/>
      <c r="R129" s="217"/>
      <c r="S129" s="218" t="s">
        <v>3464</v>
      </c>
      <c r="T129" s="219"/>
    </row>
    <row r="130" spans="1:20" ht="14.1" customHeight="1" x14ac:dyDescent="0.2">
      <c r="A130" s="257" t="s">
        <v>3</v>
      </c>
      <c r="B130" s="257"/>
      <c r="C130" s="219"/>
      <c r="D130" s="219"/>
      <c r="E130" s="219"/>
      <c r="F130" s="220" t="s">
        <v>4</v>
      </c>
      <c r="G130" s="219"/>
      <c r="H130" s="219" t="s">
        <v>3376</v>
      </c>
      <c r="I130" s="193"/>
      <c r="J130" s="193"/>
      <c r="K130" s="230"/>
      <c r="L130" s="230"/>
      <c r="M130" s="193"/>
      <c r="N130" s="230"/>
      <c r="O130" s="209"/>
      <c r="P130" s="221" t="s">
        <v>6</v>
      </c>
      <c r="Q130" s="219"/>
      <c r="R130" s="219"/>
      <c r="S130" s="222"/>
      <c r="T130" s="219"/>
    </row>
    <row r="131" spans="1:20" ht="14.1" customHeight="1" x14ac:dyDescent="0.2">
      <c r="A131" s="258"/>
      <c r="B131" s="258"/>
      <c r="C131" s="219"/>
      <c r="D131" s="219"/>
      <c r="E131" s="219"/>
      <c r="F131" s="219"/>
      <c r="G131" s="219"/>
      <c r="H131" s="219" t="s">
        <v>3377</v>
      </c>
      <c r="I131" s="193"/>
      <c r="J131" s="193"/>
      <c r="K131" s="231"/>
      <c r="L131" s="232"/>
      <c r="M131" s="193"/>
      <c r="N131" s="193"/>
      <c r="O131" s="210"/>
      <c r="P131" s="223" t="s">
        <v>8</v>
      </c>
      <c r="Q131" s="222" t="s">
        <v>81</v>
      </c>
      <c r="R131" s="219"/>
      <c r="S131" s="223"/>
      <c r="T131" s="219"/>
    </row>
    <row r="132" spans="1:20" ht="14.1" customHeight="1" x14ac:dyDescent="0.2">
      <c r="A132" s="258" t="s">
        <v>10</v>
      </c>
      <c r="B132" s="258"/>
      <c r="C132" s="219"/>
      <c r="D132" s="219"/>
      <c r="E132" s="219"/>
      <c r="F132" s="219"/>
      <c r="G132" s="226"/>
      <c r="H132" s="219"/>
      <c r="I132" s="193"/>
      <c r="J132" s="193"/>
      <c r="K132" s="231"/>
      <c r="L132" s="232"/>
      <c r="M132" s="231"/>
      <c r="N132" s="193"/>
      <c r="O132" s="207"/>
      <c r="P132" s="223"/>
      <c r="Q132" s="222" t="s">
        <v>82</v>
      </c>
      <c r="R132" s="219"/>
      <c r="S132" s="223"/>
      <c r="T132" s="219"/>
    </row>
    <row r="133" spans="1:20" ht="14.1" customHeight="1" x14ac:dyDescent="0.2">
      <c r="A133" s="258"/>
      <c r="B133" s="258"/>
      <c r="C133" s="219"/>
      <c r="D133" s="219"/>
      <c r="E133" s="219"/>
      <c r="F133" s="219"/>
      <c r="G133" s="226"/>
      <c r="H133" s="219"/>
      <c r="I133" s="193"/>
      <c r="J133" s="193"/>
      <c r="K133" s="231"/>
      <c r="L133" s="232"/>
      <c r="M133" s="231"/>
      <c r="N133" s="193"/>
      <c r="O133" s="207"/>
      <c r="P133" s="223"/>
      <c r="Q133" s="222" t="s">
        <v>83</v>
      </c>
      <c r="R133" s="219"/>
      <c r="S133" s="223"/>
      <c r="T133" s="219"/>
    </row>
    <row r="134" spans="1:20" ht="14.1" customHeight="1" x14ac:dyDescent="0.2">
      <c r="A134" s="258"/>
      <c r="B134" s="258"/>
      <c r="C134" s="219"/>
      <c r="D134" s="219"/>
      <c r="E134" s="219"/>
      <c r="F134" s="219"/>
      <c r="G134" s="226"/>
      <c r="H134" s="219"/>
      <c r="I134" s="193"/>
      <c r="J134" s="193"/>
      <c r="K134" s="231"/>
      <c r="L134" s="232"/>
      <c r="M134" s="231"/>
      <c r="N134" s="193"/>
      <c r="O134" s="207"/>
      <c r="P134" s="219"/>
      <c r="Q134" s="219" t="s">
        <v>3544</v>
      </c>
      <c r="R134" s="219"/>
      <c r="S134" s="223"/>
      <c r="T134" s="219"/>
    </row>
    <row r="135" spans="1:20" ht="14.1" customHeight="1" thickBot="1" x14ac:dyDescent="0.25">
      <c r="A135" s="256" t="s">
        <v>3545</v>
      </c>
      <c r="B135" s="256"/>
      <c r="C135" s="217"/>
      <c r="D135" s="217"/>
      <c r="E135" s="217"/>
      <c r="F135" s="217"/>
      <c r="G135" s="217"/>
      <c r="H135" s="217"/>
      <c r="I135" s="229" t="s">
        <v>16</v>
      </c>
      <c r="J135" s="229"/>
      <c r="K135" s="229"/>
      <c r="L135" s="229"/>
      <c r="M135" s="229"/>
      <c r="N135" s="229"/>
      <c r="O135" s="208"/>
      <c r="P135" s="217"/>
      <c r="Q135" s="217" t="s">
        <v>3546</v>
      </c>
      <c r="R135" s="217"/>
      <c r="S135" s="217"/>
      <c r="T135" s="219"/>
    </row>
    <row r="136" spans="1:20" ht="14.1" customHeight="1" x14ac:dyDescent="0.2">
      <c r="A136" s="257"/>
      <c r="B136" s="257"/>
      <c r="C136" s="224"/>
      <c r="D136" s="224"/>
      <c r="E136" s="224"/>
      <c r="F136" s="224"/>
      <c r="G136" s="224"/>
      <c r="H136" s="224"/>
      <c r="I136" s="233"/>
      <c r="J136" s="233"/>
      <c r="K136" s="233"/>
      <c r="L136" s="233"/>
      <c r="M136" s="233"/>
      <c r="N136" s="233"/>
      <c r="O136" s="211"/>
      <c r="P136" s="224"/>
      <c r="Q136" s="224"/>
      <c r="R136" s="224"/>
      <c r="S136" s="224"/>
      <c r="T136" s="219"/>
    </row>
    <row r="137" spans="1:20" ht="14.1" customHeight="1" x14ac:dyDescent="0.2">
      <c r="A137" s="258"/>
      <c r="B137" s="258"/>
      <c r="C137" s="224"/>
      <c r="D137" s="224"/>
      <c r="E137" s="224"/>
      <c r="F137" s="224"/>
      <c r="G137" s="224"/>
      <c r="H137" s="224"/>
      <c r="I137" s="233">
        <v>-1</v>
      </c>
      <c r="J137" s="233"/>
      <c r="K137" s="233"/>
      <c r="L137" s="233">
        <v>-2</v>
      </c>
      <c r="M137" s="233"/>
      <c r="N137" s="233"/>
      <c r="O137" s="211">
        <v>-3</v>
      </c>
      <c r="P137" s="224"/>
      <c r="Q137" s="224"/>
      <c r="R137" s="224"/>
      <c r="S137" s="224"/>
      <c r="T137" s="219"/>
    </row>
    <row r="138" spans="1:20" ht="14.1" customHeight="1" x14ac:dyDescent="0.2">
      <c r="A138" s="258"/>
      <c r="B138" s="258"/>
      <c r="C138" s="224"/>
      <c r="D138" s="224"/>
      <c r="E138" s="224"/>
      <c r="F138" s="224"/>
      <c r="G138" s="224"/>
      <c r="H138" s="224"/>
      <c r="I138" s="233"/>
      <c r="J138" s="233"/>
      <c r="K138" s="233"/>
      <c r="L138" s="233"/>
      <c r="M138" s="233"/>
      <c r="N138" s="233"/>
      <c r="O138" s="211" t="s">
        <v>3379</v>
      </c>
      <c r="P138" s="224"/>
      <c r="Q138" s="224"/>
      <c r="R138" s="224"/>
      <c r="S138" s="224"/>
      <c r="T138" s="219"/>
    </row>
    <row r="139" spans="1:20" ht="14.1" customHeight="1" x14ac:dyDescent="0.2">
      <c r="A139" s="258" t="s">
        <v>33</v>
      </c>
      <c r="B139" s="258"/>
      <c r="C139" s="224" t="s">
        <v>34</v>
      </c>
      <c r="D139" s="224"/>
      <c r="E139" s="224"/>
      <c r="F139" s="224" t="s">
        <v>34</v>
      </c>
      <c r="G139" s="224"/>
      <c r="H139" s="224"/>
      <c r="I139" s="233" t="s">
        <v>3380</v>
      </c>
      <c r="J139" s="233"/>
      <c r="K139" s="233"/>
      <c r="L139" s="233" t="s">
        <v>3381</v>
      </c>
      <c r="M139" s="233"/>
      <c r="N139" s="233"/>
      <c r="O139" s="211" t="s">
        <v>3382</v>
      </c>
      <c r="P139" s="224"/>
      <c r="Q139" s="224"/>
      <c r="R139" s="224"/>
      <c r="S139" s="224"/>
      <c r="T139" s="219"/>
    </row>
    <row r="140" spans="1:20" ht="14.1" customHeight="1" thickBot="1" x14ac:dyDescent="0.25">
      <c r="A140" s="256" t="s">
        <v>39</v>
      </c>
      <c r="B140" s="256"/>
      <c r="C140" s="225" t="s">
        <v>39</v>
      </c>
      <c r="D140" s="225"/>
      <c r="E140" s="225"/>
      <c r="F140" s="225" t="s">
        <v>3383</v>
      </c>
      <c r="G140" s="225"/>
      <c r="H140" s="225"/>
      <c r="I140" s="234" t="s">
        <v>3384</v>
      </c>
      <c r="J140" s="234"/>
      <c r="K140" s="234"/>
      <c r="L140" s="234" t="s">
        <v>3379</v>
      </c>
      <c r="M140" s="234"/>
      <c r="N140" s="234"/>
      <c r="O140" s="212" t="s">
        <v>3385</v>
      </c>
      <c r="P140" s="225"/>
      <c r="Q140" s="225"/>
      <c r="R140" s="225"/>
      <c r="S140" s="225"/>
      <c r="T140" s="219"/>
    </row>
    <row r="141" spans="1:20" ht="14.1" customHeight="1" x14ac:dyDescent="0.2">
      <c r="A141" s="257">
        <v>1</v>
      </c>
      <c r="B141" s="257"/>
      <c r="C141" s="224"/>
      <c r="D141" s="219"/>
      <c r="E141" s="219"/>
      <c r="F141" s="219"/>
      <c r="G141" s="219"/>
      <c r="H141" s="219"/>
      <c r="I141" s="193"/>
      <c r="J141" s="193"/>
      <c r="K141" s="193"/>
      <c r="L141" s="193"/>
      <c r="M141" s="193"/>
      <c r="N141" s="193"/>
      <c r="O141" s="207"/>
      <c r="P141" s="219"/>
      <c r="Q141" s="219"/>
      <c r="R141" s="219"/>
      <c r="S141" s="219"/>
      <c r="T141" s="219"/>
    </row>
    <row r="142" spans="1:20" ht="14.1" customHeight="1" x14ac:dyDescent="0.2">
      <c r="A142" s="258">
        <v>2</v>
      </c>
      <c r="B142" s="258"/>
      <c r="C142" s="224"/>
      <c r="D142" s="219"/>
      <c r="E142" s="219" t="s">
        <v>3501</v>
      </c>
      <c r="F142" s="219"/>
      <c r="G142" s="219"/>
      <c r="H142" s="219"/>
      <c r="I142" s="193"/>
      <c r="J142" s="193"/>
      <c r="K142" s="193"/>
      <c r="L142" s="193"/>
      <c r="M142" s="193"/>
      <c r="N142" s="193"/>
      <c r="O142" s="207"/>
      <c r="P142" s="219"/>
      <c r="Q142" s="219"/>
      <c r="R142" s="219"/>
      <c r="S142" s="219"/>
      <c r="T142" s="219"/>
    </row>
    <row r="143" spans="1:20" ht="14.1" customHeight="1" x14ac:dyDescent="0.2">
      <c r="A143" s="258">
        <v>3</v>
      </c>
      <c r="B143" s="258"/>
      <c r="C143" s="224">
        <v>901</v>
      </c>
      <c r="D143" s="219"/>
      <c r="E143" s="219" t="s">
        <v>3616</v>
      </c>
      <c r="F143" s="219"/>
      <c r="G143" s="219"/>
      <c r="H143" s="219"/>
      <c r="I143" s="193" t="s">
        <v>3559</v>
      </c>
      <c r="J143" s="193"/>
      <c r="K143" s="193"/>
      <c r="L143" s="193" t="s">
        <v>3560</v>
      </c>
      <c r="M143" s="193"/>
      <c r="N143" s="193"/>
      <c r="O143" s="207">
        <v>0.99650499999999997</v>
      </c>
      <c r="P143" s="219"/>
      <c r="Q143" s="219"/>
      <c r="R143" s="219"/>
      <c r="S143" s="219"/>
      <c r="T143" s="219"/>
    </row>
    <row r="144" spans="1:20" ht="14.1" customHeight="1" x14ac:dyDescent="0.2">
      <c r="A144" s="258">
        <v>4</v>
      </c>
      <c r="B144" s="258"/>
      <c r="C144" s="224">
        <v>902</v>
      </c>
      <c r="D144" s="219"/>
      <c r="E144" s="219" t="s">
        <v>3617</v>
      </c>
      <c r="F144" s="219"/>
      <c r="G144" s="219"/>
      <c r="H144" s="219"/>
      <c r="I144" s="193">
        <v>4394</v>
      </c>
      <c r="J144" s="193"/>
      <c r="K144" s="193"/>
      <c r="L144" s="193">
        <v>4379</v>
      </c>
      <c r="M144" s="193"/>
      <c r="N144" s="193"/>
      <c r="O144" s="207">
        <v>0.99650499999999997</v>
      </c>
      <c r="P144" s="219"/>
      <c r="Q144" s="219"/>
      <c r="R144" s="219"/>
      <c r="S144" s="219"/>
      <c r="T144" s="219"/>
    </row>
    <row r="145" spans="1:20" ht="14.1" customHeight="1" x14ac:dyDescent="0.2">
      <c r="A145" s="258">
        <v>5</v>
      </c>
      <c r="B145" s="258"/>
      <c r="C145" s="224">
        <v>903</v>
      </c>
      <c r="D145" s="219"/>
      <c r="E145" s="219" t="s">
        <v>3618</v>
      </c>
      <c r="F145" s="219"/>
      <c r="G145" s="219"/>
      <c r="H145" s="219"/>
      <c r="I145" s="193">
        <v>29377</v>
      </c>
      <c r="J145" s="193"/>
      <c r="K145" s="193"/>
      <c r="L145" s="193">
        <v>29274</v>
      </c>
      <c r="M145" s="193"/>
      <c r="N145" s="193"/>
      <c r="O145" s="207">
        <v>0.99650499999999997</v>
      </c>
      <c r="P145" s="219"/>
      <c r="Q145" s="219"/>
      <c r="R145" s="219"/>
      <c r="S145" s="219"/>
      <c r="T145" s="219"/>
    </row>
    <row r="146" spans="1:20" ht="14.1" customHeight="1" x14ac:dyDescent="0.2">
      <c r="A146" s="258">
        <v>6</v>
      </c>
      <c r="B146" s="258"/>
      <c r="C146" s="224">
        <v>904</v>
      </c>
      <c r="D146" s="219"/>
      <c r="E146" s="219" t="s">
        <v>3619</v>
      </c>
      <c r="F146" s="219"/>
      <c r="G146" s="219"/>
      <c r="H146" s="219"/>
      <c r="I146" s="193">
        <v>5797</v>
      </c>
      <c r="J146" s="193"/>
      <c r="K146" s="193"/>
      <c r="L146" s="193">
        <v>5777</v>
      </c>
      <c r="M146" s="193"/>
      <c r="N146" s="193"/>
      <c r="O146" s="207">
        <v>0.99650499999999997</v>
      </c>
      <c r="P146" s="219"/>
      <c r="Q146" s="219"/>
      <c r="R146" s="219"/>
      <c r="S146" s="219"/>
      <c r="T146" s="219"/>
    </row>
    <row r="147" spans="1:20" ht="14.1" customHeight="1" x14ac:dyDescent="0.2">
      <c r="A147" s="258">
        <v>7</v>
      </c>
      <c r="B147" s="258"/>
      <c r="C147" s="224">
        <v>905</v>
      </c>
      <c r="D147" s="219"/>
      <c r="E147" s="219" t="s">
        <v>3620</v>
      </c>
      <c r="F147" s="219"/>
      <c r="G147" s="219"/>
      <c r="H147" s="219"/>
      <c r="I147" s="193" t="s">
        <v>3559</v>
      </c>
      <c r="J147" s="193"/>
      <c r="K147" s="193"/>
      <c r="L147" s="193" t="s">
        <v>3560</v>
      </c>
      <c r="M147" s="193"/>
      <c r="N147" s="193"/>
      <c r="O147" s="207">
        <v>0.99650499999999997</v>
      </c>
      <c r="P147" s="219"/>
      <c r="Q147" s="219"/>
      <c r="R147" s="219"/>
      <c r="S147" s="219"/>
      <c r="T147" s="219"/>
    </row>
    <row r="148" spans="1:20" ht="14.1" customHeight="1" x14ac:dyDescent="0.2">
      <c r="A148" s="258">
        <v>8</v>
      </c>
      <c r="B148" s="258"/>
      <c r="C148" s="224"/>
      <c r="D148" s="219"/>
      <c r="E148" s="219" t="s">
        <v>3621</v>
      </c>
      <c r="F148" s="219"/>
      <c r="G148" s="219"/>
      <c r="H148" s="219"/>
      <c r="I148" s="227">
        <v>39568</v>
      </c>
      <c r="J148" s="193"/>
      <c r="K148" s="193"/>
      <c r="L148" s="227">
        <v>39430</v>
      </c>
      <c r="M148" s="193"/>
      <c r="N148" s="193"/>
      <c r="O148" s="213">
        <v>0.99650499999999997</v>
      </c>
      <c r="P148" s="219"/>
      <c r="Q148" s="219"/>
      <c r="R148" s="219"/>
      <c r="S148" s="219"/>
      <c r="T148" s="219"/>
    </row>
    <row r="149" spans="1:20" ht="14.1" customHeight="1" x14ac:dyDescent="0.2">
      <c r="A149" s="258">
        <v>9</v>
      </c>
      <c r="B149" s="258"/>
      <c r="C149" s="224"/>
      <c r="D149" s="219"/>
      <c r="E149" s="219"/>
      <c r="F149" s="219"/>
      <c r="G149" s="219"/>
      <c r="H149" s="219"/>
      <c r="I149" s="193"/>
      <c r="J149" s="193"/>
      <c r="K149" s="193"/>
      <c r="L149" s="193"/>
      <c r="M149" s="193"/>
      <c r="N149" s="193"/>
      <c r="O149" s="207"/>
      <c r="P149" s="219"/>
      <c r="Q149" s="219"/>
      <c r="R149" s="219"/>
      <c r="S149" s="219"/>
      <c r="T149" s="219"/>
    </row>
    <row r="150" spans="1:20" ht="14.1" customHeight="1" x14ac:dyDescent="0.2">
      <c r="A150" s="258">
        <v>10</v>
      </c>
      <c r="B150" s="258"/>
      <c r="C150" s="224"/>
      <c r="D150" s="219"/>
      <c r="E150" s="219" t="s">
        <v>3507</v>
      </c>
      <c r="F150" s="219"/>
      <c r="G150" s="219"/>
      <c r="H150" s="219"/>
      <c r="I150" s="193"/>
      <c r="J150" s="193"/>
      <c r="K150" s="193"/>
      <c r="L150" s="193"/>
      <c r="M150" s="193"/>
      <c r="N150" s="193"/>
      <c r="O150" s="207"/>
      <c r="P150" s="219"/>
      <c r="Q150" s="219"/>
      <c r="R150" s="219"/>
      <c r="S150" s="219"/>
      <c r="T150" s="219"/>
    </row>
    <row r="151" spans="1:20" ht="14.1" customHeight="1" x14ac:dyDescent="0.2">
      <c r="A151" s="258">
        <v>11</v>
      </c>
      <c r="B151" s="258"/>
      <c r="C151" s="224">
        <v>907</v>
      </c>
      <c r="D151" s="219"/>
      <c r="E151" s="219" t="s">
        <v>3616</v>
      </c>
      <c r="F151" s="219"/>
      <c r="G151" s="219"/>
      <c r="H151" s="219"/>
      <c r="I151" s="193" t="s">
        <v>3559</v>
      </c>
      <c r="J151" s="193"/>
      <c r="K151" s="193"/>
      <c r="L151" s="193" t="s">
        <v>3560</v>
      </c>
      <c r="M151" s="193"/>
      <c r="N151" s="193"/>
      <c r="O151" s="207">
        <v>0.99650499999999997</v>
      </c>
      <c r="P151" s="219"/>
      <c r="Q151" s="219"/>
      <c r="R151" s="219"/>
      <c r="S151" s="219"/>
      <c r="T151" s="219"/>
    </row>
    <row r="152" spans="1:20" ht="14.1" customHeight="1" x14ac:dyDescent="0.2">
      <c r="A152" s="258">
        <v>12</v>
      </c>
      <c r="B152" s="258"/>
      <c r="C152" s="224">
        <v>908</v>
      </c>
      <c r="D152" s="219"/>
      <c r="E152" s="219" t="s">
        <v>3622</v>
      </c>
      <c r="F152" s="219"/>
      <c r="G152" s="219"/>
      <c r="H152" s="219"/>
      <c r="I152" s="193">
        <v>62701</v>
      </c>
      <c r="J152" s="193"/>
      <c r="K152" s="193"/>
      <c r="L152" s="193">
        <v>62482</v>
      </c>
      <c r="M152" s="193"/>
      <c r="N152" s="193"/>
      <c r="O152" s="207">
        <v>0.99650499999999997</v>
      </c>
      <c r="P152" s="219"/>
      <c r="Q152" s="219"/>
      <c r="R152" s="219"/>
      <c r="S152" s="219"/>
      <c r="T152" s="219"/>
    </row>
    <row r="153" spans="1:20" ht="14.1" customHeight="1" x14ac:dyDescent="0.2">
      <c r="A153" s="258">
        <v>13</v>
      </c>
      <c r="B153" s="258"/>
      <c r="C153" s="224">
        <v>909</v>
      </c>
      <c r="D153" s="219"/>
      <c r="E153" s="219" t="s">
        <v>3623</v>
      </c>
      <c r="F153" s="219"/>
      <c r="G153" s="219"/>
      <c r="H153" s="219"/>
      <c r="I153" s="193">
        <v>5484</v>
      </c>
      <c r="J153" s="193"/>
      <c r="K153" s="193"/>
      <c r="L153" s="193">
        <v>5465</v>
      </c>
      <c r="M153" s="193"/>
      <c r="N153" s="193"/>
      <c r="O153" s="207">
        <v>0.99650499999999997</v>
      </c>
      <c r="P153" s="219"/>
      <c r="Q153" s="219"/>
      <c r="R153" s="219"/>
      <c r="S153" s="219"/>
      <c r="T153" s="219"/>
    </row>
    <row r="154" spans="1:20" ht="14.1" customHeight="1" x14ac:dyDescent="0.2">
      <c r="A154" s="258">
        <v>14</v>
      </c>
      <c r="B154" s="258"/>
      <c r="C154" s="224">
        <v>910</v>
      </c>
      <c r="D154" s="219"/>
      <c r="E154" s="219" t="s">
        <v>3624</v>
      </c>
      <c r="F154" s="219"/>
      <c r="G154" s="219"/>
      <c r="H154" s="219"/>
      <c r="I154" s="193" t="s">
        <v>3559</v>
      </c>
      <c r="J154" s="193"/>
      <c r="K154" s="193"/>
      <c r="L154" s="193" t="s">
        <v>3560</v>
      </c>
      <c r="M154" s="193"/>
      <c r="N154" s="193"/>
      <c r="O154" s="207">
        <v>0.99650499999999997</v>
      </c>
      <c r="P154" s="219"/>
      <c r="Q154" s="219"/>
      <c r="R154" s="219"/>
      <c r="S154" s="219"/>
      <c r="T154" s="219"/>
    </row>
    <row r="155" spans="1:20" ht="14.1" customHeight="1" x14ac:dyDescent="0.2">
      <c r="A155" s="258">
        <v>15</v>
      </c>
      <c r="B155" s="258"/>
      <c r="C155" s="224"/>
      <c r="D155" s="219"/>
      <c r="E155" s="219" t="s">
        <v>3625</v>
      </c>
      <c r="F155" s="219"/>
      <c r="G155" s="219"/>
      <c r="H155" s="219"/>
      <c r="I155" s="227">
        <v>68185</v>
      </c>
      <c r="J155" s="193"/>
      <c r="K155" s="193"/>
      <c r="L155" s="227">
        <v>67947</v>
      </c>
      <c r="M155" s="193"/>
      <c r="N155" s="193"/>
      <c r="O155" s="213">
        <v>0.99650499999999997</v>
      </c>
      <c r="P155" s="219"/>
      <c r="Q155" s="219"/>
      <c r="R155" s="219"/>
      <c r="S155" s="219"/>
      <c r="T155" s="219"/>
    </row>
    <row r="156" spans="1:20" ht="14.1" customHeight="1" x14ac:dyDescent="0.2">
      <c r="A156" s="258">
        <v>16</v>
      </c>
      <c r="B156" s="258"/>
      <c r="C156" s="224"/>
      <c r="D156" s="219"/>
      <c r="E156" s="219"/>
      <c r="F156" s="219"/>
      <c r="G156" s="219"/>
      <c r="H156" s="219"/>
      <c r="I156" s="193"/>
      <c r="J156" s="193"/>
      <c r="K156" s="193"/>
      <c r="L156" s="193"/>
      <c r="M156" s="193"/>
      <c r="N156" s="193"/>
      <c r="O156" s="207"/>
      <c r="P156" s="219"/>
      <c r="Q156" s="219"/>
      <c r="R156" s="219"/>
      <c r="S156" s="219"/>
      <c r="T156" s="219"/>
    </row>
    <row r="157" spans="1:20" ht="14.1" customHeight="1" x14ac:dyDescent="0.2">
      <c r="A157" s="258">
        <v>17</v>
      </c>
      <c r="B157" s="258"/>
      <c r="C157" s="224"/>
      <c r="D157" s="219"/>
      <c r="E157" s="219" t="s">
        <v>3512</v>
      </c>
      <c r="F157" s="219"/>
      <c r="G157" s="219"/>
      <c r="H157" s="219"/>
      <c r="I157" s="193"/>
      <c r="J157" s="193"/>
      <c r="K157" s="193"/>
      <c r="L157" s="193"/>
      <c r="M157" s="193"/>
      <c r="N157" s="193"/>
      <c r="O157" s="207"/>
      <c r="P157" s="219"/>
      <c r="Q157" s="219"/>
      <c r="R157" s="219"/>
      <c r="S157" s="219"/>
      <c r="T157" s="219"/>
    </row>
    <row r="158" spans="1:20" ht="14.1" customHeight="1" x14ac:dyDescent="0.2">
      <c r="A158" s="258">
        <v>18</v>
      </c>
      <c r="B158" s="258"/>
      <c r="C158" s="224">
        <v>911</v>
      </c>
      <c r="D158" s="219"/>
      <c r="E158" s="219" t="s">
        <v>3616</v>
      </c>
      <c r="F158" s="219"/>
      <c r="G158" s="219"/>
      <c r="H158" s="219"/>
      <c r="I158" s="193" t="s">
        <v>3559</v>
      </c>
      <c r="J158" s="193"/>
      <c r="K158" s="193"/>
      <c r="L158" s="193" t="s">
        <v>3560</v>
      </c>
      <c r="M158" s="193"/>
      <c r="N158" s="193"/>
      <c r="O158" s="207">
        <v>0.99650499999999997</v>
      </c>
      <c r="P158" s="219"/>
      <c r="Q158" s="219"/>
      <c r="R158" s="219"/>
      <c r="S158" s="219"/>
      <c r="T158" s="219"/>
    </row>
    <row r="159" spans="1:20" ht="14.1" customHeight="1" x14ac:dyDescent="0.2">
      <c r="A159" s="258">
        <v>19</v>
      </c>
      <c r="B159" s="258"/>
      <c r="C159" s="224">
        <v>912</v>
      </c>
      <c r="D159" s="219"/>
      <c r="E159" s="219" t="s">
        <v>3626</v>
      </c>
      <c r="F159" s="219"/>
      <c r="G159" s="219"/>
      <c r="H159" s="219"/>
      <c r="I159" s="193">
        <v>335</v>
      </c>
      <c r="J159" s="193"/>
      <c r="K159" s="193"/>
      <c r="L159" s="193">
        <v>334</v>
      </c>
      <c r="M159" s="193"/>
      <c r="N159" s="193"/>
      <c r="O159" s="207">
        <v>0.99650499999999997</v>
      </c>
      <c r="P159" s="219"/>
      <c r="Q159" s="219"/>
      <c r="R159" s="219"/>
      <c r="S159" s="219"/>
      <c r="T159" s="219"/>
    </row>
    <row r="160" spans="1:20" ht="14.1" customHeight="1" x14ac:dyDescent="0.2">
      <c r="A160" s="258">
        <v>20</v>
      </c>
      <c r="B160" s="258"/>
      <c r="C160" s="224">
        <v>913</v>
      </c>
      <c r="D160" s="219"/>
      <c r="E160" s="219" t="s">
        <v>3627</v>
      </c>
      <c r="F160" s="219"/>
      <c r="G160" s="219"/>
      <c r="H160" s="219"/>
      <c r="I160" s="193" t="s">
        <v>3559</v>
      </c>
      <c r="J160" s="193"/>
      <c r="K160" s="193"/>
      <c r="L160" s="193" t="s">
        <v>3560</v>
      </c>
      <c r="M160" s="193"/>
      <c r="N160" s="193"/>
      <c r="O160" s="207">
        <v>0.99650499999999997</v>
      </c>
      <c r="P160" s="219"/>
      <c r="Q160" s="219"/>
      <c r="R160" s="219"/>
      <c r="S160" s="219"/>
      <c r="T160" s="219"/>
    </row>
    <row r="161" spans="1:20" ht="14.1" customHeight="1" x14ac:dyDescent="0.2">
      <c r="A161" s="258">
        <v>21</v>
      </c>
      <c r="B161" s="258"/>
      <c r="C161" s="224">
        <v>916</v>
      </c>
      <c r="D161" s="219"/>
      <c r="E161" s="219" t="s">
        <v>3628</v>
      </c>
      <c r="F161" s="219"/>
      <c r="G161" s="219"/>
      <c r="H161" s="219"/>
      <c r="I161" s="193" t="s">
        <v>3559</v>
      </c>
      <c r="J161" s="193"/>
      <c r="K161" s="193"/>
      <c r="L161" s="193" t="s">
        <v>3560</v>
      </c>
      <c r="M161" s="193"/>
      <c r="N161" s="193"/>
      <c r="O161" s="207">
        <v>0.99650499999999997</v>
      </c>
      <c r="P161" s="219"/>
      <c r="Q161" s="219"/>
      <c r="R161" s="219"/>
      <c r="S161" s="219"/>
      <c r="T161" s="219"/>
    </row>
    <row r="162" spans="1:20" ht="14.1" customHeight="1" x14ac:dyDescent="0.2">
      <c r="A162" s="258">
        <v>22</v>
      </c>
      <c r="B162" s="258"/>
      <c r="C162" s="224"/>
      <c r="D162" s="219"/>
      <c r="E162" s="219" t="s">
        <v>3629</v>
      </c>
      <c r="F162" s="219"/>
      <c r="G162" s="219"/>
      <c r="H162" s="219"/>
      <c r="I162" s="227">
        <v>335</v>
      </c>
      <c r="J162" s="193"/>
      <c r="K162" s="193"/>
      <c r="L162" s="227">
        <v>334</v>
      </c>
      <c r="M162" s="193"/>
      <c r="N162" s="193"/>
      <c r="O162" s="213">
        <v>0.99650499999999997</v>
      </c>
      <c r="P162" s="219"/>
      <c r="Q162" s="219"/>
      <c r="R162" s="219"/>
      <c r="S162" s="219"/>
      <c r="T162" s="219"/>
    </row>
    <row r="163" spans="1:20" ht="14.1" customHeight="1" x14ac:dyDescent="0.2">
      <c r="A163" s="258">
        <v>23</v>
      </c>
      <c r="B163" s="258"/>
      <c r="C163" s="219"/>
      <c r="D163" s="219"/>
      <c r="E163" s="219"/>
      <c r="F163" s="219"/>
      <c r="G163" s="219"/>
      <c r="H163" s="219"/>
      <c r="I163" s="193"/>
      <c r="J163" s="193"/>
      <c r="K163" s="193"/>
      <c r="L163" s="193"/>
      <c r="M163" s="193"/>
      <c r="N163" s="193"/>
      <c r="O163" s="207"/>
      <c r="P163" s="219"/>
      <c r="Q163" s="219"/>
      <c r="R163" s="219"/>
      <c r="S163" s="219"/>
      <c r="T163" s="219"/>
    </row>
    <row r="164" spans="1:20" ht="14.1" customHeight="1" x14ac:dyDescent="0.2">
      <c r="A164" s="258">
        <v>24</v>
      </c>
      <c r="B164" s="258"/>
      <c r="C164" s="219"/>
      <c r="D164" s="219"/>
      <c r="E164" s="219" t="s">
        <v>3630</v>
      </c>
      <c r="F164" s="219"/>
      <c r="G164" s="219"/>
      <c r="H164" s="219"/>
      <c r="I164" s="193"/>
      <c r="J164" s="193"/>
      <c r="K164" s="193"/>
      <c r="L164" s="193"/>
      <c r="M164" s="193"/>
      <c r="N164" s="193"/>
      <c r="O164" s="207"/>
      <c r="P164" s="219"/>
      <c r="Q164" s="219"/>
      <c r="R164" s="219"/>
      <c r="S164" s="219"/>
      <c r="T164" s="219"/>
    </row>
    <row r="165" spans="1:20" ht="14.1" customHeight="1" x14ac:dyDescent="0.2">
      <c r="A165" s="258">
        <v>25</v>
      </c>
      <c r="B165" s="258"/>
      <c r="C165" s="219"/>
      <c r="D165" s="219"/>
      <c r="E165" s="219" t="s">
        <v>3554</v>
      </c>
      <c r="F165" s="219"/>
      <c r="G165" s="219"/>
      <c r="H165" s="219"/>
      <c r="I165" s="193"/>
      <c r="J165" s="193"/>
      <c r="K165" s="193"/>
      <c r="L165" s="193"/>
      <c r="M165" s="193"/>
      <c r="N165" s="193"/>
      <c r="O165" s="207"/>
      <c r="P165" s="219"/>
      <c r="Q165" s="219"/>
      <c r="R165" s="219"/>
      <c r="S165" s="219"/>
      <c r="T165" s="219"/>
    </row>
    <row r="166" spans="1:20" ht="14.1" customHeight="1" x14ac:dyDescent="0.2">
      <c r="A166" s="258">
        <v>26</v>
      </c>
      <c r="B166" s="258"/>
      <c r="C166" s="224">
        <v>920</v>
      </c>
      <c r="D166" s="219"/>
      <c r="E166" s="219" t="s">
        <v>3631</v>
      </c>
      <c r="F166" s="219"/>
      <c r="G166" s="219"/>
      <c r="H166" s="219"/>
      <c r="I166" s="193">
        <v>73042</v>
      </c>
      <c r="J166" s="193"/>
      <c r="K166" s="193"/>
      <c r="L166" s="193">
        <v>72787</v>
      </c>
      <c r="M166" s="193"/>
      <c r="N166" s="193"/>
      <c r="O166" s="207">
        <v>0.99650499999999997</v>
      </c>
      <c r="P166" s="219"/>
      <c r="Q166" s="219"/>
      <c r="R166" s="219"/>
      <c r="S166" s="219"/>
      <c r="T166" s="219"/>
    </row>
    <row r="167" spans="1:20" ht="14.1" customHeight="1" x14ac:dyDescent="0.2">
      <c r="A167" s="258">
        <v>27</v>
      </c>
      <c r="B167" s="258"/>
      <c r="C167" s="224">
        <v>921</v>
      </c>
      <c r="D167" s="219"/>
      <c r="E167" s="219" t="s">
        <v>3632</v>
      </c>
      <c r="F167" s="219"/>
      <c r="G167" s="219"/>
      <c r="H167" s="219"/>
      <c r="I167" s="193">
        <v>5203</v>
      </c>
      <c r="J167" s="193"/>
      <c r="K167" s="193"/>
      <c r="L167" s="193">
        <v>5185</v>
      </c>
      <c r="M167" s="193"/>
      <c r="N167" s="193"/>
      <c r="O167" s="207">
        <v>0.99650499999999997</v>
      </c>
      <c r="P167" s="219"/>
      <c r="Q167" s="219"/>
      <c r="R167" s="219"/>
      <c r="S167" s="219"/>
      <c r="T167" s="219"/>
    </row>
    <row r="168" spans="1:20" ht="14.1" customHeight="1" x14ac:dyDescent="0.2">
      <c r="A168" s="258">
        <v>28</v>
      </c>
      <c r="B168" s="258"/>
      <c r="C168" s="224">
        <v>922</v>
      </c>
      <c r="D168" s="219"/>
      <c r="E168" s="219" t="s">
        <v>3633</v>
      </c>
      <c r="F168" s="219"/>
      <c r="G168" s="219"/>
      <c r="H168" s="219"/>
      <c r="I168" s="193">
        <v>-58311</v>
      </c>
      <c r="J168" s="193"/>
      <c r="K168" s="193"/>
      <c r="L168" s="193">
        <v>-58107</v>
      </c>
      <c r="M168" s="193"/>
      <c r="N168" s="193"/>
      <c r="O168" s="207">
        <v>0.99650499999999997</v>
      </c>
      <c r="P168" s="219"/>
      <c r="Q168" s="219"/>
      <c r="R168" s="219"/>
      <c r="S168" s="219"/>
      <c r="T168" s="219"/>
    </row>
    <row r="169" spans="1:20" ht="14.1" customHeight="1" x14ac:dyDescent="0.2">
      <c r="A169" s="258">
        <v>29</v>
      </c>
      <c r="B169" s="258"/>
      <c r="C169" s="224">
        <v>923</v>
      </c>
      <c r="D169" s="219"/>
      <c r="E169" s="219" t="s">
        <v>3634</v>
      </c>
      <c r="F169" s="219"/>
      <c r="G169" s="219"/>
      <c r="H169" s="219"/>
      <c r="I169" s="193">
        <v>35273</v>
      </c>
      <c r="J169" s="193"/>
      <c r="K169" s="193"/>
      <c r="L169" s="193">
        <v>35150</v>
      </c>
      <c r="M169" s="193"/>
      <c r="N169" s="193"/>
      <c r="O169" s="207">
        <v>0.99650499999999997</v>
      </c>
      <c r="P169" s="219"/>
      <c r="Q169" s="219"/>
      <c r="R169" s="219"/>
      <c r="S169" s="219"/>
      <c r="T169" s="219"/>
    </row>
    <row r="170" spans="1:20" ht="14.1" customHeight="1" x14ac:dyDescent="0.2">
      <c r="A170" s="258">
        <v>30</v>
      </c>
      <c r="B170" s="258"/>
      <c r="C170" s="224">
        <v>924</v>
      </c>
      <c r="D170" s="219"/>
      <c r="E170" s="219" t="s">
        <v>3635</v>
      </c>
      <c r="F170" s="219"/>
      <c r="G170" s="219"/>
      <c r="H170" s="219"/>
      <c r="I170" s="193">
        <v>19612</v>
      </c>
      <c r="J170" s="193"/>
      <c r="K170" s="193"/>
      <c r="L170" s="193">
        <v>19543</v>
      </c>
      <c r="M170" s="193"/>
      <c r="N170" s="193"/>
      <c r="O170" s="207">
        <v>0.99650499999999997</v>
      </c>
      <c r="P170" s="219"/>
      <c r="Q170" s="219"/>
      <c r="R170" s="219"/>
      <c r="S170" s="219"/>
      <c r="T170" s="219"/>
    </row>
    <row r="171" spans="1:20" ht="14.1" customHeight="1" x14ac:dyDescent="0.2">
      <c r="A171" s="258">
        <v>31</v>
      </c>
      <c r="B171" s="258"/>
      <c r="C171" s="224">
        <v>925</v>
      </c>
      <c r="D171" s="219"/>
      <c r="E171" s="219" t="s">
        <v>3636</v>
      </c>
      <c r="F171" s="219"/>
      <c r="G171" s="219"/>
      <c r="H171" s="219"/>
      <c r="I171" s="193">
        <v>23695</v>
      </c>
      <c r="J171" s="193"/>
      <c r="K171" s="193"/>
      <c r="L171" s="193">
        <v>23612</v>
      </c>
      <c r="M171" s="193"/>
      <c r="N171" s="193"/>
      <c r="O171" s="207">
        <v>0.99650499999999997</v>
      </c>
      <c r="P171" s="219"/>
      <c r="Q171" s="219"/>
      <c r="R171" s="219"/>
      <c r="S171" s="219"/>
      <c r="T171" s="219"/>
    </row>
    <row r="172" spans="1:20" ht="14.1" customHeight="1" x14ac:dyDescent="0.2">
      <c r="A172" s="258">
        <v>32</v>
      </c>
      <c r="B172" s="258"/>
      <c r="C172" s="224">
        <v>926</v>
      </c>
      <c r="D172" s="219"/>
      <c r="E172" s="219" t="s">
        <v>3637</v>
      </c>
      <c r="F172" s="219"/>
      <c r="G172" s="219"/>
      <c r="H172" s="219"/>
      <c r="I172" s="193">
        <v>42359</v>
      </c>
      <c r="J172" s="193"/>
      <c r="K172" s="193"/>
      <c r="L172" s="193">
        <v>42211</v>
      </c>
      <c r="M172" s="193"/>
      <c r="N172" s="193"/>
      <c r="O172" s="207">
        <v>0.99650499999999997</v>
      </c>
      <c r="P172" s="219"/>
      <c r="Q172" s="219"/>
      <c r="R172" s="219"/>
      <c r="S172" s="219"/>
      <c r="T172" s="219"/>
    </row>
    <row r="173" spans="1:20" ht="14.1" customHeight="1" x14ac:dyDescent="0.2">
      <c r="A173" s="258">
        <v>33</v>
      </c>
      <c r="B173" s="258"/>
      <c r="C173" s="224">
        <v>928</v>
      </c>
      <c r="D173" s="219"/>
      <c r="E173" s="219" t="s">
        <v>3638</v>
      </c>
      <c r="F173" s="219"/>
      <c r="G173" s="219"/>
      <c r="H173" s="219"/>
      <c r="I173" s="193">
        <v>2106</v>
      </c>
      <c r="J173" s="193"/>
      <c r="K173" s="193"/>
      <c r="L173" s="193">
        <v>2098</v>
      </c>
      <c r="M173" s="193"/>
      <c r="N173" s="193"/>
      <c r="O173" s="207">
        <v>0.99650499999999997</v>
      </c>
      <c r="P173" s="219"/>
      <c r="Q173" s="219"/>
      <c r="R173" s="219"/>
      <c r="S173" s="219"/>
      <c r="T173" s="219"/>
    </row>
    <row r="174" spans="1:20" ht="14.1" customHeight="1" x14ac:dyDescent="0.2">
      <c r="A174" s="258">
        <v>34</v>
      </c>
      <c r="B174" s="258"/>
      <c r="C174" s="224">
        <v>929</v>
      </c>
      <c r="D174" s="219"/>
      <c r="E174" s="219" t="s">
        <v>3639</v>
      </c>
      <c r="F174" s="219"/>
      <c r="G174" s="219"/>
      <c r="H174" s="219"/>
      <c r="I174" s="193" t="s">
        <v>3559</v>
      </c>
      <c r="J174" s="193"/>
      <c r="K174" s="193"/>
      <c r="L174" s="193" t="s">
        <v>3560</v>
      </c>
      <c r="M174" s="193"/>
      <c r="N174" s="193"/>
      <c r="O174" s="207">
        <v>0.99650499999999997</v>
      </c>
      <c r="P174" s="219"/>
      <c r="Q174" s="219"/>
      <c r="R174" s="219"/>
      <c r="S174" s="219"/>
      <c r="T174" s="219"/>
    </row>
    <row r="175" spans="1:20" ht="14.1" customHeight="1" x14ac:dyDescent="0.2">
      <c r="A175" s="258">
        <v>35</v>
      </c>
      <c r="B175" s="258"/>
      <c r="C175" s="224">
        <v>930</v>
      </c>
      <c r="D175" s="219"/>
      <c r="E175" s="219" t="s">
        <v>3640</v>
      </c>
      <c r="F175" s="219"/>
      <c r="G175" s="219"/>
      <c r="H175" s="219"/>
      <c r="I175" s="193">
        <v>18419</v>
      </c>
      <c r="J175" s="193"/>
      <c r="K175" s="193"/>
      <c r="L175" s="193">
        <v>18355</v>
      </c>
      <c r="M175" s="193"/>
      <c r="N175" s="193"/>
      <c r="O175" s="207">
        <v>0.99650499999999997</v>
      </c>
      <c r="P175" s="219"/>
      <c r="Q175" s="219"/>
      <c r="R175" s="219"/>
      <c r="S175" s="219"/>
      <c r="T175" s="219"/>
    </row>
    <row r="176" spans="1:20" ht="14.1" customHeight="1" x14ac:dyDescent="0.2">
      <c r="A176" s="258">
        <v>36</v>
      </c>
      <c r="B176" s="258"/>
      <c r="C176" s="224">
        <v>931</v>
      </c>
      <c r="D176" s="219"/>
      <c r="E176" s="219" t="s">
        <v>3563</v>
      </c>
      <c r="F176" s="219"/>
      <c r="G176" s="219"/>
      <c r="H176" s="219"/>
      <c r="I176" s="193">
        <v>1860</v>
      </c>
      <c r="J176" s="193"/>
      <c r="K176" s="193"/>
      <c r="L176" s="193">
        <v>1854</v>
      </c>
      <c r="M176" s="193"/>
      <c r="N176" s="193"/>
      <c r="O176" s="207">
        <v>0.99650499999999997</v>
      </c>
      <c r="P176" s="219"/>
      <c r="Q176" s="219"/>
      <c r="R176" s="219"/>
      <c r="S176" s="219"/>
      <c r="T176" s="219"/>
    </row>
    <row r="177" spans="1:20" ht="14.1" customHeight="1" x14ac:dyDescent="0.2">
      <c r="A177" s="258">
        <v>37</v>
      </c>
      <c r="B177" s="258"/>
      <c r="C177" s="219"/>
      <c r="D177" s="219"/>
      <c r="E177" s="219" t="s">
        <v>3429</v>
      </c>
      <c r="F177" s="219"/>
      <c r="G177" s="219"/>
      <c r="H177" s="219"/>
      <c r="I177" s="193">
        <v>48</v>
      </c>
      <c r="J177" s="193"/>
      <c r="K177" s="193"/>
      <c r="L177" s="193">
        <v>48</v>
      </c>
      <c r="M177" s="193"/>
      <c r="N177" s="193"/>
      <c r="O177" s="207">
        <v>0.99650499999999997</v>
      </c>
      <c r="P177" s="219"/>
      <c r="Q177" s="219"/>
      <c r="R177" s="219"/>
      <c r="S177" s="219"/>
      <c r="T177" s="219"/>
    </row>
    <row r="178" spans="1:20" ht="14.1" customHeight="1" x14ac:dyDescent="0.2">
      <c r="A178" s="258">
        <v>38</v>
      </c>
      <c r="B178" s="258"/>
      <c r="C178" s="219"/>
      <c r="D178" s="219"/>
      <c r="E178" s="219" t="s">
        <v>3641</v>
      </c>
      <c r="F178" s="219"/>
      <c r="G178" s="219"/>
      <c r="H178" s="219"/>
      <c r="I178" s="227">
        <v>163307</v>
      </c>
      <c r="J178" s="193"/>
      <c r="K178" s="193"/>
      <c r="L178" s="227">
        <v>162737</v>
      </c>
      <c r="M178" s="193"/>
      <c r="N178" s="193"/>
      <c r="O178" s="213">
        <v>0.99650499999999997</v>
      </c>
      <c r="P178" s="219"/>
      <c r="Q178" s="219"/>
      <c r="R178" s="219"/>
      <c r="S178" s="219"/>
      <c r="T178" s="219"/>
    </row>
    <row r="179" spans="1:20" ht="14.1" customHeight="1" x14ac:dyDescent="0.2">
      <c r="A179" s="258">
        <v>39</v>
      </c>
      <c r="B179" s="258"/>
      <c r="C179" s="219"/>
      <c r="D179" s="219"/>
      <c r="E179" s="219" t="s">
        <v>3401</v>
      </c>
      <c r="F179" s="219"/>
      <c r="G179" s="219"/>
      <c r="H179" s="219"/>
      <c r="I179" s="193"/>
      <c r="J179" s="193"/>
      <c r="K179" s="193"/>
      <c r="L179" s="193"/>
      <c r="M179" s="193"/>
      <c r="N179" s="193"/>
      <c r="O179" s="207"/>
      <c r="P179" s="219"/>
      <c r="Q179" s="219"/>
      <c r="R179" s="219"/>
      <c r="S179" s="219"/>
      <c r="T179" s="219"/>
    </row>
    <row r="180" spans="1:20" ht="14.1" customHeight="1" x14ac:dyDescent="0.2">
      <c r="A180" s="258">
        <v>40</v>
      </c>
      <c r="B180" s="258"/>
      <c r="C180" s="224">
        <v>935</v>
      </c>
      <c r="D180" s="219"/>
      <c r="E180" s="219" t="s">
        <v>3577</v>
      </c>
      <c r="F180" s="219"/>
      <c r="G180" s="219"/>
      <c r="H180" s="219"/>
      <c r="I180" s="193">
        <v>1934</v>
      </c>
      <c r="J180" s="193"/>
      <c r="K180" s="193"/>
      <c r="L180" s="193">
        <v>1928</v>
      </c>
      <c r="M180" s="193"/>
      <c r="N180" s="193"/>
      <c r="O180" s="207">
        <v>0.99650499999999997</v>
      </c>
      <c r="P180" s="219"/>
      <c r="Q180" s="219"/>
      <c r="R180" s="219"/>
      <c r="S180" s="219"/>
      <c r="T180" s="219"/>
    </row>
    <row r="181" spans="1:20" ht="14.1" customHeight="1" x14ac:dyDescent="0.2">
      <c r="A181" s="258">
        <v>41</v>
      </c>
      <c r="B181" s="258"/>
      <c r="C181" s="224"/>
      <c r="D181" s="219"/>
      <c r="E181" s="219" t="s">
        <v>3642</v>
      </c>
      <c r="F181" s="219"/>
      <c r="G181" s="219"/>
      <c r="H181" s="219"/>
      <c r="I181" s="227">
        <v>1934</v>
      </c>
      <c r="J181" s="193"/>
      <c r="K181" s="193"/>
      <c r="L181" s="227">
        <v>1928</v>
      </c>
      <c r="M181" s="193"/>
      <c r="N181" s="193"/>
      <c r="O181" s="215">
        <v>0.99650499999999997</v>
      </c>
      <c r="P181" s="219"/>
      <c r="Q181" s="219"/>
      <c r="R181" s="219"/>
      <c r="S181" s="219"/>
      <c r="T181" s="219"/>
    </row>
    <row r="182" spans="1:20" ht="14.1" customHeight="1" x14ac:dyDescent="0.2">
      <c r="A182" s="258">
        <v>42</v>
      </c>
      <c r="B182" s="258"/>
      <c r="C182" s="224"/>
      <c r="D182" s="219"/>
      <c r="E182" s="219" t="s">
        <v>3643</v>
      </c>
      <c r="F182" s="219"/>
      <c r="G182" s="219"/>
      <c r="H182" s="219"/>
      <c r="I182" s="227">
        <v>165242</v>
      </c>
      <c r="J182" s="193"/>
      <c r="K182" s="193"/>
      <c r="L182" s="227">
        <v>164664</v>
      </c>
      <c r="M182" s="193"/>
      <c r="N182" s="193"/>
      <c r="O182" s="213">
        <v>0.99650499999999997</v>
      </c>
      <c r="P182" s="219"/>
      <c r="Q182" s="219"/>
      <c r="R182" s="219"/>
      <c r="S182" s="219"/>
      <c r="T182" s="219"/>
    </row>
    <row r="183" spans="1:20" ht="14.1" customHeight="1" x14ac:dyDescent="0.2">
      <c r="A183" s="258">
        <v>43</v>
      </c>
      <c r="B183" s="258"/>
      <c r="C183" s="219"/>
      <c r="D183" s="219"/>
      <c r="E183" s="219"/>
      <c r="F183" s="219"/>
      <c r="G183" s="219"/>
      <c r="H183" s="219"/>
      <c r="I183" s="193"/>
      <c r="J183" s="193"/>
      <c r="K183" s="193"/>
      <c r="L183" s="193"/>
      <c r="M183" s="193"/>
      <c r="N183" s="193"/>
      <c r="O183" s="207"/>
      <c r="P183" s="219"/>
      <c r="Q183" s="219"/>
      <c r="R183" s="219"/>
      <c r="S183" s="219"/>
      <c r="T183" s="219"/>
    </row>
    <row r="184" spans="1:20" ht="14.1" customHeight="1" x14ac:dyDescent="0.2">
      <c r="A184" s="258">
        <v>44</v>
      </c>
      <c r="B184" s="258"/>
      <c r="C184" s="219"/>
      <c r="D184" s="219"/>
      <c r="E184" s="219"/>
      <c r="F184" s="219"/>
      <c r="G184" s="219"/>
      <c r="H184" s="219"/>
      <c r="I184" s="193"/>
      <c r="J184" s="193"/>
      <c r="K184" s="193"/>
      <c r="L184" s="193"/>
      <c r="M184" s="193"/>
      <c r="N184" s="193"/>
      <c r="O184" s="207"/>
      <c r="P184" s="219"/>
      <c r="Q184" s="219"/>
      <c r="R184" s="219"/>
      <c r="S184" s="219"/>
      <c r="T184" s="219"/>
    </row>
    <row r="185" spans="1:20" ht="14.1" customHeight="1" x14ac:dyDescent="0.2">
      <c r="A185" s="258">
        <v>45</v>
      </c>
      <c r="B185" s="258"/>
      <c r="C185" s="219"/>
      <c r="D185" s="219"/>
      <c r="E185" s="219"/>
      <c r="F185" s="219"/>
      <c r="G185" s="219"/>
      <c r="H185" s="219"/>
      <c r="I185" s="193"/>
      <c r="J185" s="193"/>
      <c r="K185" s="193"/>
      <c r="L185" s="193"/>
      <c r="M185" s="193"/>
      <c r="N185" s="193"/>
      <c r="O185" s="207"/>
      <c r="P185" s="219"/>
      <c r="Q185" s="219"/>
      <c r="R185" s="219"/>
      <c r="S185" s="219"/>
      <c r="T185" s="219"/>
    </row>
    <row r="186" spans="1:20" ht="14.1" customHeight="1" x14ac:dyDescent="0.2">
      <c r="A186" s="258">
        <v>46</v>
      </c>
      <c r="B186" s="258"/>
      <c r="C186" s="219"/>
      <c r="D186" s="219"/>
      <c r="E186" s="219"/>
      <c r="F186" s="219"/>
      <c r="G186" s="219"/>
      <c r="H186" s="219"/>
      <c r="I186" s="193"/>
      <c r="J186" s="193"/>
      <c r="K186" s="193"/>
      <c r="L186" s="193"/>
      <c r="M186" s="193"/>
      <c r="N186" s="193"/>
      <c r="O186" s="207"/>
      <c r="P186" s="219"/>
      <c r="Q186" s="219"/>
      <c r="R186" s="219"/>
      <c r="S186" s="219"/>
      <c r="T186" s="219"/>
    </row>
    <row r="187" spans="1:20" ht="14.1" customHeight="1" x14ac:dyDescent="0.2">
      <c r="A187" s="258">
        <v>47</v>
      </c>
      <c r="B187" s="258"/>
      <c r="C187" s="219"/>
      <c r="D187" s="219"/>
      <c r="E187" s="219"/>
      <c r="F187" s="219"/>
      <c r="G187" s="219"/>
      <c r="H187" s="219"/>
      <c r="I187" s="193"/>
      <c r="J187" s="193"/>
      <c r="K187" s="193"/>
      <c r="L187" s="193"/>
      <c r="M187" s="193"/>
      <c r="N187" s="193"/>
      <c r="O187" s="207"/>
      <c r="P187" s="219"/>
      <c r="Q187" s="219"/>
      <c r="R187" s="219"/>
      <c r="S187" s="219"/>
      <c r="T187" s="219"/>
    </row>
    <row r="188" spans="1:20" ht="14.1" customHeight="1" x14ac:dyDescent="0.2">
      <c r="A188" s="258">
        <v>48</v>
      </c>
      <c r="B188" s="258"/>
      <c r="C188" s="224"/>
      <c r="D188" s="219"/>
      <c r="E188" s="219"/>
      <c r="F188" s="219"/>
      <c r="G188" s="219"/>
      <c r="H188" s="219"/>
      <c r="I188" s="193"/>
      <c r="J188" s="193"/>
      <c r="K188" s="193"/>
      <c r="L188" s="193"/>
      <c r="M188" s="193"/>
      <c r="N188" s="193"/>
      <c r="O188" s="207"/>
      <c r="P188" s="219"/>
      <c r="Q188" s="219"/>
      <c r="R188" s="219"/>
      <c r="S188" s="219"/>
      <c r="T188" s="219"/>
    </row>
    <row r="189" spans="1:20" ht="14.1" customHeight="1" thickBot="1" x14ac:dyDescent="0.25">
      <c r="A189" s="217">
        <v>49</v>
      </c>
      <c r="B189" s="217" t="s">
        <v>3431</v>
      </c>
      <c r="C189" s="217"/>
      <c r="D189" s="217"/>
      <c r="E189" s="217"/>
      <c r="F189" s="217"/>
      <c r="G189" s="217"/>
      <c r="H189" s="217"/>
      <c r="I189" s="229"/>
      <c r="J189" s="229"/>
      <c r="K189" s="229"/>
      <c r="L189" s="229"/>
      <c r="M189" s="229"/>
      <c r="N189" s="229"/>
      <c r="O189" s="208"/>
      <c r="P189" s="217"/>
      <c r="Q189" s="217"/>
      <c r="R189" s="217"/>
      <c r="S189" s="217"/>
      <c r="T189" s="219"/>
    </row>
    <row r="190" spans="1:20" ht="14.1" customHeight="1" x14ac:dyDescent="0.2">
      <c r="A190" s="257" t="s">
        <v>3584</v>
      </c>
      <c r="B190" s="257"/>
      <c r="C190" s="219"/>
      <c r="D190" s="219"/>
      <c r="E190" s="219"/>
      <c r="F190" s="219"/>
      <c r="G190" s="219"/>
      <c r="H190" s="219"/>
      <c r="I190" s="193"/>
      <c r="J190" s="193"/>
      <c r="K190" s="193"/>
      <c r="L190" s="193"/>
      <c r="M190" s="193"/>
      <c r="N190" s="193"/>
      <c r="O190" s="207"/>
      <c r="P190" s="219"/>
      <c r="Q190" s="219" t="s">
        <v>3585</v>
      </c>
      <c r="R190" s="219"/>
      <c r="S190" s="219"/>
      <c r="T190" s="219"/>
    </row>
    <row r="191" spans="1:20" ht="14.1" customHeight="1" x14ac:dyDescent="0.2">
      <c r="A191" s="258"/>
      <c r="B191" s="258"/>
      <c r="C191" s="219"/>
      <c r="D191" s="219"/>
      <c r="E191" s="219"/>
      <c r="F191" s="219"/>
      <c r="G191" s="219"/>
      <c r="H191" s="219"/>
      <c r="I191" s="193"/>
      <c r="J191" s="193"/>
      <c r="K191" s="193"/>
      <c r="L191" s="193"/>
      <c r="M191" s="193"/>
      <c r="N191" s="193"/>
      <c r="O191" s="207"/>
      <c r="P191" s="219"/>
      <c r="Q191" s="219"/>
      <c r="R191" s="219"/>
      <c r="S191" s="219"/>
      <c r="T191" s="219"/>
    </row>
    <row r="192" spans="1:20" ht="14.1" customHeight="1" thickBot="1" x14ac:dyDescent="0.25">
      <c r="A192" s="256" t="s">
        <v>3373</v>
      </c>
      <c r="B192" s="256"/>
      <c r="C192" s="217"/>
      <c r="D192" s="217"/>
      <c r="E192" s="217"/>
      <c r="F192" s="217"/>
      <c r="G192" s="217"/>
      <c r="H192" s="217" t="s">
        <v>3374</v>
      </c>
      <c r="I192" s="229"/>
      <c r="J192" s="229"/>
      <c r="K192" s="229"/>
      <c r="L192" s="229"/>
      <c r="M192" s="229"/>
      <c r="N192" s="229"/>
      <c r="O192" s="208"/>
      <c r="P192" s="217"/>
      <c r="Q192" s="217"/>
      <c r="R192" s="217"/>
      <c r="S192" s="218" t="s">
        <v>3516</v>
      </c>
      <c r="T192" s="219"/>
    </row>
    <row r="193" spans="1:20" ht="14.1" customHeight="1" x14ac:dyDescent="0.2">
      <c r="A193" s="257" t="s">
        <v>3</v>
      </c>
      <c r="B193" s="257"/>
      <c r="C193" s="219"/>
      <c r="D193" s="219"/>
      <c r="E193" s="219"/>
      <c r="F193" s="220" t="s">
        <v>4</v>
      </c>
      <c r="G193" s="223"/>
      <c r="H193" s="219" t="s">
        <v>3376</v>
      </c>
      <c r="I193" s="193"/>
      <c r="J193" s="193"/>
      <c r="K193" s="230"/>
      <c r="L193" s="230"/>
      <c r="M193" s="193"/>
      <c r="N193" s="230"/>
      <c r="O193" s="209"/>
      <c r="P193" s="221" t="s">
        <v>6</v>
      </c>
      <c r="Q193" s="219"/>
      <c r="R193" s="219"/>
      <c r="S193" s="222"/>
      <c r="T193" s="219"/>
    </row>
    <row r="194" spans="1:20" ht="14.1" customHeight="1" x14ac:dyDescent="0.2">
      <c r="A194" s="258"/>
      <c r="B194" s="258"/>
      <c r="C194" s="219"/>
      <c r="D194" s="219"/>
      <c r="E194" s="219"/>
      <c r="F194" s="219"/>
      <c r="G194" s="219"/>
      <c r="H194" s="219" t="s">
        <v>3377</v>
      </c>
      <c r="I194" s="193"/>
      <c r="J194" s="193"/>
      <c r="K194" s="231"/>
      <c r="L194" s="232"/>
      <c r="M194" s="193"/>
      <c r="N194" s="193"/>
      <c r="O194" s="210"/>
      <c r="P194" s="223" t="s">
        <v>8</v>
      </c>
      <c r="Q194" s="222" t="s">
        <v>81</v>
      </c>
      <c r="R194" s="219"/>
      <c r="S194" s="223"/>
      <c r="T194" s="219"/>
    </row>
    <row r="195" spans="1:20" ht="14.1" customHeight="1" x14ac:dyDescent="0.2">
      <c r="A195" s="258" t="s">
        <v>10</v>
      </c>
      <c r="B195" s="258"/>
      <c r="C195" s="219"/>
      <c r="D195" s="219"/>
      <c r="E195" s="219"/>
      <c r="F195" s="219"/>
      <c r="G195" s="226"/>
      <c r="H195" s="219"/>
      <c r="I195" s="193"/>
      <c r="J195" s="193"/>
      <c r="K195" s="231"/>
      <c r="L195" s="232"/>
      <c r="M195" s="231"/>
      <c r="N195" s="193"/>
      <c r="O195" s="207"/>
      <c r="P195" s="223"/>
      <c r="Q195" s="222" t="s">
        <v>82</v>
      </c>
      <c r="R195" s="219"/>
      <c r="S195" s="223"/>
      <c r="T195" s="219"/>
    </row>
    <row r="196" spans="1:20" ht="14.1" customHeight="1" x14ac:dyDescent="0.2">
      <c r="A196" s="258"/>
      <c r="B196" s="258"/>
      <c r="C196" s="219"/>
      <c r="D196" s="219"/>
      <c r="E196" s="219"/>
      <c r="F196" s="219"/>
      <c r="G196" s="226"/>
      <c r="H196" s="219"/>
      <c r="I196" s="193"/>
      <c r="J196" s="193"/>
      <c r="K196" s="231"/>
      <c r="L196" s="232"/>
      <c r="M196" s="231"/>
      <c r="N196" s="193"/>
      <c r="O196" s="207"/>
      <c r="P196" s="223"/>
      <c r="Q196" s="222" t="s">
        <v>83</v>
      </c>
      <c r="R196" s="219"/>
      <c r="S196" s="223"/>
      <c r="T196" s="219"/>
    </row>
    <row r="197" spans="1:20" ht="14.1" customHeight="1" x14ac:dyDescent="0.2">
      <c r="A197" s="258"/>
      <c r="B197" s="258"/>
      <c r="C197" s="219"/>
      <c r="D197" s="219"/>
      <c r="E197" s="219"/>
      <c r="F197" s="219"/>
      <c r="G197" s="226"/>
      <c r="H197" s="219"/>
      <c r="I197" s="193"/>
      <c r="J197" s="193"/>
      <c r="K197" s="231"/>
      <c r="L197" s="232"/>
      <c r="M197" s="231"/>
      <c r="N197" s="193"/>
      <c r="O197" s="207"/>
      <c r="P197" s="219"/>
      <c r="Q197" s="219" t="s">
        <v>3544</v>
      </c>
      <c r="R197" s="219"/>
      <c r="S197" s="223"/>
      <c r="T197" s="219"/>
    </row>
    <row r="198" spans="1:20" ht="14.1" customHeight="1" thickBot="1" x14ac:dyDescent="0.25">
      <c r="A198" s="256" t="s">
        <v>3545</v>
      </c>
      <c r="B198" s="256"/>
      <c r="C198" s="217"/>
      <c r="D198" s="217"/>
      <c r="E198" s="217"/>
      <c r="F198" s="217"/>
      <c r="G198" s="217"/>
      <c r="H198" s="217"/>
      <c r="I198" s="229" t="s">
        <v>16</v>
      </c>
      <c r="J198" s="229"/>
      <c r="K198" s="229"/>
      <c r="L198" s="229"/>
      <c r="M198" s="229"/>
      <c r="N198" s="229"/>
      <c r="O198" s="208"/>
      <c r="P198" s="217"/>
      <c r="Q198" s="217" t="s">
        <v>3546</v>
      </c>
      <c r="R198" s="217"/>
      <c r="S198" s="217"/>
      <c r="T198" s="219"/>
    </row>
    <row r="199" spans="1:20" ht="14.1" customHeight="1" x14ac:dyDescent="0.2">
      <c r="A199" s="257"/>
      <c r="B199" s="257"/>
      <c r="C199" s="224"/>
      <c r="D199" s="224"/>
      <c r="E199" s="224"/>
      <c r="F199" s="224"/>
      <c r="G199" s="224"/>
      <c r="H199" s="224"/>
      <c r="I199" s="233"/>
      <c r="J199" s="233"/>
      <c r="K199" s="233"/>
      <c r="L199" s="233"/>
      <c r="M199" s="233"/>
      <c r="N199" s="233"/>
      <c r="O199" s="211"/>
      <c r="P199" s="224"/>
      <c r="Q199" s="224"/>
      <c r="R199" s="224"/>
      <c r="S199" s="224"/>
      <c r="T199" s="219"/>
    </row>
    <row r="200" spans="1:20" ht="14.1" customHeight="1" x14ac:dyDescent="0.2">
      <c r="A200" s="258"/>
      <c r="B200" s="258"/>
      <c r="C200" s="224"/>
      <c r="D200" s="224"/>
      <c r="E200" s="224"/>
      <c r="F200" s="224"/>
      <c r="G200" s="224"/>
      <c r="H200" s="224"/>
      <c r="I200" s="233">
        <v>-1</v>
      </c>
      <c r="J200" s="233"/>
      <c r="K200" s="233"/>
      <c r="L200" s="233">
        <v>-2</v>
      </c>
      <c r="M200" s="233"/>
      <c r="N200" s="233"/>
      <c r="O200" s="211">
        <v>-3</v>
      </c>
      <c r="P200" s="224"/>
      <c r="Q200" s="224"/>
      <c r="R200" s="224"/>
      <c r="S200" s="224"/>
      <c r="T200" s="219"/>
    </row>
    <row r="201" spans="1:20" ht="14.1" customHeight="1" x14ac:dyDescent="0.2">
      <c r="A201" s="258"/>
      <c r="B201" s="258"/>
      <c r="C201" s="224"/>
      <c r="D201" s="224"/>
      <c r="E201" s="224"/>
      <c r="F201" s="224"/>
      <c r="G201" s="224"/>
      <c r="H201" s="224"/>
      <c r="I201" s="233"/>
      <c r="J201" s="233"/>
      <c r="K201" s="233"/>
      <c r="L201" s="233"/>
      <c r="M201" s="233"/>
      <c r="N201" s="233"/>
      <c r="O201" s="211" t="s">
        <v>3379</v>
      </c>
      <c r="P201" s="224"/>
      <c r="Q201" s="224"/>
      <c r="R201" s="224"/>
      <c r="S201" s="224"/>
      <c r="T201" s="219"/>
    </row>
    <row r="202" spans="1:20" ht="14.1" customHeight="1" x14ac:dyDescent="0.2">
      <c r="A202" s="258" t="s">
        <v>33</v>
      </c>
      <c r="B202" s="258"/>
      <c r="C202" s="224" t="s">
        <v>34</v>
      </c>
      <c r="D202" s="224"/>
      <c r="E202" s="224"/>
      <c r="F202" s="224" t="s">
        <v>34</v>
      </c>
      <c r="G202" s="224"/>
      <c r="H202" s="224"/>
      <c r="I202" s="233" t="s">
        <v>3380</v>
      </c>
      <c r="J202" s="233"/>
      <c r="K202" s="233"/>
      <c r="L202" s="233" t="s">
        <v>3381</v>
      </c>
      <c r="M202" s="233"/>
      <c r="N202" s="233"/>
      <c r="O202" s="211" t="s">
        <v>3382</v>
      </c>
      <c r="P202" s="224"/>
      <c r="Q202" s="224"/>
      <c r="R202" s="224"/>
      <c r="S202" s="224"/>
      <c r="T202" s="219"/>
    </row>
    <row r="203" spans="1:20" ht="14.1" customHeight="1" thickBot="1" x14ac:dyDescent="0.25">
      <c r="A203" s="256" t="s">
        <v>39</v>
      </c>
      <c r="B203" s="256"/>
      <c r="C203" s="225" t="s">
        <v>39</v>
      </c>
      <c r="D203" s="225"/>
      <c r="E203" s="225"/>
      <c r="F203" s="225" t="s">
        <v>3383</v>
      </c>
      <c r="G203" s="225"/>
      <c r="H203" s="225"/>
      <c r="I203" s="234" t="s">
        <v>3384</v>
      </c>
      <c r="J203" s="234"/>
      <c r="K203" s="234"/>
      <c r="L203" s="234" t="s">
        <v>3379</v>
      </c>
      <c r="M203" s="234"/>
      <c r="N203" s="234"/>
      <c r="O203" s="212" t="s">
        <v>3385</v>
      </c>
      <c r="P203" s="225"/>
      <c r="Q203" s="225"/>
      <c r="R203" s="225"/>
      <c r="S203" s="225"/>
      <c r="T203" s="219"/>
    </row>
    <row r="204" spans="1:20" ht="14.1" customHeight="1" x14ac:dyDescent="0.2">
      <c r="A204" s="257">
        <v>1</v>
      </c>
      <c r="B204" s="257"/>
      <c r="C204" s="219"/>
      <c r="D204" s="219"/>
      <c r="E204" s="219"/>
      <c r="F204" s="219"/>
      <c r="G204" s="219"/>
      <c r="H204" s="219"/>
      <c r="I204" s="193"/>
      <c r="J204" s="193"/>
      <c r="K204" s="193"/>
      <c r="L204" s="193"/>
      <c r="M204" s="193"/>
      <c r="N204" s="193"/>
      <c r="O204" s="207"/>
      <c r="P204" s="219"/>
      <c r="Q204" s="219"/>
      <c r="R204" s="219"/>
      <c r="S204" s="219"/>
      <c r="T204" s="219"/>
    </row>
    <row r="205" spans="1:20" ht="14.1" customHeight="1" x14ac:dyDescent="0.2">
      <c r="A205" s="258">
        <v>2</v>
      </c>
      <c r="B205" s="258"/>
      <c r="C205" s="224"/>
      <c r="D205" s="219"/>
      <c r="E205" s="219" t="s">
        <v>3644</v>
      </c>
      <c r="F205" s="219"/>
      <c r="G205" s="219"/>
      <c r="H205" s="219"/>
      <c r="I205" s="193"/>
      <c r="J205" s="193"/>
      <c r="K205" s="193"/>
      <c r="L205" s="193"/>
      <c r="M205" s="193"/>
      <c r="N205" s="193"/>
      <c r="O205" s="207"/>
      <c r="P205" s="219"/>
      <c r="Q205" s="219"/>
      <c r="R205" s="219"/>
      <c r="S205" s="219"/>
      <c r="T205" s="219"/>
    </row>
    <row r="206" spans="1:20" ht="14.1" customHeight="1" x14ac:dyDescent="0.2">
      <c r="A206" s="258">
        <v>3</v>
      </c>
      <c r="B206" s="258"/>
      <c r="C206" s="224">
        <v>407.3</v>
      </c>
      <c r="D206" s="219"/>
      <c r="E206" s="219" t="s">
        <v>3645</v>
      </c>
      <c r="F206" s="219"/>
      <c r="G206" s="219"/>
      <c r="H206" s="219"/>
      <c r="I206" s="193">
        <v>3132</v>
      </c>
      <c r="J206" s="193"/>
      <c r="K206" s="193"/>
      <c r="L206" s="193">
        <v>3132</v>
      </c>
      <c r="M206" s="193"/>
      <c r="N206" s="193"/>
      <c r="O206" s="207">
        <v>1</v>
      </c>
      <c r="P206" s="219"/>
      <c r="Q206" s="219"/>
      <c r="R206" s="219"/>
      <c r="S206" s="219"/>
      <c r="T206" s="219"/>
    </row>
    <row r="207" spans="1:20" ht="14.1" customHeight="1" x14ac:dyDescent="0.2">
      <c r="A207" s="258">
        <v>4</v>
      </c>
      <c r="B207" s="258"/>
      <c r="C207" s="224">
        <v>407.3</v>
      </c>
      <c r="D207" s="219"/>
      <c r="E207" s="219" t="s">
        <v>3646</v>
      </c>
      <c r="F207" s="219"/>
      <c r="G207" s="219"/>
      <c r="H207" s="219"/>
      <c r="I207" s="193">
        <v>235</v>
      </c>
      <c r="J207" s="193"/>
      <c r="K207" s="193"/>
      <c r="L207" s="193">
        <v>235</v>
      </c>
      <c r="M207" s="193"/>
      <c r="N207" s="193"/>
      <c r="O207" s="207">
        <v>1</v>
      </c>
      <c r="P207" s="219"/>
      <c r="Q207" s="219"/>
      <c r="R207" s="219"/>
      <c r="S207" s="219"/>
      <c r="T207" s="219"/>
    </row>
    <row r="208" spans="1:20" ht="14.1" customHeight="1" x14ac:dyDescent="0.2">
      <c r="A208" s="258">
        <v>5</v>
      </c>
      <c r="B208" s="258"/>
      <c r="C208" s="224">
        <v>407.3</v>
      </c>
      <c r="D208" s="219"/>
      <c r="E208" s="219" t="s">
        <v>3647</v>
      </c>
      <c r="F208" s="219"/>
      <c r="G208" s="219"/>
      <c r="H208" s="219"/>
      <c r="I208" s="193" t="s">
        <v>3559</v>
      </c>
      <c r="J208" s="193"/>
      <c r="K208" s="193"/>
      <c r="L208" s="193" t="s">
        <v>3560</v>
      </c>
      <c r="M208" s="193"/>
      <c r="N208" s="193"/>
      <c r="O208" s="207">
        <v>0.99650499999999997</v>
      </c>
      <c r="P208" s="219"/>
      <c r="Q208" s="219"/>
      <c r="R208" s="219"/>
      <c r="S208" s="219"/>
      <c r="T208" s="219"/>
    </row>
    <row r="209" spans="1:20" ht="14.1" customHeight="1" x14ac:dyDescent="0.2">
      <c r="A209" s="258">
        <v>6</v>
      </c>
      <c r="B209" s="258"/>
      <c r="C209" s="224">
        <v>407.3</v>
      </c>
      <c r="D209" s="219"/>
      <c r="E209" s="219" t="s">
        <v>3648</v>
      </c>
      <c r="F209" s="219"/>
      <c r="G209" s="219"/>
      <c r="H209" s="219"/>
      <c r="I209" s="193" t="s">
        <v>3559</v>
      </c>
      <c r="J209" s="193"/>
      <c r="K209" s="193"/>
      <c r="L209" s="193" t="s">
        <v>3560</v>
      </c>
      <c r="M209" s="193"/>
      <c r="N209" s="193"/>
      <c r="O209" s="207">
        <v>0.99650499999999997</v>
      </c>
      <c r="P209" s="219"/>
      <c r="Q209" s="219"/>
      <c r="R209" s="219"/>
      <c r="S209" s="219"/>
      <c r="T209" s="219"/>
    </row>
    <row r="210" spans="1:20" ht="14.1" customHeight="1" x14ac:dyDescent="0.2">
      <c r="A210" s="258">
        <v>7</v>
      </c>
      <c r="B210" s="258"/>
      <c r="C210" s="224">
        <v>407.3</v>
      </c>
      <c r="D210" s="219"/>
      <c r="E210" s="222" t="s">
        <v>3649</v>
      </c>
      <c r="F210" s="219"/>
      <c r="G210" s="219"/>
      <c r="H210" s="219"/>
      <c r="I210" s="193">
        <v>-5523</v>
      </c>
      <c r="J210" s="193"/>
      <c r="K210" s="193"/>
      <c r="L210" s="193">
        <v>-5503</v>
      </c>
      <c r="M210" s="193"/>
      <c r="N210" s="193"/>
      <c r="O210" s="207">
        <v>0.99650499999999997</v>
      </c>
      <c r="P210" s="219"/>
      <c r="Q210" s="219"/>
      <c r="R210" s="219"/>
      <c r="S210" s="219"/>
      <c r="T210" s="219"/>
    </row>
    <row r="211" spans="1:20" ht="14.1" customHeight="1" x14ac:dyDescent="0.2">
      <c r="A211" s="258">
        <v>8</v>
      </c>
      <c r="B211" s="258"/>
      <c r="C211" s="224">
        <v>407.4</v>
      </c>
      <c r="D211" s="219"/>
      <c r="E211" s="219" t="s">
        <v>3650</v>
      </c>
      <c r="F211" s="219"/>
      <c r="G211" s="219"/>
      <c r="H211" s="219"/>
      <c r="I211" s="193">
        <v>-19089</v>
      </c>
      <c r="J211" s="193"/>
      <c r="K211" s="193"/>
      <c r="L211" s="193">
        <v>-19089</v>
      </c>
      <c r="M211" s="193"/>
      <c r="N211" s="193"/>
      <c r="O211" s="207">
        <v>1</v>
      </c>
      <c r="P211" s="219"/>
      <c r="Q211" s="219"/>
      <c r="R211" s="219"/>
      <c r="S211" s="219"/>
      <c r="T211" s="219"/>
    </row>
    <row r="212" spans="1:20" ht="14.1" customHeight="1" x14ac:dyDescent="0.2">
      <c r="A212" s="258">
        <v>9</v>
      </c>
      <c r="B212" s="258"/>
      <c r="C212" s="224">
        <v>407.4</v>
      </c>
      <c r="D212" s="219"/>
      <c r="E212" s="219" t="s">
        <v>3651</v>
      </c>
      <c r="F212" s="219"/>
      <c r="G212" s="219"/>
      <c r="H212" s="219"/>
      <c r="I212" s="193">
        <v>-4497</v>
      </c>
      <c r="J212" s="193"/>
      <c r="K212" s="193"/>
      <c r="L212" s="193">
        <v>-4497</v>
      </c>
      <c r="M212" s="193"/>
      <c r="N212" s="193"/>
      <c r="O212" s="207">
        <v>1</v>
      </c>
      <c r="P212" s="219"/>
      <c r="Q212" s="219"/>
      <c r="R212" s="219"/>
      <c r="S212" s="219"/>
      <c r="T212" s="219"/>
    </row>
    <row r="213" spans="1:20" ht="14.1" customHeight="1" x14ac:dyDescent="0.2">
      <c r="A213" s="258">
        <v>10</v>
      </c>
      <c r="B213" s="258"/>
      <c r="C213" s="224">
        <v>407.4</v>
      </c>
      <c r="D213" s="219"/>
      <c r="E213" s="219" t="s">
        <v>3652</v>
      </c>
      <c r="F213" s="219"/>
      <c r="G213" s="219"/>
      <c r="H213" s="219"/>
      <c r="I213" s="193">
        <v>0</v>
      </c>
      <c r="J213" s="193"/>
      <c r="K213" s="193"/>
      <c r="L213" s="193">
        <v>0</v>
      </c>
      <c r="M213" s="193"/>
      <c r="N213" s="193"/>
      <c r="O213" s="207">
        <v>0.99650499999999997</v>
      </c>
      <c r="P213" s="219"/>
      <c r="Q213" s="219"/>
      <c r="R213" s="219"/>
      <c r="S213" s="219"/>
      <c r="T213" s="219"/>
    </row>
    <row r="214" spans="1:20" ht="14.1" customHeight="1" x14ac:dyDescent="0.2">
      <c r="A214" s="258">
        <v>11</v>
      </c>
      <c r="B214" s="258"/>
      <c r="C214" s="224">
        <v>407.4</v>
      </c>
      <c r="D214" s="219"/>
      <c r="E214" s="219" t="s">
        <v>3653</v>
      </c>
      <c r="F214" s="219"/>
      <c r="G214" s="219"/>
      <c r="H214" s="219"/>
      <c r="I214" s="193">
        <v>-49</v>
      </c>
      <c r="J214" s="193"/>
      <c r="K214" s="193"/>
      <c r="L214" s="193">
        <v>-49</v>
      </c>
      <c r="M214" s="193"/>
      <c r="N214" s="193"/>
      <c r="O214" s="207">
        <v>0.99650499999999997</v>
      </c>
      <c r="P214" s="219"/>
      <c r="Q214" s="219"/>
      <c r="R214" s="219"/>
      <c r="S214" s="219"/>
      <c r="T214" s="219"/>
    </row>
    <row r="215" spans="1:20" ht="14.1" customHeight="1" x14ac:dyDescent="0.2">
      <c r="A215" s="258">
        <v>12</v>
      </c>
      <c r="B215" s="258"/>
      <c r="C215" s="224">
        <v>407.4</v>
      </c>
      <c r="D215" s="219"/>
      <c r="E215" s="219" t="s">
        <v>3654</v>
      </c>
      <c r="F215" s="219"/>
      <c r="G215" s="219"/>
      <c r="H215" s="219"/>
      <c r="I215" s="193">
        <v>-11699</v>
      </c>
      <c r="J215" s="193"/>
      <c r="K215" s="193"/>
      <c r="L215" s="193">
        <v>-11658</v>
      </c>
      <c r="M215" s="193"/>
      <c r="N215" s="193"/>
      <c r="O215" s="207">
        <v>0.99650499999999997</v>
      </c>
      <c r="P215" s="219"/>
      <c r="Q215" s="219"/>
      <c r="R215" s="219"/>
      <c r="S215" s="219"/>
      <c r="T215" s="219"/>
    </row>
    <row r="216" spans="1:20" ht="14.1" customHeight="1" x14ac:dyDescent="0.2">
      <c r="A216" s="258">
        <v>13</v>
      </c>
      <c r="B216" s="258"/>
      <c r="C216" s="224"/>
      <c r="D216" s="219"/>
      <c r="E216" s="219" t="s">
        <v>3655</v>
      </c>
      <c r="F216" s="219"/>
      <c r="G216" s="219"/>
      <c r="H216" s="219"/>
      <c r="I216" s="227">
        <v>-37489</v>
      </c>
      <c r="J216" s="193"/>
      <c r="K216" s="193"/>
      <c r="L216" s="227">
        <v>-37429</v>
      </c>
      <c r="M216" s="193"/>
      <c r="N216" s="193"/>
      <c r="O216" s="215">
        <v>0.99839</v>
      </c>
      <c r="P216" s="219"/>
      <c r="Q216" s="219"/>
      <c r="R216" s="219"/>
      <c r="S216" s="219"/>
      <c r="T216" s="219"/>
    </row>
    <row r="217" spans="1:20" ht="14.1" customHeight="1" x14ac:dyDescent="0.2">
      <c r="A217" s="258">
        <v>14</v>
      </c>
      <c r="B217" s="258"/>
      <c r="C217" s="219"/>
      <c r="D217" s="219"/>
      <c r="E217" s="219"/>
      <c r="F217" s="219"/>
      <c r="G217" s="219"/>
      <c r="H217" s="219"/>
      <c r="I217" s="193"/>
      <c r="J217" s="193"/>
      <c r="K217" s="193"/>
      <c r="L217" s="193"/>
      <c r="M217" s="193"/>
      <c r="N217" s="193"/>
      <c r="O217" s="207"/>
      <c r="P217" s="219"/>
      <c r="Q217" s="219"/>
      <c r="R217" s="219"/>
      <c r="S217" s="219"/>
      <c r="T217" s="219"/>
    </row>
    <row r="218" spans="1:20" ht="14.1" customHeight="1" x14ac:dyDescent="0.2">
      <c r="A218" s="258">
        <v>15</v>
      </c>
      <c r="B218" s="258"/>
      <c r="C218" s="219"/>
      <c r="D218" s="219"/>
      <c r="E218" s="219"/>
      <c r="F218" s="219"/>
      <c r="G218" s="219"/>
      <c r="H218" s="219"/>
      <c r="I218" s="193"/>
      <c r="J218" s="193"/>
      <c r="K218" s="193"/>
      <c r="L218" s="193"/>
      <c r="M218" s="193"/>
      <c r="N218" s="193"/>
      <c r="O218" s="207"/>
      <c r="P218" s="219"/>
      <c r="Q218" s="219"/>
      <c r="R218" s="219"/>
      <c r="S218" s="219"/>
      <c r="T218" s="219"/>
    </row>
    <row r="219" spans="1:20" ht="14.1" customHeight="1" x14ac:dyDescent="0.2">
      <c r="A219" s="258">
        <v>16</v>
      </c>
      <c r="B219" s="258"/>
      <c r="C219" s="219"/>
      <c r="D219" s="219"/>
      <c r="E219" s="219" t="s">
        <v>3656</v>
      </c>
      <c r="F219" s="219"/>
      <c r="G219" s="219"/>
      <c r="H219" s="219"/>
      <c r="I219" s="227">
        <v>1165921</v>
      </c>
      <c r="J219" s="193"/>
      <c r="K219" s="193"/>
      <c r="L219" s="227">
        <v>1164232</v>
      </c>
      <c r="M219" s="193"/>
      <c r="N219" s="193"/>
      <c r="O219" s="213">
        <v>0.99855099999999997</v>
      </c>
      <c r="P219" s="219"/>
      <c r="Q219" s="219"/>
      <c r="R219" s="219"/>
      <c r="S219" s="219"/>
      <c r="T219" s="219"/>
    </row>
    <row r="220" spans="1:20" ht="14.1" customHeight="1" x14ac:dyDescent="0.2">
      <c r="A220" s="258">
        <v>17</v>
      </c>
      <c r="B220" s="258"/>
      <c r="C220" s="219"/>
      <c r="D220" s="219"/>
      <c r="E220" s="219"/>
      <c r="F220" s="219"/>
      <c r="G220" s="219"/>
      <c r="H220" s="219"/>
      <c r="I220" s="193"/>
      <c r="J220" s="193"/>
      <c r="K220" s="193"/>
      <c r="L220" s="193"/>
      <c r="M220" s="193"/>
      <c r="N220" s="193"/>
      <c r="O220" s="207"/>
      <c r="P220" s="219"/>
      <c r="Q220" s="219"/>
      <c r="R220" s="219"/>
      <c r="S220" s="219"/>
      <c r="T220" s="219"/>
    </row>
    <row r="221" spans="1:20" ht="14.1" customHeight="1" x14ac:dyDescent="0.2">
      <c r="A221" s="258">
        <v>18</v>
      </c>
      <c r="B221" s="258"/>
      <c r="C221" s="219"/>
      <c r="D221" s="219"/>
      <c r="E221" s="219"/>
      <c r="F221" s="219"/>
      <c r="G221" s="219"/>
      <c r="H221" s="219"/>
      <c r="I221" s="193"/>
      <c r="J221" s="193"/>
      <c r="K221" s="193"/>
      <c r="L221" s="193"/>
      <c r="M221" s="193"/>
      <c r="N221" s="193"/>
      <c r="O221" s="207"/>
      <c r="P221" s="219"/>
      <c r="Q221" s="219"/>
      <c r="R221" s="219"/>
      <c r="S221" s="219"/>
      <c r="T221" s="219"/>
    </row>
    <row r="222" spans="1:20" ht="14.1" customHeight="1" x14ac:dyDescent="0.2">
      <c r="A222" s="258">
        <v>19</v>
      </c>
      <c r="B222" s="258"/>
      <c r="C222" s="224"/>
      <c r="D222" s="219"/>
      <c r="E222" s="219" t="s">
        <v>3657</v>
      </c>
      <c r="F222" s="219"/>
      <c r="G222" s="219"/>
      <c r="H222" s="219"/>
      <c r="I222" s="193"/>
      <c r="J222" s="193"/>
      <c r="K222" s="193"/>
      <c r="L222" s="193"/>
      <c r="M222" s="193"/>
      <c r="N222" s="193"/>
      <c r="O222" s="207"/>
      <c r="P222" s="219"/>
      <c r="Q222" s="219"/>
      <c r="R222" s="219"/>
      <c r="S222" s="219"/>
      <c r="T222" s="219"/>
    </row>
    <row r="223" spans="1:20" ht="14.1" customHeight="1" x14ac:dyDescent="0.2">
      <c r="A223" s="258">
        <v>20</v>
      </c>
      <c r="B223" s="258"/>
      <c r="C223" s="224">
        <v>403</v>
      </c>
      <c r="D223" s="219"/>
      <c r="E223" s="222" t="s">
        <v>3658</v>
      </c>
      <c r="F223" s="219"/>
      <c r="G223" s="219"/>
      <c r="H223" s="219"/>
      <c r="I223" s="193">
        <v>524972</v>
      </c>
      <c r="J223" s="193"/>
      <c r="K223" s="193"/>
      <c r="L223" s="193">
        <v>522791</v>
      </c>
      <c r="M223" s="193"/>
      <c r="N223" s="193"/>
      <c r="O223" s="207">
        <v>0.99584600000000001</v>
      </c>
      <c r="P223" s="219"/>
      <c r="Q223" s="219"/>
      <c r="R223" s="219"/>
      <c r="S223" s="219"/>
      <c r="T223" s="219"/>
    </row>
    <row r="224" spans="1:20" ht="14.1" customHeight="1" x14ac:dyDescent="0.2">
      <c r="A224" s="258">
        <v>21</v>
      </c>
      <c r="B224" s="258"/>
      <c r="C224" s="224">
        <v>404</v>
      </c>
      <c r="D224" s="219"/>
      <c r="E224" s="222" t="s">
        <v>3659</v>
      </c>
      <c r="F224" s="219"/>
      <c r="G224" s="219"/>
      <c r="H224" s="219"/>
      <c r="I224" s="193">
        <v>40245</v>
      </c>
      <c r="J224" s="193"/>
      <c r="K224" s="193"/>
      <c r="L224" s="193">
        <v>40078</v>
      </c>
      <c r="M224" s="193"/>
      <c r="N224" s="193"/>
      <c r="O224" s="207">
        <v>0.99584600000000001</v>
      </c>
      <c r="P224" s="219"/>
      <c r="Q224" s="219"/>
      <c r="R224" s="219"/>
      <c r="S224" s="219"/>
      <c r="T224" s="219"/>
    </row>
    <row r="225" spans="1:20" ht="14.1" customHeight="1" x14ac:dyDescent="0.2">
      <c r="A225" s="258">
        <v>22</v>
      </c>
      <c r="B225" s="258"/>
      <c r="C225" s="224">
        <v>406</v>
      </c>
      <c r="D225" s="219"/>
      <c r="E225" s="222" t="s">
        <v>3660</v>
      </c>
      <c r="F225" s="219"/>
      <c r="G225" s="219"/>
      <c r="H225" s="219"/>
      <c r="I225" s="193">
        <v>186</v>
      </c>
      <c r="J225" s="193"/>
      <c r="K225" s="193"/>
      <c r="L225" s="193">
        <v>185</v>
      </c>
      <c r="M225" s="193"/>
      <c r="N225" s="193"/>
      <c r="O225" s="207">
        <v>0.99584600000000001</v>
      </c>
      <c r="P225" s="219"/>
      <c r="Q225" s="219"/>
      <c r="R225" s="219"/>
      <c r="S225" s="219"/>
      <c r="T225" s="219"/>
    </row>
    <row r="226" spans="1:20" ht="14.1" customHeight="1" x14ac:dyDescent="0.2">
      <c r="A226" s="258">
        <v>23</v>
      </c>
      <c r="B226" s="258"/>
      <c r="C226" s="224">
        <v>407</v>
      </c>
      <c r="D226" s="219"/>
      <c r="E226" s="222" t="s">
        <v>3661</v>
      </c>
      <c r="F226" s="219"/>
      <c r="G226" s="219"/>
      <c r="H226" s="219"/>
      <c r="I226" s="193">
        <v>21858</v>
      </c>
      <c r="J226" s="193"/>
      <c r="K226" s="193"/>
      <c r="L226" s="193">
        <v>21768</v>
      </c>
      <c r="M226" s="193"/>
      <c r="N226" s="193"/>
      <c r="O226" s="207">
        <v>0.99584600000000001</v>
      </c>
      <c r="P226" s="219"/>
      <c r="Q226" s="219"/>
      <c r="R226" s="219"/>
      <c r="S226" s="219"/>
      <c r="T226" s="219"/>
    </row>
    <row r="227" spans="1:20" ht="14.1" customHeight="1" x14ac:dyDescent="0.2">
      <c r="A227" s="258">
        <v>24</v>
      </c>
      <c r="B227" s="258"/>
      <c r="C227" s="219"/>
      <c r="D227" s="219"/>
      <c r="E227" s="219"/>
      <c r="F227" s="219"/>
      <c r="G227" s="219"/>
      <c r="H227" s="219"/>
      <c r="I227" s="227">
        <v>587261</v>
      </c>
      <c r="J227" s="193"/>
      <c r="K227" s="193"/>
      <c r="L227" s="227">
        <v>584821</v>
      </c>
      <c r="M227" s="193"/>
      <c r="N227" s="193"/>
      <c r="O227" s="213">
        <v>0.99584600000000001</v>
      </c>
      <c r="P227" s="219"/>
      <c r="Q227" s="219"/>
      <c r="R227" s="219"/>
      <c r="S227" s="219"/>
      <c r="T227" s="219"/>
    </row>
    <row r="228" spans="1:20" ht="14.1" customHeight="1" x14ac:dyDescent="0.2">
      <c r="A228" s="258">
        <v>25</v>
      </c>
      <c r="B228" s="258"/>
      <c r="C228" s="219"/>
      <c r="D228" s="219"/>
      <c r="E228" s="219"/>
      <c r="F228" s="219"/>
      <c r="G228" s="219"/>
      <c r="H228" s="219"/>
      <c r="I228" s="193"/>
      <c r="J228" s="193"/>
      <c r="K228" s="193"/>
      <c r="L228" s="193"/>
      <c r="M228" s="193"/>
      <c r="N228" s="193"/>
      <c r="O228" s="207"/>
      <c r="P228" s="219"/>
      <c r="Q228" s="219"/>
      <c r="R228" s="219"/>
      <c r="S228" s="219"/>
      <c r="T228" s="219"/>
    </row>
    <row r="229" spans="1:20" ht="14.1" customHeight="1" x14ac:dyDescent="0.2">
      <c r="A229" s="258">
        <v>26</v>
      </c>
      <c r="B229" s="258"/>
      <c r="C229" s="219"/>
      <c r="D229" s="219"/>
      <c r="E229" s="219" t="s">
        <v>3530</v>
      </c>
      <c r="F229" s="219"/>
      <c r="G229" s="219"/>
      <c r="H229" s="219"/>
      <c r="I229" s="193"/>
      <c r="J229" s="193"/>
      <c r="K229" s="193"/>
      <c r="L229" s="193"/>
      <c r="M229" s="193"/>
      <c r="N229" s="193"/>
      <c r="O229" s="207"/>
      <c r="P229" s="219"/>
      <c r="Q229" s="219"/>
      <c r="R229" s="219"/>
      <c r="S229" s="219"/>
      <c r="T229" s="219"/>
    </row>
    <row r="230" spans="1:20" ht="14.1" customHeight="1" x14ac:dyDescent="0.2">
      <c r="A230" s="258">
        <v>27</v>
      </c>
      <c r="B230" s="258"/>
      <c r="C230" s="224">
        <v>408.1</v>
      </c>
      <c r="D230" s="219"/>
      <c r="E230" s="219" t="s">
        <v>3662</v>
      </c>
      <c r="F230" s="219"/>
      <c r="G230" s="219"/>
      <c r="H230" s="219"/>
      <c r="I230" s="193">
        <v>15957</v>
      </c>
      <c r="J230" s="193"/>
      <c r="K230" s="193"/>
      <c r="L230" s="193">
        <v>15918</v>
      </c>
      <c r="M230" s="193"/>
      <c r="N230" s="193"/>
      <c r="O230" s="207">
        <v>0.99754500000000002</v>
      </c>
      <c r="P230" s="219"/>
      <c r="Q230" s="219"/>
      <c r="R230" s="219"/>
      <c r="S230" s="219"/>
      <c r="T230" s="219"/>
    </row>
    <row r="231" spans="1:20" ht="14.1" customHeight="1" x14ac:dyDescent="0.2">
      <c r="A231" s="258">
        <v>28</v>
      </c>
      <c r="B231" s="258"/>
      <c r="C231" s="224">
        <v>408.1</v>
      </c>
      <c r="D231" s="219"/>
      <c r="E231" s="219" t="s">
        <v>3663</v>
      </c>
      <c r="F231" s="219"/>
      <c r="G231" s="219"/>
      <c r="H231" s="219"/>
      <c r="I231" s="193">
        <v>58263</v>
      </c>
      <c r="J231" s="193"/>
      <c r="K231" s="193"/>
      <c r="L231" s="193">
        <v>58120</v>
      </c>
      <c r="M231" s="193"/>
      <c r="N231" s="193"/>
      <c r="O231" s="207">
        <v>0.99754500000000002</v>
      </c>
      <c r="P231" s="219"/>
      <c r="Q231" s="219"/>
      <c r="R231" s="219"/>
      <c r="S231" s="219"/>
      <c r="T231" s="219"/>
    </row>
    <row r="232" spans="1:20" ht="14.1" customHeight="1" x14ac:dyDescent="0.2">
      <c r="A232" s="258">
        <v>29</v>
      </c>
      <c r="B232" s="258"/>
      <c r="C232" s="224">
        <v>408.1</v>
      </c>
      <c r="D232" s="219"/>
      <c r="E232" s="219" t="s">
        <v>3664</v>
      </c>
      <c r="F232" s="219"/>
      <c r="G232" s="219"/>
      <c r="H232" s="219"/>
      <c r="I232" s="193">
        <v>90687</v>
      </c>
      <c r="J232" s="193"/>
      <c r="K232" s="193"/>
      <c r="L232" s="193">
        <v>90464</v>
      </c>
      <c r="M232" s="193"/>
      <c r="N232" s="193"/>
      <c r="O232" s="207">
        <v>0.99754500000000002</v>
      </c>
      <c r="P232" s="219"/>
      <c r="Q232" s="219"/>
      <c r="R232" s="219"/>
      <c r="S232" s="219"/>
      <c r="T232" s="219"/>
    </row>
    <row r="233" spans="1:20" ht="14.1" customHeight="1" x14ac:dyDescent="0.2">
      <c r="A233" s="258">
        <v>30</v>
      </c>
      <c r="B233" s="258"/>
      <c r="C233" s="224">
        <v>408.1</v>
      </c>
      <c r="D233" s="219"/>
      <c r="E233" s="219" t="s">
        <v>3665</v>
      </c>
      <c r="F233" s="219"/>
      <c r="G233" s="219"/>
      <c r="H233" s="219"/>
      <c r="I233" s="193">
        <v>269</v>
      </c>
      <c r="J233" s="193"/>
      <c r="K233" s="193"/>
      <c r="L233" s="193">
        <v>268</v>
      </c>
      <c r="M233" s="193"/>
      <c r="N233" s="193"/>
      <c r="O233" s="207">
        <v>0.99754500000000002</v>
      </c>
      <c r="P233" s="219"/>
      <c r="Q233" s="219"/>
      <c r="R233" s="219"/>
      <c r="S233" s="219"/>
      <c r="T233" s="219"/>
    </row>
    <row r="234" spans="1:20" ht="14.1" customHeight="1" x14ac:dyDescent="0.2">
      <c r="A234" s="258">
        <v>31</v>
      </c>
      <c r="B234" s="258"/>
      <c r="C234" s="224">
        <v>408.1</v>
      </c>
      <c r="D234" s="219"/>
      <c r="E234" s="219" t="s">
        <v>3666</v>
      </c>
      <c r="F234" s="219"/>
      <c r="G234" s="219"/>
      <c r="H234" s="219"/>
      <c r="I234" s="193">
        <v>1826</v>
      </c>
      <c r="J234" s="193"/>
      <c r="K234" s="193"/>
      <c r="L234" s="193">
        <v>1821</v>
      </c>
      <c r="M234" s="193"/>
      <c r="N234" s="193"/>
      <c r="O234" s="207">
        <v>0.99754500000000002</v>
      </c>
      <c r="P234" s="219"/>
      <c r="Q234" s="219"/>
      <c r="R234" s="219"/>
      <c r="S234" s="219"/>
      <c r="T234" s="219"/>
    </row>
    <row r="235" spans="1:20" ht="14.1" customHeight="1" x14ac:dyDescent="0.2">
      <c r="A235" s="258">
        <v>32</v>
      </c>
      <c r="B235" s="258"/>
      <c r="C235" s="224">
        <v>408.1</v>
      </c>
      <c r="D235" s="219"/>
      <c r="E235" s="219" t="s">
        <v>3667</v>
      </c>
      <c r="F235" s="219"/>
      <c r="G235" s="219"/>
      <c r="H235" s="219"/>
      <c r="I235" s="193">
        <v>61357</v>
      </c>
      <c r="J235" s="193"/>
      <c r="K235" s="193"/>
      <c r="L235" s="193">
        <v>61206</v>
      </c>
      <c r="M235" s="193"/>
      <c r="N235" s="193"/>
      <c r="O235" s="207">
        <v>0.99754500000000002</v>
      </c>
      <c r="P235" s="219"/>
      <c r="Q235" s="219" t="s">
        <v>1098</v>
      </c>
      <c r="R235" s="219"/>
      <c r="S235" s="219"/>
      <c r="T235" s="219"/>
    </row>
    <row r="236" spans="1:20" ht="14.1" customHeight="1" x14ac:dyDescent="0.2">
      <c r="A236" s="258">
        <v>33</v>
      </c>
      <c r="B236" s="258"/>
      <c r="C236" s="219"/>
      <c r="D236" s="219"/>
      <c r="E236" s="219"/>
      <c r="F236" s="219"/>
      <c r="G236" s="219"/>
      <c r="H236" s="219"/>
      <c r="I236" s="227">
        <v>228359</v>
      </c>
      <c r="J236" s="193"/>
      <c r="K236" s="193"/>
      <c r="L236" s="227">
        <v>227798</v>
      </c>
      <c r="M236" s="193"/>
      <c r="N236" s="193"/>
      <c r="O236" s="213">
        <v>0.99754500000000002</v>
      </c>
      <c r="P236" s="219"/>
      <c r="Q236" s="219"/>
      <c r="R236" s="219"/>
      <c r="S236" s="219"/>
      <c r="T236" s="219"/>
    </row>
    <row r="237" spans="1:20" ht="14.1" customHeight="1" x14ac:dyDescent="0.2">
      <c r="A237" s="258">
        <v>34</v>
      </c>
      <c r="B237" s="258"/>
      <c r="C237" s="219"/>
      <c r="D237" s="219"/>
      <c r="E237" s="219"/>
      <c r="F237" s="219"/>
      <c r="G237" s="219"/>
      <c r="H237" s="219"/>
      <c r="I237" s="193"/>
      <c r="J237" s="193"/>
      <c r="K237" s="193"/>
      <c r="L237" s="193"/>
      <c r="M237" s="193"/>
      <c r="N237" s="193"/>
      <c r="O237" s="207"/>
      <c r="P237" s="219"/>
      <c r="Q237" s="219"/>
      <c r="R237" s="219"/>
      <c r="S237" s="219"/>
      <c r="T237" s="219"/>
    </row>
    <row r="238" spans="1:20" ht="14.1" customHeight="1" x14ac:dyDescent="0.2">
      <c r="A238" s="258">
        <v>35</v>
      </c>
      <c r="B238" s="258"/>
      <c r="C238" s="219"/>
      <c r="D238" s="219"/>
      <c r="E238" s="219" t="s">
        <v>3537</v>
      </c>
      <c r="F238" s="219"/>
      <c r="G238" s="219"/>
      <c r="H238" s="219"/>
      <c r="I238" s="193"/>
      <c r="J238" s="193"/>
      <c r="K238" s="193"/>
      <c r="L238" s="193"/>
      <c r="M238" s="193"/>
      <c r="N238" s="193"/>
      <c r="O238" s="207"/>
      <c r="P238" s="219"/>
      <c r="Q238" s="219"/>
      <c r="R238" s="219">
        <f>I246*0.0005</f>
        <v>1005.196</v>
      </c>
      <c r="S238" s="219"/>
      <c r="T238" s="219"/>
    </row>
    <row r="239" spans="1:20" ht="14.1" customHeight="1" x14ac:dyDescent="0.2">
      <c r="A239" s="258">
        <v>36</v>
      </c>
      <c r="B239" s="258"/>
      <c r="C239" s="219"/>
      <c r="D239" s="219"/>
      <c r="E239" s="219" t="s">
        <v>3668</v>
      </c>
      <c r="F239" s="219"/>
      <c r="G239" s="219"/>
      <c r="H239" s="219"/>
      <c r="I239" s="193">
        <v>-26714</v>
      </c>
      <c r="J239" s="193"/>
      <c r="K239" s="193"/>
      <c r="L239" s="193">
        <v>-28207</v>
      </c>
      <c r="M239" s="193"/>
      <c r="N239" s="193"/>
      <c r="O239" s="207">
        <v>1.0558959999999999</v>
      </c>
      <c r="P239" s="219"/>
      <c r="Q239" s="219"/>
      <c r="R239" s="219"/>
      <c r="S239" s="219"/>
      <c r="T239" s="219"/>
    </row>
    <row r="240" spans="1:20" ht="14.1" customHeight="1" x14ac:dyDescent="0.2">
      <c r="A240" s="258">
        <v>37</v>
      </c>
      <c r="B240" s="258"/>
      <c r="C240" s="219"/>
      <c r="D240" s="219"/>
      <c r="E240" s="219" t="s">
        <v>3669</v>
      </c>
      <c r="F240" s="219"/>
      <c r="G240" s="219"/>
      <c r="H240" s="219"/>
      <c r="I240" s="193">
        <v>26121</v>
      </c>
      <c r="J240" s="193"/>
      <c r="K240" s="193"/>
      <c r="L240" s="193">
        <v>27581</v>
      </c>
      <c r="M240" s="193"/>
      <c r="N240" s="193"/>
      <c r="O240" s="207">
        <v>1.0558959999999999</v>
      </c>
      <c r="P240" s="219"/>
      <c r="Q240" s="219"/>
      <c r="R240" s="219"/>
      <c r="S240" s="219"/>
      <c r="T240" s="219"/>
    </row>
    <row r="241" spans="1:20" ht="14.1" customHeight="1" x14ac:dyDescent="0.2">
      <c r="A241" s="258">
        <v>38</v>
      </c>
      <c r="B241" s="258"/>
      <c r="C241" s="219"/>
      <c r="D241" s="219"/>
      <c r="E241" s="219" t="s">
        <v>3670</v>
      </c>
      <c r="F241" s="219"/>
      <c r="G241" s="219"/>
      <c r="H241" s="219"/>
      <c r="I241" s="193">
        <v>29445</v>
      </c>
      <c r="J241" s="193"/>
      <c r="K241" s="193"/>
      <c r="L241" s="193">
        <v>31091</v>
      </c>
      <c r="M241" s="193"/>
      <c r="N241" s="193"/>
      <c r="O241" s="207">
        <v>1.0558959999999999</v>
      </c>
      <c r="P241" s="219"/>
      <c r="Q241" s="219"/>
      <c r="R241" s="219"/>
      <c r="S241" s="219"/>
      <c r="T241" s="219"/>
    </row>
    <row r="242" spans="1:20" ht="14.1" customHeight="1" x14ac:dyDescent="0.2">
      <c r="A242" s="258">
        <v>39</v>
      </c>
      <c r="B242" s="258"/>
      <c r="C242" s="219"/>
      <c r="D242" s="219"/>
      <c r="E242" s="219"/>
      <c r="F242" s="219"/>
      <c r="G242" s="219"/>
      <c r="H242" s="219"/>
      <c r="I242" s="227">
        <v>28852</v>
      </c>
      <c r="J242" s="193"/>
      <c r="K242" s="193"/>
      <c r="L242" s="227">
        <v>30465</v>
      </c>
      <c r="M242" s="193"/>
      <c r="N242" s="193"/>
      <c r="O242" s="213">
        <v>1.0558959999999999</v>
      </c>
      <c r="P242" s="219"/>
      <c r="Q242" s="219"/>
      <c r="R242" s="219"/>
      <c r="S242" s="219"/>
      <c r="T242" s="219"/>
    </row>
    <row r="243" spans="1:20" ht="14.1" customHeight="1" x14ac:dyDescent="0.2">
      <c r="A243" s="258">
        <v>40</v>
      </c>
      <c r="B243" s="258"/>
      <c r="C243" s="219"/>
      <c r="D243" s="219"/>
      <c r="E243" s="219"/>
      <c r="F243" s="219"/>
      <c r="G243" s="219"/>
      <c r="H243" s="219"/>
      <c r="I243" s="193"/>
      <c r="J243" s="193"/>
      <c r="K243" s="193"/>
      <c r="L243" s="193"/>
      <c r="M243" s="193"/>
      <c r="N243" s="193"/>
      <c r="O243" s="207"/>
      <c r="P243" s="219"/>
      <c r="Q243" s="219"/>
      <c r="R243" s="219"/>
      <c r="S243" s="219"/>
      <c r="T243" s="219"/>
    </row>
    <row r="244" spans="1:20" ht="14.1" customHeight="1" x14ac:dyDescent="0.2">
      <c r="A244" s="258">
        <v>41</v>
      </c>
      <c r="B244" s="258"/>
      <c r="C244" s="219"/>
      <c r="D244" s="219"/>
      <c r="E244" s="219" t="s">
        <v>3541</v>
      </c>
      <c r="F244" s="219"/>
      <c r="G244" s="219"/>
      <c r="H244" s="219"/>
      <c r="I244" s="227" t="s">
        <v>3559</v>
      </c>
      <c r="J244" s="193"/>
      <c r="K244" s="193"/>
      <c r="L244" s="227" t="s">
        <v>3560</v>
      </c>
      <c r="M244" s="193"/>
      <c r="N244" s="193"/>
      <c r="O244" s="213" t="s">
        <v>3560</v>
      </c>
      <c r="P244" s="219"/>
      <c r="Q244" s="219"/>
      <c r="R244" s="219"/>
      <c r="S244" s="219"/>
      <c r="T244" s="219"/>
    </row>
    <row r="245" spans="1:20" ht="14.1" customHeight="1" x14ac:dyDescent="0.2">
      <c r="A245" s="258">
        <v>42</v>
      </c>
      <c r="B245" s="258"/>
      <c r="C245" s="219"/>
      <c r="D245" s="219"/>
      <c r="E245" s="219"/>
      <c r="F245" s="219"/>
      <c r="G245" s="219"/>
      <c r="H245" s="219"/>
      <c r="I245" s="193"/>
      <c r="J245" s="193"/>
      <c r="K245" s="193"/>
      <c r="L245" s="193"/>
      <c r="M245" s="193"/>
      <c r="N245" s="193"/>
      <c r="O245" s="207"/>
      <c r="P245" s="219"/>
      <c r="Q245" s="219"/>
      <c r="R245" s="219"/>
      <c r="S245" s="219"/>
      <c r="T245" s="219"/>
    </row>
    <row r="246" spans="1:20" ht="14.1" customHeight="1" x14ac:dyDescent="0.2">
      <c r="A246" s="258">
        <v>43</v>
      </c>
      <c r="B246" s="258"/>
      <c r="C246" s="219"/>
      <c r="D246" s="219"/>
      <c r="E246" s="219" t="s">
        <v>3542</v>
      </c>
      <c r="F246" s="219"/>
      <c r="G246" s="219"/>
      <c r="H246" s="219"/>
      <c r="I246" s="228">
        <v>2010392</v>
      </c>
      <c r="J246" s="193"/>
      <c r="K246" s="193"/>
      <c r="L246" s="228">
        <v>2007316</v>
      </c>
      <c r="M246" s="193"/>
      <c r="N246" s="193"/>
      <c r="O246" s="207">
        <v>0.99846999999999997</v>
      </c>
      <c r="P246" s="219"/>
      <c r="Q246" s="219"/>
      <c r="R246" s="219"/>
      <c r="S246" s="219"/>
      <c r="T246" s="219"/>
    </row>
    <row r="247" spans="1:20" ht="14.1" customHeight="1" x14ac:dyDescent="0.2">
      <c r="A247" s="258">
        <v>44</v>
      </c>
      <c r="B247" s="258"/>
      <c r="C247" s="219"/>
      <c r="D247" s="219"/>
      <c r="E247" s="219"/>
      <c r="F247" s="219"/>
      <c r="G247" s="219"/>
      <c r="H247" s="219"/>
      <c r="I247" s="193"/>
      <c r="J247" s="193"/>
      <c r="K247" s="193"/>
      <c r="L247" s="193"/>
      <c r="M247" s="193"/>
      <c r="N247" s="193"/>
      <c r="O247" s="207"/>
      <c r="P247" s="219"/>
      <c r="Q247" s="219"/>
      <c r="R247" s="219"/>
      <c r="S247" s="219"/>
      <c r="T247" s="219"/>
    </row>
    <row r="248" spans="1:20" ht="14.1" customHeight="1" thickBot="1" x14ac:dyDescent="0.25">
      <c r="A248" s="258">
        <v>45</v>
      </c>
      <c r="B248" s="258"/>
      <c r="C248" s="219"/>
      <c r="D248" s="219"/>
      <c r="E248" s="219" t="s">
        <v>3543</v>
      </c>
      <c r="F248" s="219"/>
      <c r="G248" s="219"/>
      <c r="H248" s="219"/>
      <c r="I248" s="235">
        <v>587394</v>
      </c>
      <c r="J248" s="193"/>
      <c r="K248" s="193"/>
      <c r="L248" s="235">
        <v>582460</v>
      </c>
      <c r="M248" s="193"/>
      <c r="N248" s="193"/>
      <c r="O248" s="216">
        <v>0.99159900000000001</v>
      </c>
      <c r="P248" s="219"/>
      <c r="Q248" s="219"/>
      <c r="R248" s="219"/>
      <c r="S248" s="219"/>
      <c r="T248" s="219"/>
    </row>
    <row r="249" spans="1:20" ht="14.1" customHeight="1" thickTop="1" x14ac:dyDescent="0.2">
      <c r="A249" s="258">
        <v>46</v>
      </c>
      <c r="B249" s="258"/>
      <c r="C249" s="219"/>
      <c r="D249" s="219"/>
      <c r="E249" s="219"/>
      <c r="F249" s="219"/>
      <c r="G249" s="219"/>
      <c r="H249" s="219"/>
      <c r="I249" s="193"/>
      <c r="J249" s="193"/>
      <c r="K249" s="193"/>
      <c r="L249" s="193"/>
      <c r="M249" s="193"/>
      <c r="N249" s="193"/>
      <c r="O249" s="207"/>
      <c r="P249" s="219"/>
      <c r="Q249" s="219"/>
      <c r="R249" s="219"/>
      <c r="S249" s="219"/>
      <c r="T249" s="219"/>
    </row>
    <row r="250" spans="1:20" ht="14.1" customHeight="1" x14ac:dyDescent="0.2">
      <c r="A250" s="258">
        <v>47</v>
      </c>
      <c r="B250" s="258"/>
      <c r="C250" s="219"/>
      <c r="D250" s="219"/>
      <c r="E250" s="219"/>
      <c r="F250" s="219"/>
      <c r="G250" s="219"/>
      <c r="H250" s="219"/>
      <c r="I250" s="236"/>
      <c r="J250" s="236"/>
      <c r="K250" s="236"/>
      <c r="L250" s="236"/>
      <c r="M250" s="193"/>
      <c r="N250" s="193"/>
      <c r="O250" s="207"/>
      <c r="P250" s="219"/>
      <c r="Q250" s="219"/>
      <c r="R250" s="219"/>
      <c r="S250" s="219"/>
      <c r="T250" s="219"/>
    </row>
    <row r="251" spans="1:20" ht="14.1" customHeight="1" x14ac:dyDescent="0.2">
      <c r="A251" s="258">
        <v>48</v>
      </c>
      <c r="B251" s="258"/>
      <c r="C251" s="219"/>
      <c r="D251" s="219"/>
      <c r="E251" s="219"/>
      <c r="F251" s="219"/>
      <c r="G251" s="219"/>
      <c r="H251" s="219"/>
      <c r="I251" s="193"/>
      <c r="J251" s="193"/>
      <c r="K251" s="193"/>
      <c r="L251" s="193"/>
      <c r="M251" s="193"/>
      <c r="N251" s="193"/>
      <c r="O251" s="207"/>
      <c r="P251" s="219"/>
      <c r="Q251" s="219" t="s">
        <v>1098</v>
      </c>
      <c r="R251" s="219"/>
      <c r="S251" s="219"/>
      <c r="T251" s="219"/>
    </row>
    <row r="252" spans="1:20" ht="14.1" customHeight="1" thickBot="1" x14ac:dyDescent="0.25">
      <c r="A252" s="217">
        <v>49</v>
      </c>
      <c r="B252" s="217" t="s">
        <v>3431</v>
      </c>
      <c r="C252" s="217"/>
      <c r="D252" s="217"/>
      <c r="E252" s="217"/>
      <c r="F252" s="217"/>
      <c r="G252" s="217"/>
      <c r="H252" s="217"/>
      <c r="I252" s="229"/>
      <c r="J252" s="229"/>
      <c r="K252" s="229"/>
      <c r="L252" s="229"/>
      <c r="M252" s="229"/>
      <c r="N252" s="229"/>
      <c r="O252" s="208"/>
      <c r="P252" s="217"/>
      <c r="Q252" s="217"/>
      <c r="R252" s="217"/>
      <c r="S252" s="217"/>
      <c r="T252" s="219"/>
    </row>
    <row r="253" spans="1:20" ht="14.1" customHeight="1" x14ac:dyDescent="0.2">
      <c r="A253" s="257" t="s">
        <v>3584</v>
      </c>
      <c r="B253" s="257"/>
      <c r="C253" s="219"/>
      <c r="D253" s="219"/>
      <c r="E253" s="219"/>
      <c r="F253" s="219"/>
      <c r="G253" s="219"/>
      <c r="H253" s="219"/>
      <c r="I253" s="193"/>
      <c r="J253" s="193"/>
      <c r="K253" s="193"/>
      <c r="L253" s="193"/>
      <c r="M253" s="193"/>
      <c r="N253" s="193"/>
      <c r="O253" s="207"/>
      <c r="P253" s="219"/>
      <c r="Q253" s="219" t="s">
        <v>3585</v>
      </c>
      <c r="R253" s="219"/>
      <c r="S253" s="219"/>
      <c r="T253" s="219"/>
    </row>
    <row r="254" spans="1:20" ht="14.1" customHeight="1" x14ac:dyDescent="0.2">
      <c r="A254" s="10">
        <v>26</v>
      </c>
      <c r="B254" s="22"/>
      <c r="C254" s="24"/>
      <c r="F254" s="26"/>
      <c r="G254" s="26"/>
      <c r="H254" s="26"/>
      <c r="I254" s="26"/>
      <c r="J254" s="26"/>
      <c r="K254" s="26"/>
      <c r="L254" s="26"/>
      <c r="M254" s="26"/>
      <c r="N254" s="26"/>
      <c r="O254" s="192"/>
      <c r="P254" s="26"/>
      <c r="Q254" s="26"/>
      <c r="R254" s="26"/>
      <c r="S254" s="26"/>
    </row>
    <row r="255" spans="1:20" ht="14.1" customHeight="1" x14ac:dyDescent="0.2">
      <c r="A255" s="10">
        <v>27</v>
      </c>
      <c r="B255" s="22"/>
      <c r="C255" s="24"/>
      <c r="F255" s="26"/>
      <c r="G255" s="26"/>
      <c r="H255" s="26"/>
      <c r="I255" s="26"/>
      <c r="J255" s="26"/>
      <c r="K255" s="26"/>
      <c r="L255" s="26"/>
      <c r="M255" s="26"/>
      <c r="N255" s="26"/>
      <c r="O255" s="192"/>
      <c r="P255" s="26"/>
      <c r="Q255" s="26"/>
      <c r="R255" s="26"/>
      <c r="S255" s="26"/>
    </row>
    <row r="256" spans="1:20" ht="14.1" customHeight="1" x14ac:dyDescent="0.2">
      <c r="A256" s="10">
        <v>28</v>
      </c>
      <c r="B256" s="22"/>
      <c r="C256" s="24"/>
      <c r="F256" s="26"/>
      <c r="G256" s="26"/>
      <c r="H256" s="26"/>
      <c r="I256" s="26"/>
      <c r="J256" s="26"/>
      <c r="K256" s="26"/>
      <c r="L256" s="26"/>
      <c r="M256" s="26"/>
      <c r="N256" s="26"/>
      <c r="O256" s="192"/>
      <c r="P256" s="26"/>
      <c r="Q256" s="26"/>
      <c r="R256" s="26"/>
      <c r="S256" s="26"/>
    </row>
    <row r="257" spans="1:19" ht="14.1" customHeight="1" x14ac:dyDescent="0.2">
      <c r="A257" s="10">
        <v>29</v>
      </c>
      <c r="B257" s="22"/>
      <c r="C257" s="24"/>
      <c r="F257" s="26"/>
      <c r="G257" s="26"/>
      <c r="H257" s="26"/>
      <c r="I257" s="26"/>
      <c r="J257" s="26"/>
      <c r="K257" s="26"/>
      <c r="L257" s="26"/>
      <c r="M257" s="26"/>
      <c r="N257" s="26"/>
      <c r="O257" s="192"/>
      <c r="P257" s="26"/>
      <c r="Q257" s="26"/>
      <c r="R257" s="26"/>
      <c r="S257" s="26"/>
    </row>
    <row r="258" spans="1:19" ht="14.1" customHeight="1" x14ac:dyDescent="0.2">
      <c r="A258" s="10">
        <v>30</v>
      </c>
      <c r="B258" s="22"/>
      <c r="C258" s="24"/>
      <c r="F258" s="26"/>
      <c r="G258" s="26"/>
      <c r="H258" s="26"/>
      <c r="I258" s="26"/>
      <c r="J258" s="26"/>
      <c r="K258" s="26"/>
      <c r="L258" s="26"/>
      <c r="M258" s="26"/>
      <c r="N258" s="26"/>
      <c r="O258" s="192"/>
      <c r="P258" s="26"/>
      <c r="Q258" s="26"/>
      <c r="R258" s="26"/>
      <c r="S258" s="26"/>
    </row>
    <row r="259" spans="1:19" ht="14.1" customHeight="1" x14ac:dyDescent="0.2">
      <c r="A259" s="10">
        <v>31</v>
      </c>
      <c r="B259" s="22"/>
      <c r="C259" s="24"/>
      <c r="F259" s="26"/>
      <c r="G259" s="26"/>
      <c r="H259" s="26"/>
      <c r="I259" s="26"/>
      <c r="J259" s="26"/>
      <c r="K259" s="26"/>
      <c r="L259" s="26"/>
      <c r="M259" s="26"/>
      <c r="N259" s="26"/>
      <c r="O259" s="192"/>
      <c r="P259" s="26"/>
      <c r="Q259" s="26"/>
      <c r="R259" s="26"/>
      <c r="S259" s="26"/>
    </row>
    <row r="260" spans="1:19" ht="14.1" customHeight="1" x14ac:dyDescent="0.2">
      <c r="A260" s="10">
        <v>32</v>
      </c>
      <c r="B260" s="22"/>
      <c r="C260" s="24"/>
      <c r="F260" s="26"/>
      <c r="G260" s="26"/>
      <c r="H260" s="26"/>
      <c r="I260" s="26"/>
      <c r="J260" s="26"/>
      <c r="K260" s="26"/>
      <c r="L260" s="26"/>
      <c r="M260" s="26"/>
      <c r="N260" s="26"/>
      <c r="O260" s="192"/>
      <c r="P260" s="26"/>
      <c r="Q260" s="26"/>
      <c r="R260" s="26"/>
      <c r="S260" s="26"/>
    </row>
    <row r="261" spans="1:19" ht="14.1" customHeight="1" x14ac:dyDescent="0.2">
      <c r="A261" s="10">
        <v>33</v>
      </c>
      <c r="B261" s="22"/>
      <c r="C261" s="24"/>
      <c r="F261" s="26"/>
      <c r="G261" s="26"/>
      <c r="H261" s="26"/>
      <c r="I261" s="26"/>
      <c r="J261" s="26"/>
      <c r="K261" s="26"/>
      <c r="L261" s="26"/>
      <c r="M261" s="26"/>
      <c r="N261" s="26"/>
      <c r="O261" s="192"/>
      <c r="P261" s="26"/>
      <c r="Q261" s="26"/>
      <c r="R261" s="26"/>
      <c r="S261" s="26"/>
    </row>
    <row r="262" spans="1:19" ht="14.1" customHeight="1" x14ac:dyDescent="0.2">
      <c r="A262" s="10">
        <v>34</v>
      </c>
      <c r="B262" s="22"/>
      <c r="C262" s="24"/>
      <c r="F262" s="26"/>
      <c r="G262" s="26"/>
      <c r="H262" s="26"/>
      <c r="I262" s="26"/>
      <c r="J262" s="26"/>
      <c r="K262" s="26"/>
      <c r="L262" s="26"/>
      <c r="M262" s="26"/>
      <c r="N262" s="26"/>
      <c r="O262" s="192"/>
      <c r="P262" s="26"/>
      <c r="Q262" s="26"/>
      <c r="R262" s="26"/>
      <c r="S262" s="26"/>
    </row>
  </sheetData>
  <mergeCells count="249">
    <mergeCell ref="A250:B250"/>
    <mergeCell ref="A251:B251"/>
    <mergeCell ref="A253:B253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3:B183"/>
    <mergeCell ref="A184:B184"/>
    <mergeCell ref="A185:B185"/>
    <mergeCell ref="A186:B186"/>
    <mergeCell ref="A187:B187"/>
    <mergeCell ref="A188:B188"/>
    <mergeCell ref="A177:B177"/>
    <mergeCell ref="A178:B178"/>
    <mergeCell ref="A179:B179"/>
    <mergeCell ref="A180:B180"/>
    <mergeCell ref="A181:B181"/>
    <mergeCell ref="A182:B182"/>
    <mergeCell ref="A171:B171"/>
    <mergeCell ref="A172:B172"/>
    <mergeCell ref="A173:B173"/>
    <mergeCell ref="A174:B174"/>
    <mergeCell ref="A175:B175"/>
    <mergeCell ref="A176:B176"/>
    <mergeCell ref="A165:B165"/>
    <mergeCell ref="A166:B166"/>
    <mergeCell ref="A167:B167"/>
    <mergeCell ref="A168:B168"/>
    <mergeCell ref="A169:B169"/>
    <mergeCell ref="A170:B170"/>
    <mergeCell ref="A159:B159"/>
    <mergeCell ref="A160:B160"/>
    <mergeCell ref="A161:B161"/>
    <mergeCell ref="A162:B162"/>
    <mergeCell ref="A163:B163"/>
    <mergeCell ref="A164:B164"/>
    <mergeCell ref="A153:B153"/>
    <mergeCell ref="A154:B154"/>
    <mergeCell ref="A155:B155"/>
    <mergeCell ref="A156:B156"/>
    <mergeCell ref="A157:B157"/>
    <mergeCell ref="A158:B158"/>
    <mergeCell ref="A147:B147"/>
    <mergeCell ref="A148:B148"/>
    <mergeCell ref="A149:B149"/>
    <mergeCell ref="A150:B150"/>
    <mergeCell ref="A151:B151"/>
    <mergeCell ref="A152:B152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  <mergeCell ref="A129:B129"/>
    <mergeCell ref="A130:B130"/>
    <mergeCell ref="A131:B131"/>
    <mergeCell ref="A132:B132"/>
    <mergeCell ref="A133:B133"/>
    <mergeCell ref="A134:B134"/>
    <mergeCell ref="A122:B122"/>
    <mergeCell ref="A123:B123"/>
    <mergeCell ref="A124:B124"/>
    <mergeCell ref="A125:B125"/>
    <mergeCell ref="A127:B127"/>
    <mergeCell ref="A128:B128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7:B7"/>
    <mergeCell ref="A8:B8"/>
    <mergeCell ref="A9:B9"/>
    <mergeCell ref="A10:B10"/>
    <mergeCell ref="A11:B11"/>
    <mergeCell ref="A12:B12"/>
    <mergeCell ref="A1:B1"/>
    <mergeCell ref="A2:B2"/>
    <mergeCell ref="A3:B3"/>
    <mergeCell ref="A4:B4"/>
    <mergeCell ref="A5:B5"/>
    <mergeCell ref="A6:B6"/>
  </mergeCells>
  <pageMargins left="1" right="0" top="1" bottom="0" header="0" footer="0"/>
  <pageSetup scale="70" fitToHeight="0" orientation="landscape" r:id="rId1"/>
  <headerFooter alignWithMargins="0"/>
  <rowBreaks count="4" manualBreakCount="4">
    <brk id="61" max="18" man="1"/>
    <brk id="122" max="18" man="1"/>
    <brk id="183" max="18" man="1"/>
    <brk id="244" max="18" man="1"/>
  </rowBreaks>
  <customProperties>
    <customPr name="_pios_id" r:id="rId2"/>
    <customPr name="EpmWorksheetKeyString_GUID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6B175-2C67-40BB-9653-0E20342D634A}">
  <sheetPr>
    <tabColor theme="0"/>
  </sheetPr>
  <dimension ref="A1:R103"/>
  <sheetViews>
    <sheetView zoomScaleNormal="100" workbookViewId="0">
      <selection activeCell="A56" sqref="A56"/>
    </sheetView>
  </sheetViews>
  <sheetFormatPr defaultColWidth="9.109375" defaultRowHeight="13.2" x14ac:dyDescent="0.25"/>
  <cols>
    <col min="1" max="16384" width="9.109375" style="70"/>
  </cols>
  <sheetData>
    <row r="1" spans="1:18" ht="13.8" thickBot="1" x14ac:dyDescent="0.3"/>
    <row r="2" spans="1:18" ht="13.8" x14ac:dyDescent="0.25">
      <c r="A2" s="143" t="s">
        <v>3671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5"/>
    </row>
    <row r="3" spans="1:18" x14ac:dyDescent="0.25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8"/>
    </row>
    <row r="4" spans="1:18" x14ac:dyDescent="0.25">
      <c r="A4" s="146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8"/>
    </row>
    <row r="5" spans="1:18" x14ac:dyDescent="0.25">
      <c r="A5" s="146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8"/>
    </row>
    <row r="6" spans="1:18" x14ac:dyDescent="0.25">
      <c r="A6" s="146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8"/>
    </row>
    <row r="7" spans="1:18" x14ac:dyDescent="0.25">
      <c r="A7" s="146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8"/>
    </row>
    <row r="8" spans="1:18" x14ac:dyDescent="0.25">
      <c r="A8" s="146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8"/>
    </row>
    <row r="9" spans="1:18" x14ac:dyDescent="0.25">
      <c r="A9" s="146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8"/>
    </row>
    <row r="10" spans="1:18" x14ac:dyDescent="0.25">
      <c r="A10" s="146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8"/>
    </row>
    <row r="11" spans="1:18" x14ac:dyDescent="0.25">
      <c r="A11" s="146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8"/>
    </row>
    <row r="12" spans="1:18" x14ac:dyDescent="0.25">
      <c r="A12" s="146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8"/>
    </row>
    <row r="13" spans="1:18" x14ac:dyDescent="0.25">
      <c r="A13" s="146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8"/>
    </row>
    <row r="14" spans="1:18" x14ac:dyDescent="0.25">
      <c r="A14" s="146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8"/>
    </row>
    <row r="15" spans="1:18" x14ac:dyDescent="0.25">
      <c r="A15" s="146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8"/>
    </row>
    <row r="16" spans="1:18" x14ac:dyDescent="0.25">
      <c r="A16" s="146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8"/>
    </row>
    <row r="17" spans="1:18" x14ac:dyDescent="0.25">
      <c r="A17" s="146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8"/>
    </row>
    <row r="18" spans="1:18" x14ac:dyDescent="0.25">
      <c r="A18" s="146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8"/>
    </row>
    <row r="19" spans="1:18" x14ac:dyDescent="0.25">
      <c r="A19" s="146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8"/>
    </row>
    <row r="20" spans="1:18" x14ac:dyDescent="0.25">
      <c r="A20" s="146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8"/>
    </row>
    <row r="21" spans="1:18" x14ac:dyDescent="0.25">
      <c r="A21" s="146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8"/>
    </row>
    <row r="22" spans="1:18" x14ac:dyDescent="0.25">
      <c r="A22" s="146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8"/>
    </row>
    <row r="23" spans="1:18" x14ac:dyDescent="0.25">
      <c r="A23" s="146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8"/>
    </row>
    <row r="24" spans="1:18" x14ac:dyDescent="0.25">
      <c r="A24" s="146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8"/>
    </row>
    <row r="25" spans="1:18" x14ac:dyDescent="0.25">
      <c r="A25" s="146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8"/>
    </row>
    <row r="26" spans="1:18" x14ac:dyDescent="0.25">
      <c r="A26" s="146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8"/>
    </row>
    <row r="27" spans="1:18" x14ac:dyDescent="0.25">
      <c r="A27" s="146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8"/>
    </row>
    <row r="28" spans="1:18" x14ac:dyDescent="0.25">
      <c r="A28" s="146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8"/>
    </row>
    <row r="29" spans="1:18" x14ac:dyDescent="0.25">
      <c r="A29" s="146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8"/>
    </row>
    <row r="30" spans="1:18" x14ac:dyDescent="0.25">
      <c r="A30" s="146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8"/>
    </row>
    <row r="31" spans="1:18" x14ac:dyDescent="0.25">
      <c r="A31" s="146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8"/>
    </row>
    <row r="32" spans="1:18" x14ac:dyDescent="0.25">
      <c r="A32" s="146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8"/>
    </row>
    <row r="33" spans="1:18" x14ac:dyDescent="0.25">
      <c r="A33" s="146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8"/>
    </row>
    <row r="34" spans="1:18" x14ac:dyDescent="0.25">
      <c r="A34" s="146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8"/>
    </row>
    <row r="35" spans="1:18" x14ac:dyDescent="0.25">
      <c r="A35" s="146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8"/>
    </row>
    <row r="36" spans="1:18" x14ac:dyDescent="0.25">
      <c r="A36" s="146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8"/>
    </row>
    <row r="37" spans="1:18" x14ac:dyDescent="0.25">
      <c r="A37" s="146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8"/>
    </row>
    <row r="38" spans="1:18" x14ac:dyDescent="0.25">
      <c r="A38" s="146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8"/>
    </row>
    <row r="39" spans="1:18" x14ac:dyDescent="0.25">
      <c r="A39" s="146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8"/>
    </row>
    <row r="40" spans="1:18" x14ac:dyDescent="0.25">
      <c r="A40" s="146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8"/>
    </row>
    <row r="41" spans="1:18" x14ac:dyDescent="0.25">
      <c r="A41" s="146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8"/>
    </row>
    <row r="42" spans="1:18" x14ac:dyDescent="0.25">
      <c r="A42" s="146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8"/>
    </row>
    <row r="43" spans="1:18" x14ac:dyDescent="0.25">
      <c r="A43" s="146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8"/>
    </row>
    <row r="44" spans="1:18" x14ac:dyDescent="0.25">
      <c r="A44" s="146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8"/>
    </row>
    <row r="45" spans="1:18" x14ac:dyDescent="0.25">
      <c r="A45" s="146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8"/>
    </row>
    <row r="46" spans="1:18" x14ac:dyDescent="0.25">
      <c r="A46" s="146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8"/>
    </row>
    <row r="47" spans="1:18" x14ac:dyDescent="0.25">
      <c r="A47" s="146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8"/>
    </row>
    <row r="48" spans="1:18" x14ac:dyDescent="0.25">
      <c r="A48" s="146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8"/>
    </row>
    <row r="49" spans="1:18" x14ac:dyDescent="0.25">
      <c r="A49" s="146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8"/>
    </row>
    <row r="50" spans="1:18" x14ac:dyDescent="0.25">
      <c r="A50" s="146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8"/>
    </row>
    <row r="51" spans="1:18" ht="13.8" thickBot="1" x14ac:dyDescent="0.3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1"/>
    </row>
    <row r="53" spans="1:18" ht="13.8" thickBot="1" x14ac:dyDescent="0.3"/>
    <row r="54" spans="1:18" ht="13.8" x14ac:dyDescent="0.25">
      <c r="A54" s="143" t="s">
        <v>3671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5"/>
    </row>
    <row r="55" spans="1:18" x14ac:dyDescent="0.25">
      <c r="A55" s="146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8"/>
    </row>
    <row r="56" spans="1:18" x14ac:dyDescent="0.25">
      <c r="A56" s="146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8"/>
    </row>
    <row r="57" spans="1:18" x14ac:dyDescent="0.2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8"/>
    </row>
    <row r="58" spans="1:18" x14ac:dyDescent="0.2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8"/>
    </row>
    <row r="59" spans="1:18" x14ac:dyDescent="0.2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8"/>
    </row>
    <row r="60" spans="1:18" x14ac:dyDescent="0.2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8"/>
    </row>
    <row r="61" spans="1:18" x14ac:dyDescent="0.2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8"/>
    </row>
    <row r="62" spans="1:18" x14ac:dyDescent="0.2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8"/>
    </row>
    <row r="63" spans="1:18" x14ac:dyDescent="0.2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8"/>
    </row>
    <row r="64" spans="1:18" x14ac:dyDescent="0.2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8"/>
    </row>
    <row r="65" spans="1:18" x14ac:dyDescent="0.2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8"/>
    </row>
    <row r="66" spans="1:18" x14ac:dyDescent="0.2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8"/>
    </row>
    <row r="67" spans="1:18" x14ac:dyDescent="0.2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8"/>
    </row>
    <row r="68" spans="1:18" x14ac:dyDescent="0.2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8"/>
    </row>
    <row r="69" spans="1:18" x14ac:dyDescent="0.25">
      <c r="A69" s="146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8"/>
    </row>
    <row r="70" spans="1:18" x14ac:dyDescent="0.25">
      <c r="A70" s="146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8"/>
    </row>
    <row r="71" spans="1:18" x14ac:dyDescent="0.2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8"/>
    </row>
    <row r="72" spans="1:18" x14ac:dyDescent="0.2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8"/>
    </row>
    <row r="73" spans="1:18" x14ac:dyDescent="0.2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8"/>
    </row>
    <row r="74" spans="1:18" x14ac:dyDescent="0.2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8"/>
    </row>
    <row r="75" spans="1:18" x14ac:dyDescent="0.2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8"/>
    </row>
    <row r="76" spans="1:18" x14ac:dyDescent="0.2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8"/>
    </row>
    <row r="77" spans="1:18" x14ac:dyDescent="0.2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8"/>
    </row>
    <row r="78" spans="1:18" x14ac:dyDescent="0.2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8"/>
    </row>
    <row r="79" spans="1:18" x14ac:dyDescent="0.2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8"/>
    </row>
    <row r="80" spans="1:18" x14ac:dyDescent="0.2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8"/>
    </row>
    <row r="81" spans="1:18" x14ac:dyDescent="0.2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8"/>
    </row>
    <row r="82" spans="1:18" x14ac:dyDescent="0.2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8"/>
    </row>
    <row r="83" spans="1:18" x14ac:dyDescent="0.2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8"/>
    </row>
    <row r="84" spans="1:18" x14ac:dyDescent="0.2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8"/>
    </row>
    <row r="85" spans="1:18" x14ac:dyDescent="0.2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8"/>
    </row>
    <row r="86" spans="1:18" x14ac:dyDescent="0.2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8"/>
    </row>
    <row r="87" spans="1:18" x14ac:dyDescent="0.2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8"/>
    </row>
    <row r="88" spans="1:18" x14ac:dyDescent="0.2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8"/>
    </row>
    <row r="89" spans="1:18" x14ac:dyDescent="0.2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8"/>
    </row>
    <row r="90" spans="1:18" x14ac:dyDescent="0.2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8"/>
    </row>
    <row r="91" spans="1:18" x14ac:dyDescent="0.2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8"/>
    </row>
    <row r="92" spans="1:18" x14ac:dyDescent="0.2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8"/>
    </row>
    <row r="93" spans="1:18" x14ac:dyDescent="0.2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8"/>
    </row>
    <row r="94" spans="1:18" x14ac:dyDescent="0.2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8"/>
    </row>
    <row r="95" spans="1:18" x14ac:dyDescent="0.2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8"/>
    </row>
    <row r="96" spans="1:18" x14ac:dyDescent="0.2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8"/>
    </row>
    <row r="97" spans="1:18" x14ac:dyDescent="0.2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8"/>
    </row>
    <row r="98" spans="1:18" x14ac:dyDescent="0.2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8"/>
    </row>
    <row r="99" spans="1:18" x14ac:dyDescent="0.2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8"/>
    </row>
    <row r="100" spans="1:18" x14ac:dyDescent="0.2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8"/>
    </row>
    <row r="101" spans="1:18" x14ac:dyDescent="0.2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8"/>
    </row>
    <row r="102" spans="1:18" x14ac:dyDescent="0.2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8"/>
    </row>
    <row r="103" spans="1:18" ht="13.8" thickBot="1" x14ac:dyDescent="0.3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1"/>
    </row>
  </sheetData>
  <pageMargins left="0.7" right="0.7" top="0.75" bottom="0.75" header="0.3" footer="0.3"/>
  <customProperties>
    <customPr name="_pios_id" r:id="rId1"/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6B2FC-EA8F-45EF-A6F9-6D4F5D8FE336}">
  <sheetPr>
    <tabColor rgb="FFFFC000"/>
  </sheetPr>
  <dimension ref="A1:X137"/>
  <sheetViews>
    <sheetView tabSelected="1" view="pageBreakPreview" zoomScaleNormal="100" zoomScaleSheetLayoutView="100" workbookViewId="0">
      <selection activeCell="A49" sqref="A1:XFD1048576"/>
    </sheetView>
  </sheetViews>
  <sheetFormatPr defaultColWidth="9" defaultRowHeight="14.1" customHeight="1" x14ac:dyDescent="0.2"/>
  <cols>
    <col min="1" max="1" width="3.5546875" style="3" customWidth="1"/>
    <col min="2" max="2" width="2.88671875" style="3" customWidth="1"/>
    <col min="3" max="3" width="11.88671875" style="247" customWidth="1"/>
    <col min="4" max="4" width="6" style="3" customWidth="1"/>
    <col min="5" max="5" width="9.5546875" style="3" customWidth="1"/>
    <col min="6" max="6" width="10.5546875" style="3" customWidth="1"/>
    <col min="7" max="7" width="15" style="3" customWidth="1"/>
    <col min="8" max="8" width="10.5546875" style="3" customWidth="1"/>
    <col min="9" max="16" width="9.5546875" style="3" customWidth="1"/>
    <col min="17" max="17" width="9.44140625" style="3" customWidth="1"/>
    <col min="18" max="18" width="9.5546875" style="3" customWidth="1"/>
    <col min="19" max="19" width="13.5546875" style="3" customWidth="1"/>
    <col min="20" max="256" width="9" style="3"/>
    <col min="257" max="257" width="3.5546875" style="3" customWidth="1"/>
    <col min="258" max="258" width="5.6640625" style="3" customWidth="1"/>
    <col min="259" max="274" width="9.5546875" style="3" customWidth="1"/>
    <col min="275" max="275" width="10.6640625" style="3" customWidth="1"/>
    <col min="276" max="512" width="9" style="3"/>
    <col min="513" max="513" width="3.5546875" style="3" customWidth="1"/>
    <col min="514" max="514" width="5.6640625" style="3" customWidth="1"/>
    <col min="515" max="530" width="9.5546875" style="3" customWidth="1"/>
    <col min="531" max="531" width="10.6640625" style="3" customWidth="1"/>
    <col min="532" max="768" width="9" style="3"/>
    <col min="769" max="769" width="3.5546875" style="3" customWidth="1"/>
    <col min="770" max="770" width="5.6640625" style="3" customWidth="1"/>
    <col min="771" max="786" width="9.5546875" style="3" customWidth="1"/>
    <col min="787" max="787" width="10.6640625" style="3" customWidth="1"/>
    <col min="788" max="1024" width="9" style="3"/>
    <col min="1025" max="1025" width="3.5546875" style="3" customWidth="1"/>
    <col min="1026" max="1026" width="5.6640625" style="3" customWidth="1"/>
    <col min="1027" max="1042" width="9.5546875" style="3" customWidth="1"/>
    <col min="1043" max="1043" width="10.6640625" style="3" customWidth="1"/>
    <col min="1044" max="1280" width="9" style="3"/>
    <col min="1281" max="1281" width="3.5546875" style="3" customWidth="1"/>
    <col min="1282" max="1282" width="5.6640625" style="3" customWidth="1"/>
    <col min="1283" max="1298" width="9.5546875" style="3" customWidth="1"/>
    <col min="1299" max="1299" width="10.6640625" style="3" customWidth="1"/>
    <col min="1300" max="1536" width="9" style="3"/>
    <col min="1537" max="1537" width="3.5546875" style="3" customWidth="1"/>
    <col min="1538" max="1538" width="5.6640625" style="3" customWidth="1"/>
    <col min="1539" max="1554" width="9.5546875" style="3" customWidth="1"/>
    <col min="1555" max="1555" width="10.6640625" style="3" customWidth="1"/>
    <col min="1556" max="1792" width="9" style="3"/>
    <col min="1793" max="1793" width="3.5546875" style="3" customWidth="1"/>
    <col min="1794" max="1794" width="5.6640625" style="3" customWidth="1"/>
    <col min="1795" max="1810" width="9.5546875" style="3" customWidth="1"/>
    <col min="1811" max="1811" width="10.6640625" style="3" customWidth="1"/>
    <col min="1812" max="2048" width="9" style="3"/>
    <col min="2049" max="2049" width="3.5546875" style="3" customWidth="1"/>
    <col min="2050" max="2050" width="5.6640625" style="3" customWidth="1"/>
    <col min="2051" max="2066" width="9.5546875" style="3" customWidth="1"/>
    <col min="2067" max="2067" width="10.6640625" style="3" customWidth="1"/>
    <col min="2068" max="2304" width="9" style="3"/>
    <col min="2305" max="2305" width="3.5546875" style="3" customWidth="1"/>
    <col min="2306" max="2306" width="5.6640625" style="3" customWidth="1"/>
    <col min="2307" max="2322" width="9.5546875" style="3" customWidth="1"/>
    <col min="2323" max="2323" width="10.6640625" style="3" customWidth="1"/>
    <col min="2324" max="2560" width="9" style="3"/>
    <col min="2561" max="2561" width="3.5546875" style="3" customWidth="1"/>
    <col min="2562" max="2562" width="5.6640625" style="3" customWidth="1"/>
    <col min="2563" max="2578" width="9.5546875" style="3" customWidth="1"/>
    <col min="2579" max="2579" width="10.6640625" style="3" customWidth="1"/>
    <col min="2580" max="2816" width="9" style="3"/>
    <col min="2817" max="2817" width="3.5546875" style="3" customWidth="1"/>
    <col min="2818" max="2818" width="5.6640625" style="3" customWidth="1"/>
    <col min="2819" max="2834" width="9.5546875" style="3" customWidth="1"/>
    <col min="2835" max="2835" width="10.6640625" style="3" customWidth="1"/>
    <col min="2836" max="3072" width="9" style="3"/>
    <col min="3073" max="3073" width="3.5546875" style="3" customWidth="1"/>
    <col min="3074" max="3074" width="5.6640625" style="3" customWidth="1"/>
    <col min="3075" max="3090" width="9.5546875" style="3" customWidth="1"/>
    <col min="3091" max="3091" width="10.6640625" style="3" customWidth="1"/>
    <col min="3092" max="3328" width="9" style="3"/>
    <col min="3329" max="3329" width="3.5546875" style="3" customWidth="1"/>
    <col min="3330" max="3330" width="5.6640625" style="3" customWidth="1"/>
    <col min="3331" max="3346" width="9.5546875" style="3" customWidth="1"/>
    <col min="3347" max="3347" width="10.6640625" style="3" customWidth="1"/>
    <col min="3348" max="3584" width="9" style="3"/>
    <col min="3585" max="3585" width="3.5546875" style="3" customWidth="1"/>
    <col min="3586" max="3586" width="5.6640625" style="3" customWidth="1"/>
    <col min="3587" max="3602" width="9.5546875" style="3" customWidth="1"/>
    <col min="3603" max="3603" width="10.6640625" style="3" customWidth="1"/>
    <col min="3604" max="3840" width="9" style="3"/>
    <col min="3841" max="3841" width="3.5546875" style="3" customWidth="1"/>
    <col min="3842" max="3842" width="5.6640625" style="3" customWidth="1"/>
    <col min="3843" max="3858" width="9.5546875" style="3" customWidth="1"/>
    <col min="3859" max="3859" width="10.6640625" style="3" customWidth="1"/>
    <col min="3860" max="4096" width="9" style="3"/>
    <col min="4097" max="4097" width="3.5546875" style="3" customWidth="1"/>
    <col min="4098" max="4098" width="5.6640625" style="3" customWidth="1"/>
    <col min="4099" max="4114" width="9.5546875" style="3" customWidth="1"/>
    <col min="4115" max="4115" width="10.6640625" style="3" customWidth="1"/>
    <col min="4116" max="4352" width="9" style="3"/>
    <col min="4353" max="4353" width="3.5546875" style="3" customWidth="1"/>
    <col min="4354" max="4354" width="5.6640625" style="3" customWidth="1"/>
    <col min="4355" max="4370" width="9.5546875" style="3" customWidth="1"/>
    <col min="4371" max="4371" width="10.6640625" style="3" customWidth="1"/>
    <col min="4372" max="4608" width="9" style="3"/>
    <col min="4609" max="4609" width="3.5546875" style="3" customWidth="1"/>
    <col min="4610" max="4610" width="5.6640625" style="3" customWidth="1"/>
    <col min="4611" max="4626" width="9.5546875" style="3" customWidth="1"/>
    <col min="4627" max="4627" width="10.6640625" style="3" customWidth="1"/>
    <col min="4628" max="4864" width="9" style="3"/>
    <col min="4865" max="4865" width="3.5546875" style="3" customWidth="1"/>
    <col min="4866" max="4866" width="5.6640625" style="3" customWidth="1"/>
    <col min="4867" max="4882" width="9.5546875" style="3" customWidth="1"/>
    <col min="4883" max="4883" width="10.6640625" style="3" customWidth="1"/>
    <col min="4884" max="5120" width="9" style="3"/>
    <col min="5121" max="5121" width="3.5546875" style="3" customWidth="1"/>
    <col min="5122" max="5122" width="5.6640625" style="3" customWidth="1"/>
    <col min="5123" max="5138" width="9.5546875" style="3" customWidth="1"/>
    <col min="5139" max="5139" width="10.6640625" style="3" customWidth="1"/>
    <col min="5140" max="5376" width="9" style="3"/>
    <col min="5377" max="5377" width="3.5546875" style="3" customWidth="1"/>
    <col min="5378" max="5378" width="5.6640625" style="3" customWidth="1"/>
    <col min="5379" max="5394" width="9.5546875" style="3" customWidth="1"/>
    <col min="5395" max="5395" width="10.6640625" style="3" customWidth="1"/>
    <col min="5396" max="5632" width="9" style="3"/>
    <col min="5633" max="5633" width="3.5546875" style="3" customWidth="1"/>
    <col min="5634" max="5634" width="5.6640625" style="3" customWidth="1"/>
    <col min="5635" max="5650" width="9.5546875" style="3" customWidth="1"/>
    <col min="5651" max="5651" width="10.6640625" style="3" customWidth="1"/>
    <col min="5652" max="5888" width="9" style="3"/>
    <col min="5889" max="5889" width="3.5546875" style="3" customWidth="1"/>
    <col min="5890" max="5890" width="5.6640625" style="3" customWidth="1"/>
    <col min="5891" max="5906" width="9.5546875" style="3" customWidth="1"/>
    <col min="5907" max="5907" width="10.6640625" style="3" customWidth="1"/>
    <col min="5908" max="6144" width="9" style="3"/>
    <col min="6145" max="6145" width="3.5546875" style="3" customWidth="1"/>
    <col min="6146" max="6146" width="5.6640625" style="3" customWidth="1"/>
    <col min="6147" max="6162" width="9.5546875" style="3" customWidth="1"/>
    <col min="6163" max="6163" width="10.6640625" style="3" customWidth="1"/>
    <col min="6164" max="6400" width="9" style="3"/>
    <col min="6401" max="6401" width="3.5546875" style="3" customWidth="1"/>
    <col min="6402" max="6402" width="5.6640625" style="3" customWidth="1"/>
    <col min="6403" max="6418" width="9.5546875" style="3" customWidth="1"/>
    <col min="6419" max="6419" width="10.6640625" style="3" customWidth="1"/>
    <col min="6420" max="6656" width="9" style="3"/>
    <col min="6657" max="6657" width="3.5546875" style="3" customWidth="1"/>
    <col min="6658" max="6658" width="5.6640625" style="3" customWidth="1"/>
    <col min="6659" max="6674" width="9.5546875" style="3" customWidth="1"/>
    <col min="6675" max="6675" width="10.6640625" style="3" customWidth="1"/>
    <col min="6676" max="6912" width="9" style="3"/>
    <col min="6913" max="6913" width="3.5546875" style="3" customWidth="1"/>
    <col min="6914" max="6914" width="5.6640625" style="3" customWidth="1"/>
    <col min="6915" max="6930" width="9.5546875" style="3" customWidth="1"/>
    <col min="6931" max="6931" width="10.6640625" style="3" customWidth="1"/>
    <col min="6932" max="7168" width="9" style="3"/>
    <col min="7169" max="7169" width="3.5546875" style="3" customWidth="1"/>
    <col min="7170" max="7170" width="5.6640625" style="3" customWidth="1"/>
    <col min="7171" max="7186" width="9.5546875" style="3" customWidth="1"/>
    <col min="7187" max="7187" width="10.6640625" style="3" customWidth="1"/>
    <col min="7188" max="7424" width="9" style="3"/>
    <col min="7425" max="7425" width="3.5546875" style="3" customWidth="1"/>
    <col min="7426" max="7426" width="5.6640625" style="3" customWidth="1"/>
    <col min="7427" max="7442" width="9.5546875" style="3" customWidth="1"/>
    <col min="7443" max="7443" width="10.6640625" style="3" customWidth="1"/>
    <col min="7444" max="7680" width="9" style="3"/>
    <col min="7681" max="7681" width="3.5546875" style="3" customWidth="1"/>
    <col min="7682" max="7682" width="5.6640625" style="3" customWidth="1"/>
    <col min="7683" max="7698" width="9.5546875" style="3" customWidth="1"/>
    <col min="7699" max="7699" width="10.6640625" style="3" customWidth="1"/>
    <col min="7700" max="7936" width="9" style="3"/>
    <col min="7937" max="7937" width="3.5546875" style="3" customWidth="1"/>
    <col min="7938" max="7938" width="5.6640625" style="3" customWidth="1"/>
    <col min="7939" max="7954" width="9.5546875" style="3" customWidth="1"/>
    <col min="7955" max="7955" width="10.6640625" style="3" customWidth="1"/>
    <col min="7956" max="8192" width="9" style="3"/>
    <col min="8193" max="8193" width="3.5546875" style="3" customWidth="1"/>
    <col min="8194" max="8194" width="5.6640625" style="3" customWidth="1"/>
    <col min="8195" max="8210" width="9.5546875" style="3" customWidth="1"/>
    <col min="8211" max="8211" width="10.6640625" style="3" customWidth="1"/>
    <col min="8212" max="8448" width="9" style="3"/>
    <col min="8449" max="8449" width="3.5546875" style="3" customWidth="1"/>
    <col min="8450" max="8450" width="5.6640625" style="3" customWidth="1"/>
    <col min="8451" max="8466" width="9.5546875" style="3" customWidth="1"/>
    <col min="8467" max="8467" width="10.6640625" style="3" customWidth="1"/>
    <col min="8468" max="8704" width="9" style="3"/>
    <col min="8705" max="8705" width="3.5546875" style="3" customWidth="1"/>
    <col min="8706" max="8706" width="5.6640625" style="3" customWidth="1"/>
    <col min="8707" max="8722" width="9.5546875" style="3" customWidth="1"/>
    <col min="8723" max="8723" width="10.6640625" style="3" customWidth="1"/>
    <col min="8724" max="8960" width="9" style="3"/>
    <col min="8961" max="8961" width="3.5546875" style="3" customWidth="1"/>
    <col min="8962" max="8962" width="5.6640625" style="3" customWidth="1"/>
    <col min="8963" max="8978" width="9.5546875" style="3" customWidth="1"/>
    <col min="8979" max="8979" width="10.6640625" style="3" customWidth="1"/>
    <col min="8980" max="9216" width="9" style="3"/>
    <col min="9217" max="9217" width="3.5546875" style="3" customWidth="1"/>
    <col min="9218" max="9218" width="5.6640625" style="3" customWidth="1"/>
    <col min="9219" max="9234" width="9.5546875" style="3" customWidth="1"/>
    <col min="9235" max="9235" width="10.6640625" style="3" customWidth="1"/>
    <col min="9236" max="9472" width="9" style="3"/>
    <col min="9473" max="9473" width="3.5546875" style="3" customWidth="1"/>
    <col min="9474" max="9474" width="5.6640625" style="3" customWidth="1"/>
    <col min="9475" max="9490" width="9.5546875" style="3" customWidth="1"/>
    <col min="9491" max="9491" width="10.6640625" style="3" customWidth="1"/>
    <col min="9492" max="9728" width="9" style="3"/>
    <col min="9729" max="9729" width="3.5546875" style="3" customWidth="1"/>
    <col min="9730" max="9730" width="5.6640625" style="3" customWidth="1"/>
    <col min="9731" max="9746" width="9.5546875" style="3" customWidth="1"/>
    <col min="9747" max="9747" width="10.6640625" style="3" customWidth="1"/>
    <col min="9748" max="9984" width="9" style="3"/>
    <col min="9985" max="9985" width="3.5546875" style="3" customWidth="1"/>
    <col min="9986" max="9986" width="5.6640625" style="3" customWidth="1"/>
    <col min="9987" max="10002" width="9.5546875" style="3" customWidth="1"/>
    <col min="10003" max="10003" width="10.6640625" style="3" customWidth="1"/>
    <col min="10004" max="10240" width="9" style="3"/>
    <col min="10241" max="10241" width="3.5546875" style="3" customWidth="1"/>
    <col min="10242" max="10242" width="5.6640625" style="3" customWidth="1"/>
    <col min="10243" max="10258" width="9.5546875" style="3" customWidth="1"/>
    <col min="10259" max="10259" width="10.6640625" style="3" customWidth="1"/>
    <col min="10260" max="10496" width="9" style="3"/>
    <col min="10497" max="10497" width="3.5546875" style="3" customWidth="1"/>
    <col min="10498" max="10498" width="5.6640625" style="3" customWidth="1"/>
    <col min="10499" max="10514" width="9.5546875" style="3" customWidth="1"/>
    <col min="10515" max="10515" width="10.6640625" style="3" customWidth="1"/>
    <col min="10516" max="10752" width="9" style="3"/>
    <col min="10753" max="10753" width="3.5546875" style="3" customWidth="1"/>
    <col min="10754" max="10754" width="5.6640625" style="3" customWidth="1"/>
    <col min="10755" max="10770" width="9.5546875" style="3" customWidth="1"/>
    <col min="10771" max="10771" width="10.6640625" style="3" customWidth="1"/>
    <col min="10772" max="11008" width="9" style="3"/>
    <col min="11009" max="11009" width="3.5546875" style="3" customWidth="1"/>
    <col min="11010" max="11010" width="5.6640625" style="3" customWidth="1"/>
    <col min="11011" max="11026" width="9.5546875" style="3" customWidth="1"/>
    <col min="11027" max="11027" width="10.6640625" style="3" customWidth="1"/>
    <col min="11028" max="11264" width="9" style="3"/>
    <col min="11265" max="11265" width="3.5546875" style="3" customWidth="1"/>
    <col min="11266" max="11266" width="5.6640625" style="3" customWidth="1"/>
    <col min="11267" max="11282" width="9.5546875" style="3" customWidth="1"/>
    <col min="11283" max="11283" width="10.6640625" style="3" customWidth="1"/>
    <col min="11284" max="11520" width="9" style="3"/>
    <col min="11521" max="11521" width="3.5546875" style="3" customWidth="1"/>
    <col min="11522" max="11522" width="5.6640625" style="3" customWidth="1"/>
    <col min="11523" max="11538" width="9.5546875" style="3" customWidth="1"/>
    <col min="11539" max="11539" width="10.6640625" style="3" customWidth="1"/>
    <col min="11540" max="11776" width="9" style="3"/>
    <col min="11777" max="11777" width="3.5546875" style="3" customWidth="1"/>
    <col min="11778" max="11778" width="5.6640625" style="3" customWidth="1"/>
    <col min="11779" max="11794" width="9.5546875" style="3" customWidth="1"/>
    <col min="11795" max="11795" width="10.6640625" style="3" customWidth="1"/>
    <col min="11796" max="12032" width="9" style="3"/>
    <col min="12033" max="12033" width="3.5546875" style="3" customWidth="1"/>
    <col min="12034" max="12034" width="5.6640625" style="3" customWidth="1"/>
    <col min="12035" max="12050" width="9.5546875" style="3" customWidth="1"/>
    <col min="12051" max="12051" width="10.6640625" style="3" customWidth="1"/>
    <col min="12052" max="12288" width="9" style="3"/>
    <col min="12289" max="12289" width="3.5546875" style="3" customWidth="1"/>
    <col min="12290" max="12290" width="5.6640625" style="3" customWidth="1"/>
    <col min="12291" max="12306" width="9.5546875" style="3" customWidth="1"/>
    <col min="12307" max="12307" width="10.6640625" style="3" customWidth="1"/>
    <col min="12308" max="12544" width="9" style="3"/>
    <col min="12545" max="12545" width="3.5546875" style="3" customWidth="1"/>
    <col min="12546" max="12546" width="5.6640625" style="3" customWidth="1"/>
    <col min="12547" max="12562" width="9.5546875" style="3" customWidth="1"/>
    <col min="12563" max="12563" width="10.6640625" style="3" customWidth="1"/>
    <col min="12564" max="12800" width="9" style="3"/>
    <col min="12801" max="12801" width="3.5546875" style="3" customWidth="1"/>
    <col min="12802" max="12802" width="5.6640625" style="3" customWidth="1"/>
    <col min="12803" max="12818" width="9.5546875" style="3" customWidth="1"/>
    <col min="12819" max="12819" width="10.6640625" style="3" customWidth="1"/>
    <col min="12820" max="13056" width="9" style="3"/>
    <col min="13057" max="13057" width="3.5546875" style="3" customWidth="1"/>
    <col min="13058" max="13058" width="5.6640625" style="3" customWidth="1"/>
    <col min="13059" max="13074" width="9.5546875" style="3" customWidth="1"/>
    <col min="13075" max="13075" width="10.6640625" style="3" customWidth="1"/>
    <col min="13076" max="13312" width="9" style="3"/>
    <col min="13313" max="13313" width="3.5546875" style="3" customWidth="1"/>
    <col min="13314" max="13314" width="5.6640625" style="3" customWidth="1"/>
    <col min="13315" max="13330" width="9.5546875" style="3" customWidth="1"/>
    <col min="13331" max="13331" width="10.6640625" style="3" customWidth="1"/>
    <col min="13332" max="13568" width="9" style="3"/>
    <col min="13569" max="13569" width="3.5546875" style="3" customWidth="1"/>
    <col min="13570" max="13570" width="5.6640625" style="3" customWidth="1"/>
    <col min="13571" max="13586" width="9.5546875" style="3" customWidth="1"/>
    <col min="13587" max="13587" width="10.6640625" style="3" customWidth="1"/>
    <col min="13588" max="13824" width="9" style="3"/>
    <col min="13825" max="13825" width="3.5546875" style="3" customWidth="1"/>
    <col min="13826" max="13826" width="5.6640625" style="3" customWidth="1"/>
    <col min="13827" max="13842" width="9.5546875" style="3" customWidth="1"/>
    <col min="13843" max="13843" width="10.6640625" style="3" customWidth="1"/>
    <col min="13844" max="14080" width="9" style="3"/>
    <col min="14081" max="14081" width="3.5546875" style="3" customWidth="1"/>
    <col min="14082" max="14082" width="5.6640625" style="3" customWidth="1"/>
    <col min="14083" max="14098" width="9.5546875" style="3" customWidth="1"/>
    <col min="14099" max="14099" width="10.6640625" style="3" customWidth="1"/>
    <col min="14100" max="14336" width="9" style="3"/>
    <col min="14337" max="14337" width="3.5546875" style="3" customWidth="1"/>
    <col min="14338" max="14338" width="5.6640625" style="3" customWidth="1"/>
    <col min="14339" max="14354" width="9.5546875" style="3" customWidth="1"/>
    <col min="14355" max="14355" width="10.6640625" style="3" customWidth="1"/>
    <col min="14356" max="14592" width="9" style="3"/>
    <col min="14593" max="14593" width="3.5546875" style="3" customWidth="1"/>
    <col min="14594" max="14594" width="5.6640625" style="3" customWidth="1"/>
    <col min="14595" max="14610" width="9.5546875" style="3" customWidth="1"/>
    <col min="14611" max="14611" width="10.6640625" style="3" customWidth="1"/>
    <col min="14612" max="14848" width="9" style="3"/>
    <col min="14849" max="14849" width="3.5546875" style="3" customWidth="1"/>
    <col min="14850" max="14850" width="5.6640625" style="3" customWidth="1"/>
    <col min="14851" max="14866" width="9.5546875" style="3" customWidth="1"/>
    <col min="14867" max="14867" width="10.6640625" style="3" customWidth="1"/>
    <col min="14868" max="15104" width="9" style="3"/>
    <col min="15105" max="15105" width="3.5546875" style="3" customWidth="1"/>
    <col min="15106" max="15106" width="5.6640625" style="3" customWidth="1"/>
    <col min="15107" max="15122" width="9.5546875" style="3" customWidth="1"/>
    <col min="15123" max="15123" width="10.6640625" style="3" customWidth="1"/>
    <col min="15124" max="15360" width="9" style="3"/>
    <col min="15361" max="15361" width="3.5546875" style="3" customWidth="1"/>
    <col min="15362" max="15362" width="5.6640625" style="3" customWidth="1"/>
    <col min="15363" max="15378" width="9.5546875" style="3" customWidth="1"/>
    <col min="15379" max="15379" width="10.6640625" style="3" customWidth="1"/>
    <col min="15380" max="15616" width="9" style="3"/>
    <col min="15617" max="15617" width="3.5546875" style="3" customWidth="1"/>
    <col min="15618" max="15618" width="5.6640625" style="3" customWidth="1"/>
    <col min="15619" max="15634" width="9.5546875" style="3" customWidth="1"/>
    <col min="15635" max="15635" width="10.6640625" style="3" customWidth="1"/>
    <col min="15636" max="15872" width="9" style="3"/>
    <col min="15873" max="15873" width="3.5546875" style="3" customWidth="1"/>
    <col min="15874" max="15874" width="5.6640625" style="3" customWidth="1"/>
    <col min="15875" max="15890" width="9.5546875" style="3" customWidth="1"/>
    <col min="15891" max="15891" width="10.6640625" style="3" customWidth="1"/>
    <col min="15892" max="16128" width="9" style="3"/>
    <col min="16129" max="16129" width="3.5546875" style="3" customWidth="1"/>
    <col min="16130" max="16130" width="5.6640625" style="3" customWidth="1"/>
    <col min="16131" max="16146" width="9.5546875" style="3" customWidth="1"/>
    <col min="16147" max="16147" width="10.6640625" style="3" customWidth="1"/>
    <col min="16148" max="16384" width="9" style="3"/>
  </cols>
  <sheetData>
    <row r="1" spans="1:24" ht="14.1" customHeight="1" thickBot="1" x14ac:dyDescent="0.25">
      <c r="A1" s="1" t="s">
        <v>0</v>
      </c>
      <c r="B1" s="2"/>
      <c r="C1" s="248"/>
      <c r="D1" s="2"/>
      <c r="E1" s="2"/>
      <c r="F1" s="2"/>
      <c r="G1" s="2"/>
      <c r="H1" s="2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194" t="s">
        <v>2</v>
      </c>
    </row>
    <row r="2" spans="1:24" ht="14.1" customHeight="1" x14ac:dyDescent="0.2">
      <c r="A2" s="3" t="s">
        <v>3</v>
      </c>
      <c r="F2" s="4" t="s">
        <v>4</v>
      </c>
      <c r="G2" s="3" t="s">
        <v>5</v>
      </c>
      <c r="K2" s="5"/>
      <c r="L2" s="5"/>
      <c r="N2" s="5"/>
      <c r="O2" s="5"/>
      <c r="P2" s="5" t="s">
        <v>6</v>
      </c>
      <c r="S2" s="6"/>
    </row>
    <row r="3" spans="1:24" ht="14.1" customHeight="1" x14ac:dyDescent="0.2">
      <c r="G3" s="3" t="s">
        <v>7</v>
      </c>
      <c r="K3" s="4"/>
      <c r="L3" s="6"/>
      <c r="O3" s="4"/>
      <c r="P3" s="4" t="s">
        <v>8</v>
      </c>
      <c r="Q3" s="51" t="s">
        <v>81</v>
      </c>
      <c r="S3" s="4"/>
    </row>
    <row r="4" spans="1:24" ht="14.1" customHeight="1" x14ac:dyDescent="0.2">
      <c r="A4" s="3" t="s">
        <v>10</v>
      </c>
      <c r="G4" s="3" t="s">
        <v>11</v>
      </c>
      <c r="K4" s="4"/>
      <c r="L4" s="6"/>
      <c r="M4" s="4"/>
      <c r="P4" s="4" t="s">
        <v>8</v>
      </c>
      <c r="Q4" s="51" t="s">
        <v>82</v>
      </c>
      <c r="S4" s="4"/>
    </row>
    <row r="5" spans="1:24" ht="14.1" customHeight="1" x14ac:dyDescent="0.2">
      <c r="G5" s="3" t="s">
        <v>11</v>
      </c>
      <c r="K5" s="4"/>
      <c r="L5" s="6"/>
      <c r="M5" s="4"/>
      <c r="P5" s="4" t="s">
        <v>11</v>
      </c>
      <c r="Q5" s="51" t="s">
        <v>83</v>
      </c>
      <c r="S5" s="4"/>
    </row>
    <row r="6" spans="1:24" ht="14.1" customHeight="1" x14ac:dyDescent="0.2">
      <c r="G6" s="3" t="s">
        <v>11</v>
      </c>
      <c r="K6" s="4"/>
      <c r="L6" s="6"/>
      <c r="M6" s="4"/>
      <c r="P6" s="4"/>
      <c r="Q6" s="10" t="s">
        <v>3673</v>
      </c>
      <c r="S6" s="4"/>
    </row>
    <row r="7" spans="1:24" ht="14.1" customHeight="1" x14ac:dyDescent="0.2">
      <c r="K7" s="4"/>
      <c r="L7" s="6"/>
      <c r="M7" s="4"/>
      <c r="P7" s="4"/>
      <c r="Q7" s="10" t="s">
        <v>3674</v>
      </c>
    </row>
    <row r="8" spans="1:24" ht="14.1" customHeight="1" x14ac:dyDescent="0.2">
      <c r="K8" s="4"/>
      <c r="L8" s="6"/>
      <c r="M8" s="4"/>
      <c r="P8" s="4"/>
      <c r="Q8" s="10" t="s">
        <v>3675</v>
      </c>
    </row>
    <row r="9" spans="1:24" ht="14.1" customHeight="1" thickBot="1" x14ac:dyDescent="0.25">
      <c r="A9" s="2" t="s">
        <v>3672</v>
      </c>
      <c r="B9" s="2"/>
      <c r="C9" s="248"/>
      <c r="D9" s="2"/>
      <c r="E9" s="2"/>
      <c r="F9" s="2"/>
      <c r="G9" s="2"/>
      <c r="H9" s="2"/>
      <c r="I9" s="11" t="s">
        <v>16</v>
      </c>
      <c r="J9" s="2"/>
      <c r="K9" s="2"/>
      <c r="L9" s="2"/>
      <c r="M9" s="2"/>
      <c r="N9" s="2"/>
      <c r="O9" s="2"/>
      <c r="P9" s="2"/>
      <c r="Q9" s="12"/>
      <c r="R9" s="2"/>
      <c r="S9" s="2"/>
    </row>
    <row r="10" spans="1:24" ht="14.1" customHeight="1" x14ac:dyDescent="0.2">
      <c r="B10" s="13"/>
      <c r="C10" s="246" t="s">
        <v>18</v>
      </c>
      <c r="D10" s="14"/>
      <c r="E10" s="15" t="s">
        <v>19</v>
      </c>
      <c r="F10" s="14"/>
      <c r="G10" s="14"/>
      <c r="H10" s="14" t="s">
        <v>20</v>
      </c>
      <c r="I10" s="14"/>
      <c r="J10" s="14" t="s">
        <v>21</v>
      </c>
      <c r="K10" s="14"/>
      <c r="L10" s="14" t="s">
        <v>22</v>
      </c>
      <c r="M10" s="14"/>
      <c r="N10" s="14" t="s">
        <v>23</v>
      </c>
      <c r="O10" s="14"/>
      <c r="P10" s="14" t="s">
        <v>24</v>
      </c>
      <c r="Q10" s="14"/>
      <c r="R10" s="14" t="s">
        <v>25</v>
      </c>
      <c r="S10" s="14"/>
    </row>
    <row r="11" spans="1:24" ht="14.1" customHeight="1" x14ac:dyDescent="0.2">
      <c r="B11" s="13"/>
      <c r="C11" s="246"/>
      <c r="D11" s="14"/>
      <c r="E11" s="15"/>
      <c r="F11" s="14"/>
      <c r="G11" s="14"/>
      <c r="H11" s="14"/>
      <c r="I11" s="14"/>
      <c r="J11" s="14"/>
      <c r="K11" s="13"/>
      <c r="L11" s="16"/>
      <c r="M11" s="16" t="s">
        <v>26</v>
      </c>
      <c r="N11" s="17"/>
      <c r="O11" s="14"/>
      <c r="P11" s="13" t="s">
        <v>27</v>
      </c>
      <c r="Q11" s="14"/>
      <c r="R11" s="14"/>
      <c r="S11" s="14"/>
    </row>
    <row r="12" spans="1:24" ht="14.1" customHeight="1" x14ac:dyDescent="0.2">
      <c r="B12" s="13"/>
      <c r="D12" s="13"/>
      <c r="F12" s="13"/>
      <c r="G12" s="13"/>
      <c r="H12" s="14" t="s">
        <v>28</v>
      </c>
      <c r="I12" s="14"/>
      <c r="J12" s="14" t="s">
        <v>29</v>
      </c>
      <c r="K12" s="13"/>
      <c r="L12" s="13" t="s">
        <v>30</v>
      </c>
      <c r="M12" s="13"/>
      <c r="N12" s="13" t="s">
        <v>31</v>
      </c>
      <c r="O12" s="13"/>
      <c r="P12" s="13" t="s">
        <v>32</v>
      </c>
      <c r="Q12" s="13"/>
      <c r="R12" s="13"/>
      <c r="S12" s="13"/>
    </row>
    <row r="13" spans="1:24" ht="14.1" customHeight="1" x14ac:dyDescent="0.2">
      <c r="A13" s="3" t="s">
        <v>33</v>
      </c>
      <c r="B13" s="13"/>
      <c r="C13" s="247" t="s">
        <v>34</v>
      </c>
      <c r="D13" s="13"/>
      <c r="F13" s="14"/>
      <c r="G13" s="13"/>
      <c r="H13" s="13" t="s">
        <v>35</v>
      </c>
      <c r="I13" s="13"/>
      <c r="J13" s="13" t="s">
        <v>35</v>
      </c>
      <c r="K13" s="14"/>
      <c r="L13" s="14" t="s">
        <v>36</v>
      </c>
      <c r="M13" s="14"/>
      <c r="N13" s="13" t="s">
        <v>37</v>
      </c>
      <c r="O13" s="13"/>
      <c r="P13" s="13" t="s">
        <v>38</v>
      </c>
      <c r="Q13" s="14"/>
      <c r="R13" s="14"/>
      <c r="S13" s="13"/>
    </row>
    <row r="14" spans="1:24" ht="14.1" customHeight="1" thickBot="1" x14ac:dyDescent="0.25">
      <c r="A14" s="2" t="s">
        <v>39</v>
      </c>
      <c r="B14" s="11"/>
      <c r="C14" s="248" t="s">
        <v>40</v>
      </c>
      <c r="D14" s="11"/>
      <c r="E14" s="2" t="s">
        <v>34</v>
      </c>
      <c r="F14" s="11"/>
      <c r="G14" s="18"/>
      <c r="H14" s="19" t="s">
        <v>85</v>
      </c>
      <c r="I14" s="18"/>
      <c r="J14" s="19" t="s">
        <v>86</v>
      </c>
      <c r="K14" s="18"/>
      <c r="L14" s="18" t="s">
        <v>43</v>
      </c>
      <c r="M14" s="20"/>
      <c r="N14" s="19" t="s">
        <v>44</v>
      </c>
      <c r="O14" s="19"/>
      <c r="P14" s="21">
        <f>'C-4 (2025)'!I246*0.0005</f>
        <v>1005.196</v>
      </c>
      <c r="Q14" s="1"/>
      <c r="R14" s="1" t="s">
        <v>45</v>
      </c>
      <c r="S14" s="19"/>
    </row>
    <row r="15" spans="1:24" ht="14.1" customHeight="1" x14ac:dyDescent="0.2">
      <c r="A15" s="3">
        <v>1</v>
      </c>
      <c r="B15" s="22"/>
      <c r="S15" s="22"/>
    </row>
    <row r="16" spans="1:24" ht="14.1" customHeight="1" x14ac:dyDescent="0.2">
      <c r="A16" s="3">
        <v>2</v>
      </c>
      <c r="B16" s="23"/>
      <c r="C16" s="249">
        <v>501</v>
      </c>
      <c r="E16" s="25" t="str">
        <f>'[71]C-4 (2019)'!E20</f>
        <v>Fuel</v>
      </c>
      <c r="F16" s="26"/>
      <c r="G16" s="26"/>
      <c r="H16" s="28">
        <f>Comparison!F220</f>
        <v>15535.7436746643</v>
      </c>
      <c r="I16" s="28"/>
      <c r="J16" s="28">
        <f>Comparison!E220</f>
        <v>18791.894044488497</v>
      </c>
      <c r="K16" s="28"/>
      <c r="L16" s="28">
        <f>H16-J16</f>
        <v>-3256.1503698241977</v>
      </c>
      <c r="M16" s="26"/>
      <c r="N16" s="29">
        <f>L16/J16*100</f>
        <v>-17.327419801939545</v>
      </c>
      <c r="O16" s="26"/>
      <c r="P16" s="30" t="s">
        <v>46</v>
      </c>
      <c r="Q16" s="26"/>
      <c r="R16" s="31" t="s">
        <v>47</v>
      </c>
      <c r="S16" s="28"/>
      <c r="X16" s="255"/>
    </row>
    <row r="17" spans="1:19" ht="14.1" customHeight="1" x14ac:dyDescent="0.2">
      <c r="A17" s="3">
        <v>3</v>
      </c>
      <c r="B17" s="28"/>
      <c r="H17" s="22"/>
      <c r="I17" s="22"/>
      <c r="J17" s="22"/>
      <c r="K17" s="22"/>
      <c r="L17" s="22"/>
      <c r="N17" s="33"/>
      <c r="S17" s="26"/>
    </row>
    <row r="18" spans="1:19" ht="14.1" customHeight="1" x14ac:dyDescent="0.2">
      <c r="A18" s="3">
        <v>4</v>
      </c>
      <c r="B18" s="28"/>
      <c r="C18" s="247">
        <v>512</v>
      </c>
      <c r="E18" s="3" t="s">
        <v>87</v>
      </c>
      <c r="H18" s="22">
        <f>Comparison!F230</f>
        <v>20311.1276362268</v>
      </c>
      <c r="I18" s="22"/>
      <c r="J18" s="22">
        <f>Comparison!E230</f>
        <v>17069.789076555302</v>
      </c>
      <c r="K18" s="22"/>
      <c r="L18" s="28">
        <f>H18-J18</f>
        <v>3241.3385596714979</v>
      </c>
      <c r="N18" s="29">
        <f>L18/J18*100</f>
        <v>18.988744062006905</v>
      </c>
      <c r="P18" s="30" t="s">
        <v>46</v>
      </c>
      <c r="R18" s="31" t="s">
        <v>47</v>
      </c>
      <c r="S18" s="26"/>
    </row>
    <row r="19" spans="1:19" ht="14.1" customHeight="1" x14ac:dyDescent="0.2">
      <c r="A19" s="3">
        <v>5</v>
      </c>
      <c r="B19" s="28"/>
      <c r="H19" s="22"/>
      <c r="I19" s="22"/>
      <c r="J19" s="22"/>
      <c r="K19" s="22"/>
      <c r="L19" s="22"/>
      <c r="N19" s="33"/>
      <c r="S19" s="26"/>
    </row>
    <row r="20" spans="1:19" ht="14.1" customHeight="1" x14ac:dyDescent="0.2">
      <c r="A20" s="3">
        <v>6</v>
      </c>
      <c r="B20" s="28"/>
      <c r="C20" s="247">
        <v>553</v>
      </c>
      <c r="E20" s="3" t="s">
        <v>88</v>
      </c>
      <c r="H20" s="22">
        <f>Comparison!F266</f>
        <v>37241.383476004899</v>
      </c>
      <c r="I20" s="22"/>
      <c r="J20" s="22">
        <f>Comparison!E266</f>
        <v>31342.539825929594</v>
      </c>
      <c r="K20" s="22"/>
      <c r="L20" s="28">
        <f>H20-J20</f>
        <v>5898.843650075305</v>
      </c>
      <c r="N20" s="29">
        <f>L20/J20*100</f>
        <v>18.82056681697253</v>
      </c>
      <c r="P20" s="30" t="s">
        <v>46</v>
      </c>
      <c r="R20" s="31" t="s">
        <v>47</v>
      </c>
      <c r="S20" s="26"/>
    </row>
    <row r="21" spans="1:19" ht="14.1" customHeight="1" x14ac:dyDescent="0.2">
      <c r="A21" s="3">
        <v>7</v>
      </c>
      <c r="B21" s="28"/>
      <c r="H21" s="22"/>
      <c r="I21" s="22"/>
      <c r="J21" s="22"/>
      <c r="K21" s="22"/>
      <c r="L21" s="22"/>
      <c r="N21" s="33"/>
      <c r="S21" s="26"/>
    </row>
    <row r="22" spans="1:19" ht="14.1" customHeight="1" x14ac:dyDescent="0.2">
      <c r="A22" s="3">
        <v>8</v>
      </c>
      <c r="B22" s="28"/>
      <c r="C22" s="249">
        <v>555</v>
      </c>
      <c r="E22" s="25" t="s">
        <v>49</v>
      </c>
      <c r="F22" s="26"/>
      <c r="G22" s="26"/>
      <c r="H22" s="28">
        <f>Comparison!F269</f>
        <v>16783.255023564801</v>
      </c>
      <c r="I22" s="28"/>
      <c r="J22" s="28">
        <f>Comparison!E269</f>
        <v>21028.651428460798</v>
      </c>
      <c r="K22" s="28"/>
      <c r="L22" s="28">
        <f>J22-H22</f>
        <v>4245.396404895997</v>
      </c>
      <c r="M22" s="26"/>
      <c r="N22" s="29">
        <f>L22/J22*100</f>
        <v>20.188628925343981</v>
      </c>
      <c r="O22" s="26"/>
      <c r="P22" s="30" t="s">
        <v>46</v>
      </c>
      <c r="Q22" s="26"/>
      <c r="R22" s="31" t="s">
        <v>47</v>
      </c>
    </row>
    <row r="23" spans="1:19" ht="14.1" customHeight="1" x14ac:dyDescent="0.2">
      <c r="A23" s="3">
        <v>9</v>
      </c>
      <c r="B23" s="28"/>
      <c r="C23" s="249"/>
      <c r="E23" s="25"/>
      <c r="F23" s="26"/>
      <c r="G23" s="26"/>
      <c r="H23" s="28"/>
      <c r="I23" s="28"/>
      <c r="J23" s="28"/>
      <c r="K23" s="28"/>
      <c r="L23" s="28"/>
      <c r="M23" s="26"/>
      <c r="N23" s="29"/>
      <c r="O23" s="26"/>
      <c r="P23" s="30"/>
      <c r="Q23" s="26"/>
      <c r="R23" s="31"/>
    </row>
    <row r="24" spans="1:19" ht="14.1" customHeight="1" x14ac:dyDescent="0.2">
      <c r="A24" s="3">
        <v>10</v>
      </c>
      <c r="B24" s="28"/>
      <c r="C24" s="249">
        <v>556</v>
      </c>
      <c r="E24" s="25" t="s">
        <v>89</v>
      </c>
      <c r="F24" s="26"/>
      <c r="G24" s="26"/>
      <c r="H24" s="28">
        <f>Comparison!F270</f>
        <v>-955.71017730350002</v>
      </c>
      <c r="I24" s="28"/>
      <c r="J24" s="28">
        <f>Comparison!E270</f>
        <v>316.34439457619993</v>
      </c>
      <c r="K24" s="28"/>
      <c r="L24" s="28">
        <f>H24-J24</f>
        <v>-1272.0545718797</v>
      </c>
      <c r="M24" s="26"/>
      <c r="N24" s="29">
        <f>L24/J24*100</f>
        <v>-402.11067232085628</v>
      </c>
      <c r="O24" s="26"/>
      <c r="P24" s="30" t="s">
        <v>46</v>
      </c>
      <c r="Q24" s="26"/>
      <c r="R24" s="31" t="s">
        <v>47</v>
      </c>
    </row>
    <row r="25" spans="1:19" ht="14.1" customHeight="1" x14ac:dyDescent="0.2">
      <c r="A25" s="3">
        <v>11</v>
      </c>
      <c r="B25" s="28"/>
      <c r="C25" s="249"/>
      <c r="E25" s="25"/>
      <c r="F25" s="26"/>
      <c r="G25" s="26"/>
      <c r="H25" s="28"/>
      <c r="I25" s="28"/>
      <c r="J25" s="28"/>
      <c r="K25" s="28"/>
      <c r="L25" s="28"/>
      <c r="M25" s="26"/>
      <c r="N25" s="29"/>
      <c r="O25" s="26"/>
      <c r="P25" s="30"/>
      <c r="Q25" s="26"/>
      <c r="R25" s="31"/>
    </row>
    <row r="26" spans="1:19" ht="14.1" customHeight="1" x14ac:dyDescent="0.2">
      <c r="A26" s="3">
        <v>12</v>
      </c>
      <c r="B26" s="28"/>
      <c r="C26" s="249">
        <v>571</v>
      </c>
      <c r="E26" s="25" t="s">
        <v>90</v>
      </c>
      <c r="F26" s="26"/>
      <c r="G26" s="26"/>
      <c r="H26" s="28">
        <f>Comparison!F295</f>
        <v>5757.2113196280998</v>
      </c>
      <c r="I26" s="28"/>
      <c r="J26" s="28">
        <f>Comparison!E295</f>
        <v>3812.1687458656002</v>
      </c>
      <c r="K26" s="28"/>
      <c r="L26" s="28">
        <f>H26-J26</f>
        <v>1945.0425737624996</v>
      </c>
      <c r="M26" s="26"/>
      <c r="N26" s="29">
        <f>L26/J26*100</f>
        <v>51.021943240890131</v>
      </c>
      <c r="O26" s="26"/>
      <c r="P26" s="30" t="s">
        <v>46</v>
      </c>
      <c r="Q26" s="26"/>
      <c r="R26" s="31" t="s">
        <v>47</v>
      </c>
    </row>
    <row r="27" spans="1:19" ht="14.1" customHeight="1" x14ac:dyDescent="0.2">
      <c r="A27" s="3">
        <v>13</v>
      </c>
      <c r="B27" s="28"/>
      <c r="C27" s="249"/>
      <c r="E27" s="25"/>
      <c r="F27" s="26"/>
      <c r="G27" s="26"/>
      <c r="H27" s="28"/>
      <c r="I27" s="28"/>
      <c r="K27" s="28"/>
      <c r="L27" s="28"/>
      <c r="M27" s="26"/>
      <c r="N27" s="29"/>
      <c r="O27" s="26"/>
      <c r="P27" s="30"/>
      <c r="Q27" s="26"/>
      <c r="R27" s="31"/>
    </row>
    <row r="28" spans="1:19" ht="14.1" customHeight="1" x14ac:dyDescent="0.2">
      <c r="A28" s="3">
        <v>14</v>
      </c>
      <c r="B28" s="28"/>
      <c r="C28" s="249">
        <v>588</v>
      </c>
      <c r="E28" s="25" t="s">
        <v>91</v>
      </c>
      <c r="F28" s="26"/>
      <c r="G28" s="26"/>
      <c r="H28" s="28">
        <f>Comparison!F320</f>
        <v>12532.888789570899</v>
      </c>
      <c r="I28" s="28"/>
      <c r="J28" s="28">
        <f>Comparison!E320</f>
        <v>4400.1201995865003</v>
      </c>
      <c r="K28" s="28"/>
      <c r="L28" s="28">
        <f>H28-J28</f>
        <v>8132.7685899843991</v>
      </c>
      <c r="M28" s="26"/>
      <c r="N28" s="29">
        <f>L28/J28*100</f>
        <v>184.83060055379107</v>
      </c>
      <c r="O28" s="26"/>
      <c r="P28" s="30" t="s">
        <v>46</v>
      </c>
      <c r="Q28" s="26"/>
      <c r="R28" s="31" t="s">
        <v>47</v>
      </c>
    </row>
    <row r="29" spans="1:19" ht="14.1" customHeight="1" x14ac:dyDescent="0.2">
      <c r="A29" s="3">
        <v>15</v>
      </c>
      <c r="B29" s="28"/>
      <c r="C29" s="249"/>
      <c r="E29" s="25"/>
      <c r="F29" s="26"/>
      <c r="G29" s="26"/>
      <c r="H29" s="28"/>
      <c r="I29" s="28"/>
      <c r="K29" s="28"/>
      <c r="L29" s="28"/>
      <c r="M29" s="26"/>
      <c r="N29" s="29"/>
      <c r="O29" s="26"/>
      <c r="P29" s="30"/>
      <c r="Q29" s="26"/>
      <c r="R29" s="31"/>
    </row>
    <row r="30" spans="1:19" ht="14.1" customHeight="1" x14ac:dyDescent="0.2">
      <c r="A30" s="3">
        <v>16</v>
      </c>
      <c r="B30" s="28"/>
      <c r="C30" s="249">
        <v>594</v>
      </c>
      <c r="E30" s="25" t="s">
        <v>92</v>
      </c>
      <c r="F30" s="26"/>
      <c r="G30" s="26"/>
      <c r="H30" s="28">
        <f>Comparison!F327</f>
        <v>4815.7451523291002</v>
      </c>
      <c r="I30" s="28"/>
      <c r="J30" s="28">
        <f>Comparison!E327</f>
        <v>6062.5126919718996</v>
      </c>
      <c r="K30" s="28"/>
      <c r="L30" s="28">
        <f>H30-J30</f>
        <v>-1246.7675396427994</v>
      </c>
      <c r="M30" s="26"/>
      <c r="N30" s="29">
        <f>L30/J30*100</f>
        <v>-20.565194713634067</v>
      </c>
      <c r="O30" s="26"/>
      <c r="P30" s="30" t="s">
        <v>46</v>
      </c>
      <c r="Q30" s="26"/>
      <c r="R30" s="31" t="s">
        <v>47</v>
      </c>
    </row>
    <row r="31" spans="1:19" ht="14.1" customHeight="1" x14ac:dyDescent="0.2">
      <c r="A31" s="3">
        <v>17</v>
      </c>
      <c r="B31" s="28"/>
      <c r="C31" s="249"/>
      <c r="E31" s="25"/>
      <c r="F31" s="26"/>
      <c r="G31" s="26"/>
      <c r="H31" s="28"/>
      <c r="I31" s="28"/>
      <c r="K31" s="28"/>
      <c r="L31" s="28"/>
      <c r="M31" s="26"/>
      <c r="N31" s="29"/>
      <c r="O31" s="26"/>
      <c r="P31" s="30"/>
      <c r="Q31" s="26"/>
      <c r="R31" s="31"/>
    </row>
    <row r="32" spans="1:19" ht="14.1" customHeight="1" x14ac:dyDescent="0.2">
      <c r="A32" s="3">
        <v>18</v>
      </c>
      <c r="B32" s="28"/>
      <c r="C32" s="249">
        <v>908</v>
      </c>
      <c r="E32" s="25" t="s">
        <v>93</v>
      </c>
      <c r="F32" s="26"/>
      <c r="G32" s="26"/>
      <c r="H32" s="28">
        <f>Comparison!F402</f>
        <v>62700.664669294405</v>
      </c>
      <c r="I32" s="28"/>
      <c r="J32" s="28">
        <f>Comparison!E402</f>
        <v>44329.207177010801</v>
      </c>
      <c r="K32" s="28"/>
      <c r="L32" s="28">
        <f>H32-J32</f>
        <v>18371.457492283604</v>
      </c>
      <c r="M32" s="26"/>
      <c r="N32" s="29">
        <f>L32/J32*100</f>
        <v>41.443234973557281</v>
      </c>
      <c r="O32" s="26"/>
      <c r="P32" s="30" t="s">
        <v>46</v>
      </c>
      <c r="Q32" s="26"/>
      <c r="R32" s="31" t="s">
        <v>47</v>
      </c>
    </row>
    <row r="33" spans="1:24" ht="14.1" customHeight="1" x14ac:dyDescent="0.2">
      <c r="A33" s="3">
        <v>19</v>
      </c>
      <c r="B33" s="28"/>
      <c r="C33" s="249"/>
      <c r="E33" s="25"/>
      <c r="F33" s="26"/>
      <c r="G33" s="26"/>
      <c r="H33" s="28"/>
      <c r="I33" s="28"/>
      <c r="K33" s="28"/>
      <c r="L33" s="28"/>
      <c r="M33" s="26"/>
      <c r="N33" s="29"/>
      <c r="O33" s="26"/>
      <c r="P33" s="30"/>
      <c r="Q33" s="26"/>
      <c r="R33" s="31"/>
    </row>
    <row r="34" spans="1:24" ht="14.1" customHeight="1" x14ac:dyDescent="0.2">
      <c r="A34" s="3">
        <v>20</v>
      </c>
      <c r="B34" s="28"/>
      <c r="C34" s="249">
        <v>909</v>
      </c>
      <c r="E34" s="25" t="s">
        <v>94</v>
      </c>
      <c r="F34" s="26"/>
      <c r="G34" s="26"/>
      <c r="H34" s="28">
        <f>Comparison!F403</f>
        <v>5484.1589778819998</v>
      </c>
      <c r="I34" s="28"/>
      <c r="J34" s="28">
        <f>Comparison!E403</f>
        <v>4435.3579282233995</v>
      </c>
      <c r="K34" s="28"/>
      <c r="L34" s="28">
        <f>H34-J34</f>
        <v>1048.8010496586003</v>
      </c>
      <c r="M34" s="26"/>
      <c r="N34" s="29">
        <f>L34/J34*100</f>
        <v>23.646367815882265</v>
      </c>
      <c r="O34" s="26"/>
      <c r="P34" s="30" t="s">
        <v>46</v>
      </c>
      <c r="Q34" s="26"/>
      <c r="R34" s="31" t="s">
        <v>47</v>
      </c>
    </row>
    <row r="35" spans="1:24" ht="14.1" customHeight="1" x14ac:dyDescent="0.2">
      <c r="A35" s="3">
        <v>21</v>
      </c>
      <c r="B35" s="28"/>
      <c r="C35" s="249"/>
      <c r="E35" s="25"/>
      <c r="F35" s="26"/>
      <c r="G35" s="26"/>
      <c r="H35" s="28"/>
      <c r="I35" s="28"/>
      <c r="K35" s="28"/>
      <c r="L35" s="28"/>
      <c r="M35" s="26"/>
      <c r="N35" s="29"/>
      <c r="O35" s="26"/>
      <c r="P35" s="30"/>
      <c r="Q35" s="26"/>
      <c r="R35" s="31"/>
    </row>
    <row r="36" spans="1:24" ht="14.1" customHeight="1" x14ac:dyDescent="0.2">
      <c r="A36" s="3">
        <v>22</v>
      </c>
      <c r="B36" s="28"/>
      <c r="C36" s="249">
        <v>921</v>
      </c>
      <c r="E36" s="25" t="s">
        <v>95</v>
      </c>
      <c r="F36" s="26"/>
      <c r="G36" s="26"/>
      <c r="H36" s="28">
        <f>Comparison!F410</f>
        <v>5202.8403527057999</v>
      </c>
      <c r="I36" s="28"/>
      <c r="J36" s="28">
        <f>Comparison!E410</f>
        <v>6241.312175368399</v>
      </c>
      <c r="K36" s="28"/>
      <c r="L36" s="28">
        <f>H36-J36</f>
        <v>-1038.4718226625992</v>
      </c>
      <c r="M36" s="26"/>
      <c r="N36" s="29">
        <f>L36/J36*100</f>
        <v>-16.638677788958738</v>
      </c>
      <c r="O36" s="26"/>
      <c r="P36" s="30" t="s">
        <v>46</v>
      </c>
      <c r="Q36" s="26"/>
      <c r="R36" s="31" t="s">
        <v>47</v>
      </c>
    </row>
    <row r="37" spans="1:24" ht="14.1" customHeight="1" x14ac:dyDescent="0.2">
      <c r="A37" s="3">
        <v>23</v>
      </c>
      <c r="B37" s="28"/>
      <c r="C37" s="249"/>
      <c r="E37" s="25"/>
      <c r="F37" s="26"/>
      <c r="G37" s="26"/>
      <c r="H37" s="28"/>
      <c r="I37" s="28"/>
      <c r="J37" s="28"/>
      <c r="K37" s="28"/>
      <c r="L37" s="28"/>
      <c r="M37" s="26"/>
      <c r="N37" s="29"/>
      <c r="O37" s="26"/>
      <c r="P37" s="30"/>
      <c r="Q37" s="26"/>
      <c r="R37" s="31"/>
    </row>
    <row r="38" spans="1:24" ht="14.1" customHeight="1" x14ac:dyDescent="0.2">
      <c r="A38" s="3">
        <v>24</v>
      </c>
      <c r="B38" s="28"/>
      <c r="C38" s="249">
        <v>924</v>
      </c>
      <c r="E38" s="25" t="s">
        <v>96</v>
      </c>
      <c r="F38" s="26"/>
      <c r="G38" s="26"/>
      <c r="H38" s="28">
        <f>Comparison!F413</f>
        <v>19611.5709332962</v>
      </c>
      <c r="I38" s="28"/>
      <c r="J38" s="28">
        <f>Comparison!E413</f>
        <v>45235.351878773901</v>
      </c>
      <c r="K38" s="28"/>
      <c r="L38" s="28">
        <f>H38-J38</f>
        <v>-25623.780945477702</v>
      </c>
      <c r="M38" s="26"/>
      <c r="N38" s="29">
        <f>L38/J38*100</f>
        <v>-56.645477223537036</v>
      </c>
      <c r="O38" s="26"/>
      <c r="P38" s="30" t="s">
        <v>46</v>
      </c>
      <c r="Q38" s="26"/>
      <c r="R38" s="31" t="s">
        <v>47</v>
      </c>
    </row>
    <row r="39" spans="1:24" ht="14.1" customHeight="1" x14ac:dyDescent="0.2">
      <c r="A39" s="3">
        <v>25</v>
      </c>
      <c r="B39" s="28"/>
      <c r="C39" s="249"/>
      <c r="E39" s="25"/>
      <c r="F39" s="26"/>
      <c r="G39" s="26"/>
      <c r="H39" s="28"/>
      <c r="I39" s="28"/>
      <c r="J39" s="28"/>
      <c r="K39" s="28"/>
      <c r="L39" s="28"/>
      <c r="M39" s="26"/>
      <c r="N39" s="29"/>
      <c r="O39" s="26"/>
      <c r="P39" s="30"/>
      <c r="Q39" s="26"/>
      <c r="R39" s="31"/>
    </row>
    <row r="40" spans="1:24" ht="14.1" customHeight="1" x14ac:dyDescent="0.2">
      <c r="A40" s="3">
        <v>26</v>
      </c>
      <c r="B40" s="28"/>
      <c r="C40" s="249">
        <v>928</v>
      </c>
      <c r="E40" s="25" t="s">
        <v>97</v>
      </c>
      <c r="F40" s="26"/>
      <c r="G40" s="26"/>
      <c r="H40" s="28">
        <f>Comparison!F417</f>
        <v>2105.6526666672003</v>
      </c>
      <c r="I40" s="28"/>
      <c r="J40" s="28">
        <f>Comparison!E417</f>
        <v>941.16722480599992</v>
      </c>
      <c r="K40" s="28"/>
      <c r="L40" s="28">
        <f>H40-J40</f>
        <v>1164.4854418612003</v>
      </c>
      <c r="M40" s="26"/>
      <c r="N40" s="29">
        <f>L40/J40*100</f>
        <v>123.72779365550393</v>
      </c>
      <c r="O40" s="26"/>
      <c r="P40" s="30" t="s">
        <v>46</v>
      </c>
      <c r="Q40" s="26"/>
      <c r="R40" s="31" t="s">
        <v>47</v>
      </c>
    </row>
    <row r="41" spans="1:24" ht="14.1" customHeight="1" x14ac:dyDescent="0.2">
      <c r="A41" s="3">
        <v>27</v>
      </c>
      <c r="B41" s="28"/>
      <c r="C41" s="250"/>
      <c r="E41" s="25"/>
      <c r="F41" s="26"/>
      <c r="G41" s="26"/>
      <c r="H41" s="28"/>
      <c r="I41" s="28"/>
      <c r="J41" s="28"/>
      <c r="K41" s="28"/>
      <c r="L41" s="28"/>
      <c r="M41" s="26"/>
      <c r="N41" s="29"/>
      <c r="O41" s="26"/>
      <c r="P41" s="30"/>
      <c r="Q41" s="26"/>
      <c r="R41" s="31"/>
      <c r="S41" s="26"/>
    </row>
    <row r="42" spans="1:24" ht="14.1" customHeight="1" x14ac:dyDescent="0.2">
      <c r="A42" s="3">
        <v>28</v>
      </c>
      <c r="B42" s="28"/>
      <c r="C42" s="249">
        <v>407.3</v>
      </c>
      <c r="E42" s="25" t="s">
        <v>98</v>
      </c>
      <c r="F42" s="26"/>
      <c r="G42" s="26"/>
      <c r="H42" s="28">
        <f>'Comparison '!E256</f>
        <v>-21603.035811908801</v>
      </c>
      <c r="I42" s="28"/>
      <c r="J42" s="28">
        <f>'Comparison '!D256</f>
        <v>-24609.839117994998</v>
      </c>
      <c r="K42" s="28"/>
      <c r="L42" s="28">
        <f>H42-J42</f>
        <v>3006.8033060861962</v>
      </c>
      <c r="M42" s="26"/>
      <c r="N42" s="29">
        <f>L42/J42*100</f>
        <v>-12.217890948696155</v>
      </c>
      <c r="O42" s="26"/>
      <c r="P42" s="30" t="s">
        <v>46</v>
      </c>
      <c r="Q42" s="26"/>
      <c r="R42" s="31" t="s">
        <v>47</v>
      </c>
      <c r="V42" s="24"/>
      <c r="X42" s="25"/>
    </row>
    <row r="43" spans="1:24" ht="14.1" customHeight="1" x14ac:dyDescent="0.2">
      <c r="A43" s="3">
        <v>29</v>
      </c>
      <c r="B43" s="28"/>
      <c r="C43" s="250"/>
      <c r="E43" s="25"/>
      <c r="F43" s="26"/>
      <c r="G43" s="26"/>
      <c r="H43" s="28"/>
      <c r="I43" s="28"/>
      <c r="J43" s="28"/>
      <c r="K43" s="28"/>
      <c r="L43" s="28"/>
      <c r="M43" s="26"/>
      <c r="N43" s="29"/>
      <c r="O43" s="26"/>
      <c r="P43" s="30"/>
      <c r="Q43" s="26"/>
      <c r="R43" s="31"/>
      <c r="V43" s="34"/>
      <c r="X43" s="25"/>
    </row>
    <row r="44" spans="1:24" ht="14.1" customHeight="1" x14ac:dyDescent="0.2">
      <c r="A44" s="3">
        <v>30</v>
      </c>
      <c r="B44" s="28"/>
      <c r="C44" s="249">
        <v>407.3</v>
      </c>
      <c r="E44" s="25" t="s">
        <v>99</v>
      </c>
      <c r="F44" s="26"/>
      <c r="G44" s="26"/>
      <c r="H44" s="28">
        <f>'Comparison '!E257</f>
        <v>3131.7980000004</v>
      </c>
      <c r="I44" s="28"/>
      <c r="J44" s="28">
        <f>'Comparison '!D257</f>
        <v>112834.0239999996</v>
      </c>
      <c r="K44" s="28"/>
      <c r="L44" s="28">
        <f>H44-J44</f>
        <v>-109702.22599999919</v>
      </c>
      <c r="M44" s="26"/>
      <c r="N44" s="29">
        <f>L44/J44*100</f>
        <v>-97.224420534713531</v>
      </c>
      <c r="O44" s="26"/>
      <c r="P44" s="30" t="s">
        <v>46</v>
      </c>
      <c r="Q44" s="26"/>
      <c r="R44" s="31" t="s">
        <v>47</v>
      </c>
      <c r="V44" s="24"/>
      <c r="X44" s="25"/>
    </row>
    <row r="45" spans="1:24" ht="14.1" customHeight="1" x14ac:dyDescent="0.2">
      <c r="A45" s="3">
        <v>31</v>
      </c>
      <c r="B45" s="28"/>
      <c r="C45" s="250"/>
      <c r="E45" s="25"/>
      <c r="H45" s="28"/>
      <c r="I45" s="28"/>
      <c r="J45" s="28"/>
      <c r="K45" s="28"/>
      <c r="L45" s="28"/>
      <c r="M45" s="26"/>
      <c r="N45" s="29"/>
      <c r="V45" s="34"/>
      <c r="X45" s="25"/>
    </row>
    <row r="46" spans="1:24" ht="14.1" customHeight="1" x14ac:dyDescent="0.2">
      <c r="A46" s="3">
        <v>32</v>
      </c>
      <c r="B46" s="28"/>
      <c r="C46" s="249">
        <v>407.3</v>
      </c>
      <c r="E46" s="25" t="s">
        <v>100</v>
      </c>
      <c r="F46" s="26"/>
      <c r="G46" s="26"/>
      <c r="H46" s="28">
        <f>'Comparison '!E260</f>
        <v>234.83900000040003</v>
      </c>
      <c r="I46" s="28"/>
      <c r="J46" s="28">
        <f>'Comparison '!D260</f>
        <v>7418.9040000000005</v>
      </c>
      <c r="K46" s="28"/>
      <c r="L46" s="28">
        <f>H46-J46</f>
        <v>-7184.0649999996003</v>
      </c>
      <c r="M46" s="26"/>
      <c r="N46" s="29">
        <f>L46/J46*100</f>
        <v>-96.834586348598123</v>
      </c>
      <c r="O46" s="26"/>
      <c r="P46" s="30" t="s">
        <v>46</v>
      </c>
      <c r="Q46" s="26"/>
      <c r="R46" s="31" t="s">
        <v>47</v>
      </c>
      <c r="V46" s="35"/>
      <c r="X46" s="25"/>
    </row>
    <row r="47" spans="1:24" ht="14.1" customHeight="1" x14ac:dyDescent="0.2">
      <c r="A47" s="3">
        <v>33</v>
      </c>
      <c r="B47" s="28"/>
      <c r="C47" s="249"/>
      <c r="E47" s="25"/>
      <c r="F47" s="26"/>
      <c r="G47" s="26"/>
      <c r="H47" s="28"/>
      <c r="I47" s="28"/>
      <c r="J47" s="28"/>
      <c r="K47" s="28"/>
      <c r="L47" s="28"/>
      <c r="M47" s="26"/>
      <c r="N47" s="29"/>
      <c r="O47" s="26"/>
      <c r="P47" s="30"/>
      <c r="Q47" s="26"/>
      <c r="R47" s="31"/>
      <c r="V47" s="35"/>
      <c r="X47" s="25"/>
    </row>
    <row r="48" spans="1:24" ht="14.1" customHeight="1" x14ac:dyDescent="0.2">
      <c r="A48" s="3">
        <v>34</v>
      </c>
      <c r="B48" s="28"/>
      <c r="C48" s="249">
        <v>407.3</v>
      </c>
      <c r="E48" s="25" t="s">
        <v>101</v>
      </c>
      <c r="F48" s="26"/>
      <c r="G48" s="26"/>
      <c r="H48" s="28">
        <f>'Comparison '!E261</f>
        <v>-2.6684455999999995E-3</v>
      </c>
      <c r="I48" s="28"/>
      <c r="J48" s="28">
        <f>'Comparison '!D261</f>
        <v>-1893.5916711199998</v>
      </c>
      <c r="K48" s="28"/>
      <c r="L48" s="28">
        <f>H48-J48</f>
        <v>1893.5890026743998</v>
      </c>
      <c r="M48" s="26"/>
      <c r="N48" s="29">
        <f>L48/J48*100</f>
        <v>-99.999859080199784</v>
      </c>
      <c r="O48" s="26"/>
      <c r="P48" s="30" t="s">
        <v>46</v>
      </c>
      <c r="Q48" s="26"/>
      <c r="R48" s="31" t="s">
        <v>47</v>
      </c>
      <c r="V48" s="35"/>
      <c r="X48" s="25"/>
    </row>
    <row r="49" spans="1:24" ht="14.1" customHeight="1" x14ac:dyDescent="0.2">
      <c r="A49" s="3">
        <v>35</v>
      </c>
      <c r="B49" s="28"/>
      <c r="C49" s="249"/>
      <c r="E49" s="25"/>
      <c r="F49" s="26"/>
      <c r="G49" s="26"/>
      <c r="H49" s="28"/>
      <c r="I49" s="28"/>
      <c r="J49" s="28"/>
      <c r="K49" s="28"/>
      <c r="L49" s="28"/>
      <c r="M49" s="26"/>
      <c r="N49" s="29"/>
      <c r="O49" s="26"/>
      <c r="P49" s="30"/>
      <c r="Q49" s="26"/>
      <c r="R49" s="31"/>
      <c r="V49" s="35"/>
      <c r="X49" s="25"/>
    </row>
    <row r="50" spans="1:24" ht="14.1" customHeight="1" x14ac:dyDescent="0.2">
      <c r="A50" s="3">
        <v>36</v>
      </c>
      <c r="B50" s="28"/>
      <c r="C50" s="249">
        <v>407.3</v>
      </c>
      <c r="E50" s="25" t="s">
        <v>102</v>
      </c>
      <c r="F50" s="26"/>
      <c r="G50" s="26"/>
      <c r="H50" s="28">
        <f>'Comparison '!E263</f>
        <v>-3534.3820000000001</v>
      </c>
      <c r="I50" s="28"/>
      <c r="J50" s="28">
        <f>'Comparison '!D263</f>
        <v>-6397.6880000000001</v>
      </c>
      <c r="K50" s="28"/>
      <c r="L50" s="28">
        <f>H50-J50</f>
        <v>2863.306</v>
      </c>
      <c r="M50" s="26"/>
      <c r="N50" s="29">
        <f>L50/J50*100</f>
        <v>-44.755324110835041</v>
      </c>
      <c r="O50" s="26"/>
      <c r="P50" s="30" t="s">
        <v>46</v>
      </c>
      <c r="Q50" s="26"/>
      <c r="R50" s="31" t="s">
        <v>47</v>
      </c>
      <c r="V50" s="35"/>
      <c r="X50" s="25"/>
    </row>
    <row r="51" spans="1:24" ht="14.1" customHeight="1" x14ac:dyDescent="0.2">
      <c r="A51" s="3">
        <v>37</v>
      </c>
      <c r="B51" s="28"/>
      <c r="C51" s="249"/>
      <c r="E51" s="25"/>
      <c r="F51" s="26"/>
      <c r="G51" s="26"/>
      <c r="H51" s="28"/>
      <c r="I51" s="28"/>
      <c r="J51" s="28"/>
      <c r="K51" s="28"/>
      <c r="L51" s="28"/>
      <c r="M51" s="26"/>
      <c r="N51" s="29"/>
      <c r="O51" s="26"/>
      <c r="P51" s="30"/>
      <c r="Q51" s="26"/>
      <c r="R51" s="31"/>
      <c r="V51" s="35"/>
      <c r="X51" s="25"/>
    </row>
    <row r="52" spans="1:24" ht="14.1" customHeight="1" x14ac:dyDescent="0.2">
      <c r="A52" s="3">
        <v>38</v>
      </c>
      <c r="B52" s="28"/>
      <c r="C52" s="249">
        <v>407.3</v>
      </c>
      <c r="E52" s="25" t="s">
        <v>103</v>
      </c>
      <c r="F52" s="26"/>
      <c r="G52" s="26"/>
      <c r="H52" s="28">
        <f>'Comparison '!E266</f>
        <v>-5522.7086771975992</v>
      </c>
      <c r="I52" s="28"/>
      <c r="J52" s="28">
        <f>'Comparison '!D266</f>
        <v>32543.554611974603</v>
      </c>
      <c r="K52" s="28"/>
      <c r="L52" s="28">
        <f>H52-J52</f>
        <v>-38066.263289172202</v>
      </c>
      <c r="M52" s="26"/>
      <c r="N52" s="29">
        <f>L52/J52*100</f>
        <v>-116.97020729003427</v>
      </c>
      <c r="O52" s="26"/>
      <c r="P52" s="30" t="s">
        <v>46</v>
      </c>
      <c r="Q52" s="26"/>
      <c r="R52" s="31" t="s">
        <v>47</v>
      </c>
      <c r="V52" s="35"/>
      <c r="X52" s="25"/>
    </row>
    <row r="53" spans="1:24" ht="14.1" customHeight="1" x14ac:dyDescent="0.2">
      <c r="A53" s="3">
        <v>39</v>
      </c>
      <c r="B53" s="28"/>
      <c r="E53" s="25"/>
      <c r="H53" s="28"/>
      <c r="I53" s="28"/>
      <c r="J53" s="28"/>
      <c r="K53" s="28"/>
      <c r="L53" s="28"/>
      <c r="M53" s="26"/>
      <c r="N53" s="29"/>
      <c r="P53" s="26"/>
      <c r="Q53" s="26"/>
      <c r="R53" s="26"/>
      <c r="S53" s="26"/>
      <c r="V53" s="13"/>
      <c r="X53" s="25"/>
    </row>
    <row r="54" spans="1:24" ht="14.1" customHeight="1" x14ac:dyDescent="0.2">
      <c r="A54" s="3">
        <v>40</v>
      </c>
      <c r="B54" s="28"/>
      <c r="C54" s="249">
        <v>403</v>
      </c>
      <c r="E54" s="25" t="s">
        <v>104</v>
      </c>
      <c r="F54" s="26"/>
      <c r="G54" s="26"/>
      <c r="H54" s="28">
        <f>Comparison!F121</f>
        <v>524971.67869666102</v>
      </c>
      <c r="I54" s="28"/>
      <c r="J54" s="28">
        <f>Comparison!E121</f>
        <v>426210.85669759178</v>
      </c>
      <c r="K54" s="28"/>
      <c r="L54" s="28">
        <f>H54-J54</f>
        <v>98760.821999069245</v>
      </c>
      <c r="M54" s="26"/>
      <c r="N54" s="29">
        <f>L54/J54*100</f>
        <v>23.171822220648579</v>
      </c>
      <c r="O54" s="26"/>
      <c r="P54" s="30" t="s">
        <v>46</v>
      </c>
      <c r="Q54" s="26"/>
      <c r="R54" s="31" t="s">
        <v>47</v>
      </c>
      <c r="S54" s="26"/>
      <c r="V54" s="24"/>
      <c r="X54" s="25"/>
    </row>
    <row r="55" spans="1:24" ht="14.1" customHeight="1" x14ac:dyDescent="0.2">
      <c r="A55" s="3">
        <v>41</v>
      </c>
      <c r="B55" s="28"/>
      <c r="C55" s="250"/>
      <c r="E55" s="25"/>
      <c r="F55" s="26"/>
      <c r="G55" s="26"/>
      <c r="H55" s="28"/>
      <c r="I55" s="28"/>
      <c r="J55" s="28"/>
      <c r="K55" s="28"/>
      <c r="L55" s="28"/>
      <c r="M55" s="26"/>
      <c r="N55" s="29"/>
      <c r="O55" s="26"/>
      <c r="P55" s="30"/>
      <c r="Q55" s="26"/>
      <c r="R55" s="31"/>
      <c r="S55" s="26"/>
      <c r="V55" s="34"/>
      <c r="X55" s="25"/>
    </row>
    <row r="56" spans="1:24" ht="14.1" customHeight="1" x14ac:dyDescent="0.2">
      <c r="A56" s="3">
        <v>42</v>
      </c>
      <c r="B56" s="23"/>
      <c r="C56" s="249">
        <v>404</v>
      </c>
      <c r="E56" s="25" t="s">
        <v>105</v>
      </c>
      <c r="F56" s="26"/>
      <c r="G56" s="26"/>
      <c r="H56" s="28">
        <f>Comparison!F123</f>
        <v>40245.448386978795</v>
      </c>
      <c r="I56" s="28"/>
      <c r="J56" s="28">
        <f>Comparison!E123</f>
        <v>36648.156206978805</v>
      </c>
      <c r="K56" s="28"/>
      <c r="L56" s="28">
        <f>H56-J56</f>
        <v>3597.2921799999895</v>
      </c>
      <c r="M56" s="26"/>
      <c r="N56" s="29">
        <f>L56/J56*100</f>
        <v>9.8157521477573457</v>
      </c>
      <c r="O56" s="26"/>
      <c r="P56" s="30" t="s">
        <v>46</v>
      </c>
      <c r="Q56" s="26"/>
      <c r="R56" s="31" t="s">
        <v>47</v>
      </c>
      <c r="S56" s="26"/>
      <c r="V56" s="24"/>
      <c r="X56" s="25"/>
    </row>
    <row r="57" spans="1:24" ht="14.1" customHeight="1" x14ac:dyDescent="0.2">
      <c r="A57" s="3">
        <v>43</v>
      </c>
      <c r="B57" s="28"/>
      <c r="C57" s="250"/>
      <c r="E57" s="25"/>
      <c r="F57" s="26"/>
      <c r="G57" s="26"/>
      <c r="H57" s="28"/>
      <c r="I57" s="28"/>
      <c r="J57" s="28"/>
      <c r="K57" s="28"/>
      <c r="L57" s="28"/>
      <c r="M57" s="26"/>
      <c r="N57" s="29"/>
      <c r="O57" s="26"/>
      <c r="P57" s="30"/>
      <c r="Q57" s="26"/>
      <c r="R57" s="31"/>
      <c r="S57" s="26"/>
      <c r="V57" s="34"/>
      <c r="X57" s="25"/>
    </row>
    <row r="58" spans="1:24" ht="14.1" customHeight="1" x14ac:dyDescent="0.2">
      <c r="A58" s="3">
        <v>44</v>
      </c>
      <c r="B58" s="22"/>
      <c r="C58" s="249">
        <v>407</v>
      </c>
      <c r="E58" s="25" t="s">
        <v>106</v>
      </c>
      <c r="F58" s="26"/>
      <c r="G58" s="26"/>
      <c r="H58" s="28">
        <f>Comparison!F129</f>
        <v>21858.343350000003</v>
      </c>
      <c r="I58" s="28"/>
      <c r="J58" s="28">
        <f>Comparison!E129</f>
        <v>29706.013430000006</v>
      </c>
      <c r="K58" s="28"/>
      <c r="L58" s="28">
        <f>H58-J58</f>
        <v>-7847.6700800000035</v>
      </c>
      <c r="M58" s="26"/>
      <c r="N58" s="29">
        <f>L58/J58*100</f>
        <v>-26.417782710872494</v>
      </c>
      <c r="O58" s="26"/>
      <c r="P58" s="30" t="s">
        <v>46</v>
      </c>
      <c r="Q58" s="24"/>
      <c r="R58" s="31" t="s">
        <v>47</v>
      </c>
      <c r="S58" s="26"/>
      <c r="V58" s="24"/>
      <c r="X58" s="25"/>
    </row>
    <row r="59" spans="1:24" ht="14.1" customHeight="1" x14ac:dyDescent="0.2">
      <c r="A59" s="3">
        <v>45</v>
      </c>
      <c r="B59" s="22"/>
      <c r="C59" s="250"/>
      <c r="E59" s="25"/>
      <c r="H59" s="28"/>
      <c r="I59" s="28"/>
      <c r="J59" s="28"/>
      <c r="K59" s="28"/>
      <c r="L59" s="28"/>
      <c r="M59" s="26"/>
      <c r="N59" s="29"/>
      <c r="P59" s="30"/>
      <c r="Q59" s="26"/>
      <c r="R59" s="26"/>
      <c r="S59" s="26"/>
    </row>
    <row r="60" spans="1:24" ht="14.1" customHeight="1" x14ac:dyDescent="0.2">
      <c r="A60" s="3">
        <v>46</v>
      </c>
      <c r="B60" s="22"/>
      <c r="C60" s="251">
        <v>409</v>
      </c>
      <c r="E60" s="3" t="s">
        <v>107</v>
      </c>
      <c r="F60" s="26"/>
      <c r="G60" s="26"/>
      <c r="H60" s="28">
        <f>Comparison!F136</f>
        <v>27444.324510000002</v>
      </c>
      <c r="I60" s="28"/>
      <c r="J60" s="28">
        <f>Comparison!E136</f>
        <v>63403.633000000002</v>
      </c>
      <c r="K60" s="28"/>
      <c r="L60" s="28">
        <f>H60-J60</f>
        <v>-35959.308489999996</v>
      </c>
      <c r="M60" s="26"/>
      <c r="N60" s="29">
        <f>L60/J60*100</f>
        <v>-56.714902267508862</v>
      </c>
      <c r="P60" s="30" t="s">
        <v>46</v>
      </c>
      <c r="Q60" s="36"/>
      <c r="R60" s="31" t="s">
        <v>47</v>
      </c>
      <c r="S60" s="26"/>
    </row>
    <row r="61" spans="1:24" ht="14.1" customHeight="1" x14ac:dyDescent="0.2">
      <c r="A61" s="3">
        <v>47</v>
      </c>
      <c r="B61" s="22"/>
      <c r="C61" s="250"/>
      <c r="H61" s="28"/>
      <c r="I61" s="28"/>
      <c r="J61" s="28"/>
      <c r="K61" s="28"/>
      <c r="L61" s="28"/>
      <c r="M61" s="26"/>
      <c r="N61" s="29"/>
      <c r="P61" s="30"/>
      <c r="Q61" s="26"/>
      <c r="R61" s="26"/>
      <c r="S61" s="26"/>
    </row>
    <row r="62" spans="1:24" ht="14.1" customHeight="1" x14ac:dyDescent="0.2">
      <c r="A62" s="3">
        <v>48</v>
      </c>
      <c r="B62" s="22"/>
      <c r="C62" s="251">
        <v>411.1</v>
      </c>
      <c r="E62" s="25" t="s">
        <v>108</v>
      </c>
      <c r="F62" s="26"/>
      <c r="G62" s="26"/>
      <c r="H62" s="28">
        <f>Comparison!F141</f>
        <v>-111612.58183</v>
      </c>
      <c r="I62" s="28"/>
      <c r="J62" s="28">
        <f>Comparison!E141</f>
        <v>-124087.531</v>
      </c>
      <c r="K62" s="28"/>
      <c r="L62" s="28">
        <f>H62-J62</f>
        <v>12474.949170000007</v>
      </c>
      <c r="M62" s="26"/>
      <c r="N62" s="29">
        <f>L62/J62*100</f>
        <v>-10.053346270545109</v>
      </c>
      <c r="P62" s="30" t="s">
        <v>46</v>
      </c>
      <c r="Q62" s="36"/>
      <c r="R62" s="31" t="s">
        <v>47</v>
      </c>
      <c r="S62" s="26"/>
    </row>
    <row r="63" spans="1:24" ht="14.1" customHeight="1" x14ac:dyDescent="0.2">
      <c r="A63" s="3">
        <v>49</v>
      </c>
      <c r="B63" s="22"/>
      <c r="C63" s="251"/>
      <c r="E63" s="25"/>
      <c r="H63" s="28"/>
      <c r="I63" s="28"/>
      <c r="J63" s="28"/>
      <c r="K63" s="28"/>
      <c r="L63" s="28"/>
      <c r="M63" s="26"/>
      <c r="N63" s="29"/>
      <c r="P63" s="30"/>
      <c r="Q63" s="26"/>
      <c r="R63" s="26"/>
      <c r="S63" s="26"/>
    </row>
    <row r="64" spans="1:24" ht="14.1" customHeight="1" x14ac:dyDescent="0.2">
      <c r="A64" s="3">
        <v>50</v>
      </c>
      <c r="B64" s="38"/>
      <c r="C64" s="251">
        <v>411.4</v>
      </c>
      <c r="E64" s="25" t="s">
        <v>109</v>
      </c>
      <c r="F64" s="26"/>
      <c r="G64" s="26"/>
      <c r="H64" s="28">
        <f>Comparison!F143</f>
        <v>-12876.021000000001</v>
      </c>
      <c r="I64" s="28"/>
      <c r="J64" s="28">
        <f>Comparison!E143</f>
        <v>-8220.5220000000008</v>
      </c>
      <c r="K64" s="28"/>
      <c r="L64" s="28">
        <f>H64-J64</f>
        <v>-4655.4989999999998</v>
      </c>
      <c r="M64" s="26"/>
      <c r="N64" s="29">
        <f>L64/J64*100</f>
        <v>56.632644496298404</v>
      </c>
      <c r="P64" s="30" t="s">
        <v>46</v>
      </c>
      <c r="Q64" s="36"/>
      <c r="R64" s="31" t="s">
        <v>47</v>
      </c>
      <c r="S64" s="26"/>
    </row>
    <row r="65" spans="1:19" ht="14.1" customHeight="1" x14ac:dyDescent="0.2">
      <c r="A65" s="3">
        <v>51</v>
      </c>
      <c r="B65" s="22"/>
      <c r="C65" s="249"/>
      <c r="E65" s="25"/>
      <c r="F65" s="26"/>
      <c r="G65" s="26"/>
      <c r="H65" s="28"/>
      <c r="I65" s="28"/>
      <c r="J65" s="28"/>
      <c r="K65" s="28"/>
      <c r="L65" s="28"/>
      <c r="M65" s="26"/>
      <c r="N65" s="29"/>
      <c r="O65" s="26"/>
      <c r="P65" s="30"/>
      <c r="Q65" s="26"/>
      <c r="R65" s="26"/>
      <c r="S65" s="26"/>
    </row>
    <row r="66" spans="1:19" ht="14.1" customHeight="1" thickBot="1" x14ac:dyDescent="0.25">
      <c r="A66" s="42"/>
      <c r="B66" s="1"/>
      <c r="C66" s="254" t="s">
        <v>64</v>
      </c>
      <c r="D66" s="2"/>
      <c r="E66" s="2"/>
      <c r="F66" s="44"/>
      <c r="G66" s="44"/>
      <c r="H66" s="44"/>
      <c r="I66" s="44"/>
      <c r="J66" s="44"/>
      <c r="K66" s="44"/>
      <c r="L66" s="44"/>
      <c r="M66" s="44"/>
      <c r="N66" s="45"/>
      <c r="O66" s="44"/>
      <c r="P66" s="44"/>
      <c r="Q66" s="44"/>
      <c r="R66" s="44"/>
      <c r="S66" s="2"/>
    </row>
    <row r="67" spans="1:19" ht="14.1" customHeight="1" x14ac:dyDescent="0.2">
      <c r="A67" s="3" t="s">
        <v>65</v>
      </c>
      <c r="C67" s="249"/>
      <c r="F67" s="26"/>
      <c r="G67" s="26"/>
      <c r="H67" s="46"/>
      <c r="I67" s="26"/>
      <c r="J67" s="46"/>
      <c r="K67" s="26"/>
      <c r="L67" s="46"/>
      <c r="M67" s="26"/>
      <c r="N67" s="47"/>
      <c r="O67" s="26"/>
      <c r="P67" s="26"/>
      <c r="Q67" s="26" t="s">
        <v>66</v>
      </c>
      <c r="R67" s="26"/>
    </row>
    <row r="68" spans="1:19" ht="14.1" customHeight="1" thickBot="1" x14ac:dyDescent="0.25">
      <c r="A68" s="1" t="s">
        <v>0</v>
      </c>
      <c r="B68" s="2"/>
      <c r="C68" s="248"/>
      <c r="D68" s="2"/>
      <c r="E68" s="2"/>
      <c r="F68" s="2"/>
      <c r="G68" s="2"/>
      <c r="H68" s="2" t="s">
        <v>1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194" t="s">
        <v>67</v>
      </c>
    </row>
    <row r="69" spans="1:19" ht="14.1" customHeight="1" x14ac:dyDescent="0.2">
      <c r="A69" s="3" t="s">
        <v>3</v>
      </c>
      <c r="F69" s="4" t="s">
        <v>4</v>
      </c>
      <c r="G69" s="3" t="s">
        <v>5</v>
      </c>
      <c r="K69" s="5"/>
      <c r="L69" s="5"/>
      <c r="N69" s="5"/>
      <c r="O69" s="5"/>
      <c r="P69" s="5" t="s">
        <v>6</v>
      </c>
      <c r="S69" s="6"/>
    </row>
    <row r="70" spans="1:19" ht="14.1" customHeight="1" x14ac:dyDescent="0.2">
      <c r="G70" s="3" t="s">
        <v>7</v>
      </c>
      <c r="K70" s="4"/>
      <c r="L70" s="6"/>
      <c r="O70" s="4"/>
      <c r="P70" s="4" t="s">
        <v>8</v>
      </c>
      <c r="Q70" s="51" t="s">
        <v>81</v>
      </c>
      <c r="S70" s="4"/>
    </row>
    <row r="71" spans="1:19" ht="14.1" customHeight="1" x14ac:dyDescent="0.2">
      <c r="A71" s="3" t="s">
        <v>10</v>
      </c>
      <c r="G71" s="3" t="s">
        <v>11</v>
      </c>
      <c r="K71" s="4"/>
      <c r="L71" s="6"/>
      <c r="M71" s="4"/>
      <c r="P71" s="4" t="s">
        <v>8</v>
      </c>
      <c r="Q71" s="51" t="s">
        <v>82</v>
      </c>
      <c r="S71" s="4"/>
    </row>
    <row r="72" spans="1:19" ht="14.1" customHeight="1" x14ac:dyDescent="0.2">
      <c r="G72" s="3" t="s">
        <v>11</v>
      </c>
      <c r="K72" s="4"/>
      <c r="L72" s="6"/>
      <c r="M72" s="4"/>
      <c r="P72" s="4" t="s">
        <v>11</v>
      </c>
      <c r="Q72" s="51" t="s">
        <v>83</v>
      </c>
      <c r="S72" s="4"/>
    </row>
    <row r="73" spans="1:19" ht="14.1" customHeight="1" x14ac:dyDescent="0.2">
      <c r="G73" s="3" t="s">
        <v>11</v>
      </c>
      <c r="K73" s="4"/>
      <c r="L73" s="6"/>
      <c r="M73" s="4"/>
      <c r="P73" s="4"/>
      <c r="Q73" s="10" t="str">
        <f>Q6</f>
        <v>Witness: C. Aldazabal / M. Cacciatore /</v>
      </c>
      <c r="S73" s="4"/>
    </row>
    <row r="74" spans="1:19" ht="14.1" customHeight="1" x14ac:dyDescent="0.2">
      <c r="K74" s="4"/>
      <c r="L74" s="6"/>
      <c r="M74" s="4"/>
      <c r="P74" s="4"/>
      <c r="Q74" s="10" t="str">
        <f>Q7</f>
        <v xml:space="preserve">               J. Chronister / R. Latta /</v>
      </c>
    </row>
    <row r="75" spans="1:19" ht="14.1" customHeight="1" x14ac:dyDescent="0.2">
      <c r="K75" s="4"/>
      <c r="L75" s="6"/>
      <c r="M75" s="4"/>
      <c r="P75" s="4"/>
      <c r="Q75" s="10" t="str">
        <f>Q8</f>
        <v xml:space="preserve">               K. Sparkman / C. Whitworth</v>
      </c>
    </row>
    <row r="76" spans="1:19" ht="14.1" customHeight="1" thickBot="1" x14ac:dyDescent="0.25">
      <c r="A76" s="2" t="str">
        <f>+A9</f>
        <v>DOCKET No. 20240026-EI</v>
      </c>
      <c r="B76" s="2"/>
      <c r="C76" s="248"/>
      <c r="D76" s="2"/>
      <c r="E76" s="2"/>
      <c r="F76" s="2"/>
      <c r="G76" s="2"/>
      <c r="H76" s="2"/>
      <c r="I76" s="11" t="s">
        <v>16</v>
      </c>
      <c r="J76" s="2"/>
      <c r="K76" s="2"/>
      <c r="L76" s="2"/>
      <c r="M76" s="2"/>
      <c r="N76" s="2"/>
      <c r="O76" s="2"/>
      <c r="P76" s="2"/>
      <c r="Q76" s="12"/>
      <c r="R76" s="2"/>
      <c r="S76" s="2"/>
    </row>
    <row r="77" spans="1:19" ht="14.1" customHeight="1" x14ac:dyDescent="0.2">
      <c r="B77" s="13"/>
      <c r="C77" s="246" t="s">
        <v>18</v>
      </c>
      <c r="D77" s="14"/>
      <c r="E77" s="15" t="s">
        <v>19</v>
      </c>
      <c r="F77" s="14"/>
      <c r="G77" s="14"/>
      <c r="H77" s="14" t="s">
        <v>20</v>
      </c>
      <c r="I77" s="14"/>
      <c r="J77" s="14" t="s">
        <v>21</v>
      </c>
      <c r="K77" s="14"/>
      <c r="L77" s="14" t="s">
        <v>22</v>
      </c>
      <c r="M77" s="14"/>
      <c r="N77" s="14" t="s">
        <v>23</v>
      </c>
      <c r="O77" s="14"/>
      <c r="P77" s="14" t="s">
        <v>24</v>
      </c>
      <c r="Q77" s="14"/>
      <c r="R77" s="14" t="s">
        <v>25</v>
      </c>
      <c r="S77" s="14"/>
    </row>
    <row r="78" spans="1:19" ht="14.1" customHeight="1" x14ac:dyDescent="0.2">
      <c r="B78" s="13"/>
      <c r="C78" s="246"/>
      <c r="D78" s="14"/>
      <c r="E78" s="15"/>
      <c r="F78" s="14"/>
      <c r="G78" s="14"/>
      <c r="H78" s="14"/>
      <c r="I78" s="14"/>
      <c r="J78" s="14"/>
      <c r="K78" s="13"/>
      <c r="L78" s="16"/>
      <c r="M78" s="16" t="s">
        <v>26</v>
      </c>
      <c r="N78" s="17"/>
      <c r="O78" s="14"/>
      <c r="P78" s="13" t="s">
        <v>27</v>
      </c>
      <c r="Q78" s="14"/>
      <c r="R78" s="14"/>
      <c r="S78" s="14"/>
    </row>
    <row r="79" spans="1:19" ht="14.1" customHeight="1" x14ac:dyDescent="0.2">
      <c r="B79" s="13"/>
      <c r="D79" s="13"/>
      <c r="F79" s="13"/>
      <c r="G79" s="13"/>
      <c r="H79" s="14" t="s">
        <v>28</v>
      </c>
      <c r="I79" s="14"/>
      <c r="J79" s="14" t="s">
        <v>29</v>
      </c>
      <c r="K79" s="13"/>
      <c r="L79" s="13" t="s">
        <v>30</v>
      </c>
      <c r="M79" s="13"/>
      <c r="N79" s="13" t="s">
        <v>31</v>
      </c>
      <c r="O79" s="13"/>
      <c r="P79" s="13" t="s">
        <v>32</v>
      </c>
      <c r="Q79" s="13"/>
      <c r="R79" s="13"/>
      <c r="S79" s="13"/>
    </row>
    <row r="80" spans="1:19" ht="14.1" customHeight="1" x14ac:dyDescent="0.2">
      <c r="A80" s="3" t="s">
        <v>33</v>
      </c>
      <c r="B80" s="13"/>
      <c r="C80" s="247" t="s">
        <v>34</v>
      </c>
      <c r="D80" s="13"/>
      <c r="F80" s="14"/>
      <c r="G80" s="13"/>
      <c r="H80" s="13" t="s">
        <v>35</v>
      </c>
      <c r="I80" s="13"/>
      <c r="J80" s="13" t="s">
        <v>35</v>
      </c>
      <c r="K80" s="14"/>
      <c r="L80" s="14" t="s">
        <v>36</v>
      </c>
      <c r="M80" s="14"/>
      <c r="N80" s="13" t="s">
        <v>37</v>
      </c>
      <c r="O80" s="13"/>
      <c r="P80" s="13" t="s">
        <v>38</v>
      </c>
      <c r="Q80" s="14"/>
      <c r="R80" s="14"/>
      <c r="S80" s="13"/>
    </row>
    <row r="81" spans="1:24" ht="14.1" customHeight="1" thickBot="1" x14ac:dyDescent="0.25">
      <c r="A81" s="2" t="s">
        <v>39</v>
      </c>
      <c r="B81" s="11"/>
      <c r="C81" s="248" t="s">
        <v>40</v>
      </c>
      <c r="D81" s="11"/>
      <c r="E81" s="2" t="s">
        <v>34</v>
      </c>
      <c r="F81" s="11"/>
      <c r="G81" s="18"/>
      <c r="H81" s="19" t="str">
        <f>$H$14</f>
        <v>12/31/2025</v>
      </c>
      <c r="I81" s="18"/>
      <c r="J81" s="19" t="str">
        <f>$J$14</f>
        <v>12/31/2024</v>
      </c>
      <c r="K81" s="18"/>
      <c r="L81" s="18" t="s">
        <v>43</v>
      </c>
      <c r="M81" s="20"/>
      <c r="N81" s="19" t="s">
        <v>44</v>
      </c>
      <c r="O81" s="19"/>
      <c r="P81" s="21">
        <f>'C-4 (2025)'!I246*0.0005</f>
        <v>1005.196</v>
      </c>
      <c r="Q81" s="1"/>
      <c r="R81" s="1" t="s">
        <v>45</v>
      </c>
      <c r="S81" s="19"/>
    </row>
    <row r="82" spans="1:24" ht="14.1" customHeight="1" x14ac:dyDescent="0.2">
      <c r="A82" s="3">
        <v>1</v>
      </c>
      <c r="B82" s="28"/>
      <c r="C82" s="247" t="s">
        <v>69</v>
      </c>
      <c r="D82" s="13"/>
      <c r="F82" s="14"/>
      <c r="G82" s="13"/>
      <c r="H82" s="13"/>
      <c r="I82" s="13"/>
      <c r="J82" s="13"/>
      <c r="K82" s="14"/>
      <c r="L82" s="14"/>
      <c r="M82" s="14"/>
      <c r="N82" s="13"/>
      <c r="O82" s="13"/>
      <c r="Q82" s="14"/>
      <c r="R82" s="14"/>
      <c r="S82" s="26"/>
    </row>
    <row r="83" spans="1:24" ht="14.1" customHeight="1" x14ac:dyDescent="0.2">
      <c r="A83" s="3">
        <f>A82+1</f>
        <v>2</v>
      </c>
      <c r="B83" s="28"/>
      <c r="D83" s="13"/>
      <c r="F83" s="13"/>
      <c r="G83" s="48"/>
      <c r="H83" s="14"/>
      <c r="I83" s="48"/>
      <c r="J83" s="14"/>
      <c r="K83" s="48"/>
      <c r="L83" s="48"/>
      <c r="M83" s="49"/>
      <c r="N83" s="14"/>
      <c r="O83" s="14"/>
      <c r="P83" s="50"/>
      <c r="Q83" s="51"/>
      <c r="R83" s="51"/>
      <c r="S83" s="26"/>
    </row>
    <row r="84" spans="1:24" ht="14.1" customHeight="1" x14ac:dyDescent="0.2">
      <c r="A84" s="3">
        <f t="shared" ref="A84:A134" si="0">A83+1</f>
        <v>3</v>
      </c>
      <c r="B84" s="28"/>
      <c r="C84" s="251">
        <v>501</v>
      </c>
      <c r="E84" s="51" t="s">
        <v>51</v>
      </c>
      <c r="F84" s="52"/>
      <c r="H84" s="51" t="s">
        <v>110</v>
      </c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</row>
    <row r="85" spans="1:24" ht="14.1" customHeight="1" x14ac:dyDescent="0.2">
      <c r="A85" s="3">
        <f t="shared" si="0"/>
        <v>4</v>
      </c>
      <c r="B85" s="28"/>
      <c r="C85" s="253"/>
      <c r="F85" s="57"/>
      <c r="G85" s="57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</row>
    <row r="86" spans="1:24" ht="14.1" customHeight="1" x14ac:dyDescent="0.2">
      <c r="A86" s="3">
        <f t="shared" si="0"/>
        <v>5</v>
      </c>
      <c r="B86" s="28"/>
      <c r="C86" s="251">
        <v>512</v>
      </c>
      <c r="E86" s="51" t="s">
        <v>87</v>
      </c>
      <c r="G86" s="53"/>
      <c r="H86" s="51" t="s">
        <v>111</v>
      </c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</row>
    <row r="87" spans="1:24" ht="14.1" customHeight="1" x14ac:dyDescent="0.2">
      <c r="A87" s="3">
        <f t="shared" si="0"/>
        <v>6</v>
      </c>
      <c r="B87" s="28"/>
      <c r="C87" s="253"/>
      <c r="F87" s="52"/>
      <c r="G87" s="52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</row>
    <row r="88" spans="1:24" ht="14.1" customHeight="1" x14ac:dyDescent="0.2">
      <c r="A88" s="3">
        <f t="shared" si="0"/>
        <v>7</v>
      </c>
      <c r="B88" s="28"/>
      <c r="C88" s="249">
        <v>553</v>
      </c>
      <c r="E88" s="25" t="s">
        <v>88</v>
      </c>
      <c r="F88" s="52"/>
      <c r="H88" s="51" t="s">
        <v>112</v>
      </c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</row>
    <row r="89" spans="1:24" ht="14.1" customHeight="1" x14ac:dyDescent="0.2">
      <c r="A89" s="3">
        <f t="shared" si="0"/>
        <v>8</v>
      </c>
      <c r="B89" s="28"/>
      <c r="C89" s="250"/>
      <c r="E89" s="25"/>
      <c r="F89" s="52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0" spans="1:24" ht="14.1" customHeight="1" x14ac:dyDescent="0.2">
      <c r="A90" s="3">
        <f t="shared" si="0"/>
        <v>9</v>
      </c>
      <c r="B90" s="28"/>
      <c r="C90" s="249">
        <v>555</v>
      </c>
      <c r="E90" s="25" t="s">
        <v>49</v>
      </c>
      <c r="F90" s="52"/>
      <c r="G90" s="52"/>
      <c r="H90" s="51" t="s">
        <v>110</v>
      </c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</row>
    <row r="91" spans="1:24" ht="14.1" customHeight="1" x14ac:dyDescent="0.2">
      <c r="A91" s="3">
        <f t="shared" si="0"/>
        <v>10</v>
      </c>
      <c r="B91" s="28"/>
      <c r="C91" s="250"/>
      <c r="E91" s="25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</row>
    <row r="92" spans="1:24" ht="14.1" customHeight="1" x14ac:dyDescent="0.2">
      <c r="A92" s="3">
        <f t="shared" si="0"/>
        <v>11</v>
      </c>
      <c r="B92" s="28"/>
      <c r="C92" s="249">
        <v>556</v>
      </c>
      <c r="E92" s="25" t="s">
        <v>89</v>
      </c>
      <c r="F92" s="52"/>
      <c r="G92" s="52"/>
      <c r="H92" s="51" t="s">
        <v>113</v>
      </c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</row>
    <row r="93" spans="1:24" ht="14.1" customHeight="1" x14ac:dyDescent="0.2">
      <c r="A93" s="3">
        <f>A92+1</f>
        <v>12</v>
      </c>
      <c r="B93" s="28"/>
      <c r="E93" s="25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</row>
    <row r="94" spans="1:24" ht="14.1" customHeight="1" x14ac:dyDescent="0.2">
      <c r="A94" s="3">
        <f t="shared" si="0"/>
        <v>13</v>
      </c>
      <c r="B94" s="28"/>
      <c r="C94" s="249">
        <v>571</v>
      </c>
      <c r="E94" s="25" t="s">
        <v>90</v>
      </c>
      <c r="F94" s="52"/>
      <c r="G94" s="53"/>
      <c r="H94" s="51" t="s">
        <v>114</v>
      </c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</row>
    <row r="95" spans="1:24" ht="14.1" customHeight="1" x14ac:dyDescent="0.2">
      <c r="A95" s="3">
        <f t="shared" si="0"/>
        <v>14</v>
      </c>
      <c r="B95" s="28"/>
      <c r="C95" s="250"/>
      <c r="E95" s="25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</row>
    <row r="96" spans="1:24" ht="14.1" customHeight="1" x14ac:dyDescent="0.2">
      <c r="A96" s="3">
        <f t="shared" si="0"/>
        <v>15</v>
      </c>
      <c r="B96" s="28"/>
      <c r="C96" s="249">
        <v>588</v>
      </c>
      <c r="E96" s="25" t="s">
        <v>91</v>
      </c>
      <c r="F96" s="52"/>
      <c r="H96" s="51" t="s">
        <v>115</v>
      </c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</row>
    <row r="97" spans="1:24" ht="14.1" customHeight="1" x14ac:dyDescent="0.2">
      <c r="B97" s="28"/>
      <c r="C97" s="249"/>
      <c r="E97" s="25"/>
      <c r="F97" s="52"/>
      <c r="H97" s="51" t="s">
        <v>116</v>
      </c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</row>
    <row r="98" spans="1:24" ht="14.1" customHeight="1" x14ac:dyDescent="0.2">
      <c r="A98" s="3">
        <f>A96+1</f>
        <v>16</v>
      </c>
      <c r="B98" s="28"/>
      <c r="C98" s="250"/>
      <c r="E98" s="25"/>
      <c r="F98" s="52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</row>
    <row r="99" spans="1:24" ht="14.1" customHeight="1" x14ac:dyDescent="0.2">
      <c r="A99" s="3">
        <f t="shared" si="0"/>
        <v>17</v>
      </c>
      <c r="B99" s="28"/>
      <c r="C99" s="249">
        <v>594</v>
      </c>
      <c r="E99" s="25" t="s">
        <v>92</v>
      </c>
      <c r="F99" s="52"/>
      <c r="H99" s="51" t="s">
        <v>117</v>
      </c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</row>
    <row r="100" spans="1:24" ht="14.1" customHeight="1" x14ac:dyDescent="0.2">
      <c r="A100" s="3">
        <f t="shared" si="0"/>
        <v>18</v>
      </c>
      <c r="B100" s="28"/>
      <c r="H100" s="51" t="s">
        <v>118</v>
      </c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</row>
    <row r="101" spans="1:24" ht="14.1" customHeight="1" x14ac:dyDescent="0.2">
      <c r="B101" s="28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</row>
    <row r="102" spans="1:24" ht="14.1" customHeight="1" x14ac:dyDescent="0.2">
      <c r="A102" s="3">
        <f>A100+1</f>
        <v>19</v>
      </c>
      <c r="B102" s="28"/>
      <c r="C102" s="251">
        <v>908</v>
      </c>
      <c r="E102" s="51" t="s">
        <v>93</v>
      </c>
      <c r="F102" s="52"/>
      <c r="H102" s="51" t="s">
        <v>119</v>
      </c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</row>
    <row r="103" spans="1:24" ht="14.1" customHeight="1" x14ac:dyDescent="0.2">
      <c r="A103" s="3">
        <f t="shared" si="0"/>
        <v>20</v>
      </c>
      <c r="B103" s="28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</row>
    <row r="104" spans="1:24" ht="14.1" customHeight="1" x14ac:dyDescent="0.2">
      <c r="A104" s="3">
        <f t="shared" si="0"/>
        <v>21</v>
      </c>
      <c r="B104" s="28"/>
      <c r="C104" s="251">
        <v>909</v>
      </c>
      <c r="E104" s="51" t="s">
        <v>94</v>
      </c>
      <c r="G104" s="52"/>
      <c r="H104" s="51" t="s">
        <v>120</v>
      </c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</row>
    <row r="105" spans="1:24" ht="14.1" customHeight="1" x14ac:dyDescent="0.2">
      <c r="A105" s="3">
        <f t="shared" si="0"/>
        <v>22</v>
      </c>
      <c r="B105" s="28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</row>
    <row r="106" spans="1:24" ht="14.1" customHeight="1" x14ac:dyDescent="0.2">
      <c r="A106" s="3">
        <f t="shared" si="0"/>
        <v>23</v>
      </c>
      <c r="B106" s="28"/>
      <c r="C106" s="251">
        <v>921</v>
      </c>
      <c r="E106" s="3" t="s">
        <v>95</v>
      </c>
      <c r="H106" s="51" t="s">
        <v>121</v>
      </c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</row>
    <row r="107" spans="1:24" ht="14.1" customHeight="1" x14ac:dyDescent="0.2">
      <c r="A107" s="3">
        <f t="shared" si="0"/>
        <v>24</v>
      </c>
      <c r="B107" s="28"/>
      <c r="C107" s="250"/>
      <c r="D107" s="62"/>
      <c r="E107" s="15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</row>
    <row r="108" spans="1:24" ht="14.1" customHeight="1" x14ac:dyDescent="0.2">
      <c r="A108" s="3">
        <f t="shared" si="0"/>
        <v>25</v>
      </c>
      <c r="B108" s="28"/>
      <c r="C108" s="251">
        <v>924</v>
      </c>
      <c r="D108" s="51"/>
      <c r="E108" s="25" t="s">
        <v>96</v>
      </c>
      <c r="F108" s="52"/>
      <c r="H108" s="51" t="s">
        <v>122</v>
      </c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</row>
    <row r="109" spans="1:24" ht="14.1" customHeight="1" x14ac:dyDescent="0.2">
      <c r="A109" s="3">
        <f t="shared" si="0"/>
        <v>26</v>
      </c>
      <c r="B109" s="28"/>
      <c r="C109" s="251"/>
      <c r="D109" s="59"/>
      <c r="E109" s="25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</row>
    <row r="110" spans="1:24" ht="14.1" customHeight="1" x14ac:dyDescent="0.2">
      <c r="A110" s="3">
        <f t="shared" si="0"/>
        <v>27</v>
      </c>
      <c r="B110" s="28"/>
      <c r="C110" s="251">
        <v>928</v>
      </c>
      <c r="D110" s="51"/>
      <c r="E110" s="25" t="s">
        <v>97</v>
      </c>
      <c r="G110" s="52"/>
      <c r="H110" s="51" t="s">
        <v>123</v>
      </c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</row>
    <row r="111" spans="1:24" ht="14.1" customHeight="1" x14ac:dyDescent="0.2">
      <c r="A111" s="3">
        <f t="shared" si="0"/>
        <v>28</v>
      </c>
      <c r="B111" s="28"/>
      <c r="C111" s="252"/>
      <c r="E111" s="40"/>
      <c r="F111" s="52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</row>
    <row r="112" spans="1:24" ht="14.1" customHeight="1" x14ac:dyDescent="0.2">
      <c r="A112" s="3">
        <f t="shared" si="0"/>
        <v>29</v>
      </c>
      <c r="B112" s="23"/>
      <c r="C112" s="249">
        <v>407.3</v>
      </c>
      <c r="D112" s="51"/>
      <c r="E112" s="15" t="s">
        <v>124</v>
      </c>
      <c r="F112" s="52"/>
      <c r="H112" s="51" t="s">
        <v>110</v>
      </c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U112" s="51"/>
      <c r="V112" s="51"/>
      <c r="W112" s="51"/>
      <c r="X112" s="51"/>
    </row>
    <row r="113" spans="1:24" ht="14.1" customHeight="1" x14ac:dyDescent="0.2">
      <c r="A113" s="3">
        <f t="shared" si="0"/>
        <v>30</v>
      </c>
      <c r="B113" s="28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U113" s="51"/>
      <c r="V113" s="51"/>
      <c r="W113" s="51"/>
      <c r="X113" s="51"/>
    </row>
    <row r="114" spans="1:24" ht="14.1" customHeight="1" x14ac:dyDescent="0.2">
      <c r="A114" s="3">
        <f t="shared" si="0"/>
        <v>31</v>
      </c>
      <c r="B114" s="28"/>
      <c r="C114" s="247">
        <v>407.3</v>
      </c>
      <c r="E114" s="3" t="s">
        <v>99</v>
      </c>
      <c r="H114" s="51" t="s">
        <v>110</v>
      </c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U114" s="51"/>
      <c r="V114" s="51"/>
      <c r="W114" s="51"/>
      <c r="X114" s="51"/>
    </row>
    <row r="115" spans="1:24" ht="14.1" customHeight="1" x14ac:dyDescent="0.2">
      <c r="A115" s="3">
        <f t="shared" si="0"/>
        <v>32</v>
      </c>
      <c r="B115" s="28"/>
      <c r="C115" s="251"/>
      <c r="D115" s="51"/>
      <c r="G115" s="26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U115" s="51"/>
      <c r="V115" s="51"/>
      <c r="W115" s="51"/>
      <c r="X115" s="51"/>
    </row>
    <row r="116" spans="1:24" ht="14.1" customHeight="1" x14ac:dyDescent="0.2">
      <c r="A116" s="3">
        <f t="shared" si="0"/>
        <v>33</v>
      </c>
      <c r="B116" s="28"/>
      <c r="C116" s="251">
        <v>407.3</v>
      </c>
      <c r="D116" s="51"/>
      <c r="E116" s="3" t="s">
        <v>100</v>
      </c>
      <c r="H116" s="51" t="s">
        <v>110</v>
      </c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U116" s="51"/>
      <c r="V116" s="51"/>
      <c r="W116" s="51"/>
      <c r="X116" s="51"/>
    </row>
    <row r="117" spans="1:24" ht="14.1" customHeight="1" x14ac:dyDescent="0.2">
      <c r="A117" s="3">
        <f t="shared" si="0"/>
        <v>34</v>
      </c>
      <c r="B117" s="28"/>
      <c r="C117" s="252"/>
      <c r="F117" s="26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U117" s="51"/>
      <c r="V117" s="51"/>
      <c r="W117" s="51"/>
      <c r="X117" s="51"/>
    </row>
    <row r="118" spans="1:24" ht="14.1" customHeight="1" x14ac:dyDescent="0.2">
      <c r="A118" s="3">
        <f t="shared" si="0"/>
        <v>35</v>
      </c>
      <c r="B118" s="28"/>
      <c r="C118" s="251">
        <v>407.3</v>
      </c>
      <c r="D118" s="51"/>
      <c r="E118" s="3" t="s">
        <v>101</v>
      </c>
      <c r="H118" s="51" t="s">
        <v>110</v>
      </c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U118" s="51"/>
      <c r="V118" s="51"/>
      <c r="W118" s="51"/>
      <c r="X118" s="51"/>
    </row>
    <row r="119" spans="1:24" ht="14.1" customHeight="1" x14ac:dyDescent="0.2">
      <c r="A119" s="3">
        <f t="shared" si="0"/>
        <v>36</v>
      </c>
      <c r="B119" s="28"/>
      <c r="C119" s="252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U119" s="51"/>
      <c r="V119" s="51"/>
      <c r="W119" s="51"/>
      <c r="X119" s="51"/>
    </row>
    <row r="120" spans="1:24" ht="14.1" customHeight="1" x14ac:dyDescent="0.2">
      <c r="A120" s="3">
        <f t="shared" si="0"/>
        <v>37</v>
      </c>
      <c r="B120" s="28"/>
      <c r="C120" s="251">
        <v>407.3</v>
      </c>
      <c r="D120" s="51"/>
      <c r="E120" s="3" t="s">
        <v>102</v>
      </c>
      <c r="F120" s="26"/>
      <c r="H120" s="51" t="s">
        <v>110</v>
      </c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U120" s="51"/>
      <c r="V120" s="51"/>
      <c r="W120" s="51"/>
      <c r="X120" s="51"/>
    </row>
    <row r="121" spans="1:24" ht="14.1" customHeight="1" x14ac:dyDescent="0.2">
      <c r="A121" s="3">
        <f t="shared" si="0"/>
        <v>38</v>
      </c>
      <c r="B121" s="28"/>
      <c r="C121" s="251"/>
      <c r="D121" s="51"/>
      <c r="F121" s="26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U121" s="51"/>
      <c r="V121" s="51"/>
      <c r="W121" s="51"/>
      <c r="X121" s="51"/>
    </row>
    <row r="122" spans="1:24" ht="14.1" customHeight="1" x14ac:dyDescent="0.2">
      <c r="A122" s="3">
        <f t="shared" si="0"/>
        <v>39</v>
      </c>
      <c r="B122" s="28"/>
      <c r="C122" s="251">
        <v>407.3</v>
      </c>
      <c r="D122" s="51"/>
      <c r="E122" s="3" t="s">
        <v>103</v>
      </c>
      <c r="F122" s="26"/>
      <c r="H122" s="51" t="s">
        <v>125</v>
      </c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U122" s="51"/>
      <c r="V122" s="51"/>
      <c r="W122" s="51"/>
      <c r="X122" s="51"/>
    </row>
    <row r="123" spans="1:24" ht="14.1" customHeight="1" x14ac:dyDescent="0.2">
      <c r="A123" s="3">
        <f t="shared" si="0"/>
        <v>40</v>
      </c>
      <c r="B123" s="28"/>
      <c r="C123" s="251"/>
      <c r="D123" s="51"/>
      <c r="F123" s="26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</row>
    <row r="124" spans="1:24" ht="14.1" customHeight="1" x14ac:dyDescent="0.2">
      <c r="A124" s="3">
        <f t="shared" si="0"/>
        <v>41</v>
      </c>
      <c r="B124" s="28"/>
      <c r="C124" s="251">
        <v>403</v>
      </c>
      <c r="D124" s="51"/>
      <c r="E124" s="3" t="s">
        <v>104</v>
      </c>
      <c r="F124" s="26"/>
      <c r="H124" s="51" t="s">
        <v>126</v>
      </c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</row>
    <row r="125" spans="1:24" ht="14.1" customHeight="1" x14ac:dyDescent="0.2">
      <c r="A125" s="3">
        <f t="shared" si="0"/>
        <v>42</v>
      </c>
      <c r="B125" s="28"/>
      <c r="C125" s="251"/>
      <c r="D125" s="51"/>
      <c r="F125" s="26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</row>
    <row r="126" spans="1:24" ht="14.1" customHeight="1" x14ac:dyDescent="0.2">
      <c r="A126" s="3">
        <f t="shared" si="0"/>
        <v>43</v>
      </c>
      <c r="B126" s="28"/>
      <c r="C126" s="251">
        <v>404</v>
      </c>
      <c r="D126" s="51"/>
      <c r="E126" s="3" t="s">
        <v>105</v>
      </c>
      <c r="F126" s="26"/>
      <c r="H126" s="51" t="s">
        <v>127</v>
      </c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</row>
    <row r="127" spans="1:24" ht="14.1" customHeight="1" x14ac:dyDescent="0.2">
      <c r="A127" s="3">
        <f t="shared" si="0"/>
        <v>44</v>
      </c>
      <c r="B127" s="28"/>
      <c r="C127" s="251"/>
      <c r="D127" s="51"/>
      <c r="F127" s="26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</row>
    <row r="128" spans="1:24" ht="14.1" customHeight="1" x14ac:dyDescent="0.2">
      <c r="A128" s="3">
        <f t="shared" si="0"/>
        <v>45</v>
      </c>
      <c r="B128" s="28"/>
      <c r="C128" s="251">
        <v>407</v>
      </c>
      <c r="D128" s="51"/>
      <c r="E128" s="3" t="s">
        <v>106</v>
      </c>
      <c r="F128" s="26"/>
      <c r="H128" s="51" t="s">
        <v>128</v>
      </c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</row>
    <row r="129" spans="1:24" ht="14.1" customHeight="1" x14ac:dyDescent="0.2">
      <c r="A129" s="3">
        <f t="shared" si="0"/>
        <v>46</v>
      </c>
      <c r="B129" s="28"/>
      <c r="C129" s="251"/>
      <c r="D129" s="51"/>
      <c r="F129" s="26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</row>
    <row r="130" spans="1:24" ht="14.1" customHeight="1" x14ac:dyDescent="0.2">
      <c r="A130" s="3">
        <f t="shared" si="0"/>
        <v>47</v>
      </c>
      <c r="B130" s="28"/>
      <c r="C130" s="251">
        <v>409</v>
      </c>
      <c r="D130" s="51"/>
      <c r="E130" s="3" t="s">
        <v>107</v>
      </c>
      <c r="F130" s="26"/>
      <c r="H130" s="51" t="s">
        <v>129</v>
      </c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</row>
    <row r="131" spans="1:24" ht="14.1" customHeight="1" x14ac:dyDescent="0.2">
      <c r="A131" s="3">
        <f t="shared" si="0"/>
        <v>48</v>
      </c>
      <c r="B131" s="28"/>
      <c r="C131" s="251"/>
      <c r="D131" s="51"/>
      <c r="F131" s="26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</row>
    <row r="132" spans="1:24" ht="14.1" customHeight="1" x14ac:dyDescent="0.2">
      <c r="A132" s="3">
        <f t="shared" si="0"/>
        <v>49</v>
      </c>
      <c r="B132" s="28"/>
      <c r="C132" s="251">
        <v>411.1</v>
      </c>
      <c r="D132" s="51"/>
      <c r="E132" s="3" t="s">
        <v>108</v>
      </c>
      <c r="F132" s="26"/>
      <c r="H132" s="51" t="s">
        <v>130</v>
      </c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</row>
    <row r="133" spans="1:24" ht="14.1" customHeight="1" x14ac:dyDescent="0.2">
      <c r="A133" s="3">
        <f t="shared" si="0"/>
        <v>50</v>
      </c>
      <c r="B133" s="28"/>
      <c r="C133" s="251"/>
      <c r="D133" s="51"/>
      <c r="F133" s="26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</row>
    <row r="134" spans="1:24" ht="14.1" customHeight="1" x14ac:dyDescent="0.2">
      <c r="A134" s="3">
        <f t="shared" si="0"/>
        <v>51</v>
      </c>
      <c r="B134" s="28"/>
      <c r="C134" s="250">
        <v>411.4</v>
      </c>
      <c r="D134" s="51"/>
      <c r="E134" s="3" t="s">
        <v>109</v>
      </c>
      <c r="F134" s="26"/>
      <c r="H134" s="51" t="s">
        <v>131</v>
      </c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</row>
    <row r="135" spans="1:24" ht="14.1" customHeight="1" x14ac:dyDescent="0.2">
      <c r="B135" s="28"/>
      <c r="C135" s="251"/>
      <c r="D135" s="51"/>
      <c r="F135" s="26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</row>
    <row r="136" spans="1:24" ht="14.1" customHeight="1" thickBot="1" x14ac:dyDescent="0.25">
      <c r="A136" s="42"/>
      <c r="B136" s="1"/>
      <c r="C136" s="2"/>
      <c r="D136" s="2"/>
      <c r="E136" s="2"/>
      <c r="F136" s="44"/>
      <c r="G136" s="44"/>
      <c r="H136" s="44"/>
      <c r="I136" s="44"/>
      <c r="J136" s="44"/>
      <c r="K136" s="44"/>
      <c r="L136" s="44"/>
      <c r="M136" s="44"/>
      <c r="N136" s="45"/>
      <c r="O136" s="44"/>
      <c r="P136" s="44"/>
      <c r="Q136" s="44"/>
      <c r="R136" s="44"/>
      <c r="S136" s="2"/>
    </row>
    <row r="137" spans="1:24" ht="14.1" customHeight="1" x14ac:dyDescent="0.2">
      <c r="A137" s="3" t="s">
        <v>65</v>
      </c>
      <c r="C137" s="250"/>
      <c r="F137" s="26"/>
      <c r="G137" s="26"/>
      <c r="H137" s="26"/>
      <c r="I137" s="26"/>
      <c r="J137" s="26"/>
      <c r="K137" s="26"/>
      <c r="L137" s="26"/>
      <c r="M137" s="26"/>
      <c r="N137" s="47"/>
      <c r="O137" s="26"/>
      <c r="P137" s="26"/>
      <c r="Q137" s="26" t="str">
        <f>Q67</f>
        <v>Recap Schedules: C-4</v>
      </c>
      <c r="R137" s="26"/>
    </row>
  </sheetData>
  <phoneticPr fontId="32" type="noConversion"/>
  <pageMargins left="1" right="0" top="1" bottom="0" header="0" footer="0"/>
  <pageSetup scale="52" fitToHeight="7" pageOrder="overThenDown" orientation="landscape" blackAndWhite="1" r:id="rId1"/>
  <headerFooter alignWithMargins="0"/>
  <rowBreaks count="1" manualBreakCount="1">
    <brk id="67" max="18" man="1"/>
  </rowBreaks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FB9FD-0414-40C5-B3E6-8FD398F83191}">
  <sheetPr>
    <tabColor theme="1"/>
  </sheetPr>
  <dimension ref="A1"/>
  <sheetViews>
    <sheetView workbookViewId="0">
      <selection activeCell="L14" sqref="L14"/>
    </sheetView>
  </sheetViews>
  <sheetFormatPr defaultColWidth="9.109375" defaultRowHeight="13.2" x14ac:dyDescent="0.25"/>
  <cols>
    <col min="1" max="16384" width="9.109375" style="70"/>
  </cols>
  <sheetData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5AF8F-7143-48BA-AB90-1AE06B16990C}">
  <sheetPr>
    <tabColor rgb="FF92D050"/>
  </sheetPr>
  <dimension ref="A1:T467"/>
  <sheetViews>
    <sheetView topLeftCell="D126" zoomScale="80" zoomScaleNormal="80" workbookViewId="0">
      <selection activeCell="S14" sqref="S14:S466"/>
    </sheetView>
  </sheetViews>
  <sheetFormatPr defaultRowHeight="14.4" x14ac:dyDescent="0.3"/>
  <cols>
    <col min="1" max="1" width="13.109375" style="195" customWidth="1"/>
    <col min="2" max="2" width="16.5546875" style="154" bestFit="1" customWidth="1"/>
    <col min="3" max="3" width="12.44140625" style="154" bestFit="1" customWidth="1"/>
    <col min="4" max="4" width="23.5546875" style="202" bestFit="1" customWidth="1"/>
    <col min="5" max="5" width="46.44140625" style="154" bestFit="1" customWidth="1"/>
    <col min="6" max="6" width="18.33203125" style="154" bestFit="1" customWidth="1"/>
    <col min="7" max="18" width="18.33203125" style="154" customWidth="1"/>
    <col min="19" max="19" width="18.33203125" style="154" bestFit="1" customWidth="1"/>
    <col min="20" max="20" width="9.109375" style="154"/>
  </cols>
  <sheetData>
    <row r="1" spans="1:19" x14ac:dyDescent="0.3">
      <c r="B1"/>
      <c r="C1"/>
      <c r="D1" s="195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5" thickBot="1" x14ac:dyDescent="0.35">
      <c r="B2"/>
      <c r="C2"/>
      <c r="D2" s="195"/>
      <c r="E2"/>
      <c r="F2"/>
      <c r="G2"/>
      <c r="H2"/>
      <c r="I2"/>
      <c r="J2"/>
      <c r="K2"/>
      <c r="L2"/>
      <c r="M2"/>
      <c r="N2"/>
      <c r="O2"/>
      <c r="P2"/>
      <c r="Q2"/>
      <c r="R2"/>
      <c r="S2"/>
    </row>
    <row r="3" spans="1:19" ht="15" thickBot="1" x14ac:dyDescent="0.35">
      <c r="B3"/>
      <c r="C3" s="79"/>
      <c r="D3" s="196" t="s">
        <v>132</v>
      </c>
      <c r="E3" s="179" t="s">
        <v>133</v>
      </c>
      <c r="F3" s="79"/>
      <c r="G3" s="79"/>
      <c r="H3"/>
      <c r="I3"/>
      <c r="J3"/>
      <c r="K3"/>
      <c r="L3"/>
      <c r="M3"/>
      <c r="N3"/>
      <c r="O3"/>
      <c r="P3"/>
      <c r="Q3"/>
      <c r="R3"/>
      <c r="S3"/>
    </row>
    <row r="4" spans="1:19" ht="15" thickBot="1" x14ac:dyDescent="0.35">
      <c r="B4"/>
      <c r="C4" s="79"/>
      <c r="D4" s="196" t="s">
        <v>134</v>
      </c>
      <c r="E4" s="179" t="s">
        <v>135</v>
      </c>
      <c r="F4" s="79"/>
      <c r="G4" s="79"/>
      <c r="H4"/>
      <c r="I4"/>
      <c r="J4"/>
      <c r="K4"/>
      <c r="L4"/>
      <c r="M4"/>
      <c r="N4"/>
      <c r="O4"/>
      <c r="P4"/>
      <c r="Q4"/>
      <c r="R4"/>
      <c r="S4"/>
    </row>
    <row r="5" spans="1:19" ht="15" thickBot="1" x14ac:dyDescent="0.35">
      <c r="B5"/>
      <c r="C5" s="79"/>
      <c r="D5" s="196" t="s">
        <v>136</v>
      </c>
      <c r="E5" s="179" t="s">
        <v>137</v>
      </c>
      <c r="F5" s="79"/>
      <c r="G5" s="79"/>
      <c r="H5"/>
      <c r="I5"/>
      <c r="J5"/>
      <c r="K5"/>
      <c r="L5"/>
      <c r="M5"/>
      <c r="N5"/>
      <c r="O5"/>
      <c r="P5"/>
      <c r="Q5"/>
      <c r="R5"/>
      <c r="S5"/>
    </row>
    <row r="6" spans="1:19" ht="15" thickBot="1" x14ac:dyDescent="0.35">
      <c r="B6"/>
      <c r="C6" s="79"/>
      <c r="D6" s="196" t="s">
        <v>138</v>
      </c>
      <c r="E6" s="180" t="s">
        <v>139</v>
      </c>
      <c r="F6" s="79"/>
      <c r="G6" s="79"/>
      <c r="H6"/>
      <c r="I6"/>
      <c r="J6"/>
      <c r="K6"/>
      <c r="L6"/>
      <c r="M6"/>
      <c r="N6"/>
      <c r="O6"/>
      <c r="P6"/>
      <c r="Q6"/>
      <c r="R6"/>
      <c r="S6"/>
    </row>
    <row r="7" spans="1:19" x14ac:dyDescent="0.3">
      <c r="B7"/>
      <c r="C7" s="79"/>
      <c r="D7" s="197"/>
      <c r="E7" s="79"/>
      <c r="F7" s="79"/>
      <c r="G7" s="79"/>
      <c r="H7"/>
      <c r="I7"/>
      <c r="J7"/>
      <c r="K7"/>
      <c r="L7"/>
      <c r="M7"/>
      <c r="N7"/>
      <c r="O7"/>
      <c r="P7"/>
      <c r="Q7"/>
      <c r="R7"/>
      <c r="S7"/>
    </row>
    <row r="8" spans="1:19" x14ac:dyDescent="0.3">
      <c r="B8" s="181"/>
      <c r="C8" s="182"/>
      <c r="D8" s="198"/>
      <c r="E8" s="183"/>
      <c r="F8" s="79"/>
      <c r="G8" s="79"/>
      <c r="H8"/>
      <c r="I8"/>
      <c r="J8"/>
      <c r="K8"/>
      <c r="L8"/>
      <c r="M8"/>
      <c r="N8"/>
      <c r="O8"/>
      <c r="P8"/>
      <c r="Q8"/>
      <c r="R8"/>
      <c r="S8"/>
    </row>
    <row r="9" spans="1:19" ht="25.2" x14ac:dyDescent="0.3">
      <c r="B9" s="184" t="s">
        <v>140</v>
      </c>
      <c r="C9" s="185"/>
      <c r="D9" s="199"/>
      <c r="E9" s="186"/>
      <c r="F9" s="79"/>
      <c r="G9" s="79"/>
      <c r="H9"/>
      <c r="I9"/>
      <c r="J9"/>
      <c r="K9"/>
      <c r="L9"/>
      <c r="M9"/>
      <c r="N9"/>
      <c r="O9"/>
      <c r="P9"/>
      <c r="Q9"/>
      <c r="R9"/>
      <c r="S9"/>
    </row>
    <row r="10" spans="1:19" x14ac:dyDescent="0.3">
      <c r="B10" s="187"/>
      <c r="C10" s="188"/>
      <c r="D10" s="200"/>
      <c r="E10" s="189"/>
      <c r="F10" s="79"/>
      <c r="G10" s="79"/>
      <c r="H10"/>
      <c r="I10"/>
      <c r="J10"/>
      <c r="K10"/>
      <c r="L10"/>
      <c r="M10"/>
      <c r="N10"/>
      <c r="O10"/>
      <c r="P10"/>
      <c r="Q10"/>
      <c r="R10"/>
      <c r="S10"/>
    </row>
    <row r="11" spans="1:19" x14ac:dyDescent="0.3">
      <c r="B11"/>
      <c r="C11"/>
      <c r="D11" s="195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</row>
    <row r="12" spans="1:19" ht="16.2" x14ac:dyDescent="0.3">
      <c r="B12" s="80" t="s">
        <v>141</v>
      </c>
      <c r="C12" s="80" t="s">
        <v>142</v>
      </c>
      <c r="D12" s="81"/>
      <c r="E12" s="82" t="s">
        <v>11</v>
      </c>
      <c r="F12" s="83" t="s">
        <v>143</v>
      </c>
      <c r="G12" s="84" t="s">
        <v>143</v>
      </c>
      <c r="H12" s="84" t="s">
        <v>143</v>
      </c>
      <c r="I12" s="84" t="s">
        <v>143</v>
      </c>
      <c r="J12" s="84" t="s">
        <v>143</v>
      </c>
      <c r="K12" s="84" t="s">
        <v>143</v>
      </c>
      <c r="L12" s="84" t="s">
        <v>143</v>
      </c>
      <c r="M12" s="84" t="s">
        <v>143</v>
      </c>
      <c r="N12" s="84" t="s">
        <v>143</v>
      </c>
      <c r="O12" s="84" t="s">
        <v>143</v>
      </c>
      <c r="P12" s="84" t="s">
        <v>143</v>
      </c>
      <c r="Q12" s="84" t="s">
        <v>143</v>
      </c>
      <c r="R12" s="84" t="s">
        <v>143</v>
      </c>
      <c r="S12" s="84" t="s">
        <v>143</v>
      </c>
    </row>
    <row r="13" spans="1:19" ht="16.2" x14ac:dyDescent="0.3">
      <c r="B13" s="85" t="s">
        <v>144</v>
      </c>
      <c r="C13" s="85" t="s">
        <v>145</v>
      </c>
      <c r="D13" s="86" t="s">
        <v>146</v>
      </c>
      <c r="E13" s="87" t="s">
        <v>147</v>
      </c>
      <c r="F13" s="83" t="s">
        <v>148</v>
      </c>
      <c r="G13" s="84" t="s">
        <v>149</v>
      </c>
      <c r="H13" s="84" t="s">
        <v>150</v>
      </c>
      <c r="I13" s="84" t="s">
        <v>151</v>
      </c>
      <c r="J13" s="84" t="s">
        <v>152</v>
      </c>
      <c r="K13" s="84" t="s">
        <v>153</v>
      </c>
      <c r="L13" s="84" t="s">
        <v>154</v>
      </c>
      <c r="M13" s="84" t="s">
        <v>155</v>
      </c>
      <c r="N13" s="84" t="s">
        <v>156</v>
      </c>
      <c r="O13" s="84" t="s">
        <v>157</v>
      </c>
      <c r="P13" s="84" t="s">
        <v>158</v>
      </c>
      <c r="Q13" s="84" t="s">
        <v>159</v>
      </c>
      <c r="R13" s="84" t="s">
        <v>160</v>
      </c>
      <c r="S13" s="84" t="s">
        <v>161</v>
      </c>
    </row>
    <row r="14" spans="1:19" x14ac:dyDescent="0.3">
      <c r="A14" s="195">
        <v>101</v>
      </c>
      <c r="B14" s="177" t="s">
        <v>162</v>
      </c>
      <c r="C14" s="177" t="s">
        <v>163</v>
      </c>
      <c r="D14" s="201" t="s">
        <v>164</v>
      </c>
      <c r="E14" s="88" t="s">
        <v>165</v>
      </c>
      <c r="F14" s="88">
        <v>0</v>
      </c>
      <c r="G14" s="88">
        <v>10489209833.700001</v>
      </c>
      <c r="H14" s="88">
        <v>10590717314.809999</v>
      </c>
      <c r="I14" s="88">
        <v>10727421506.360001</v>
      </c>
      <c r="J14" s="88">
        <v>10805506158.35</v>
      </c>
      <c r="K14" s="88">
        <v>10908822882.139999</v>
      </c>
      <c r="L14" s="88">
        <v>10983505941.58</v>
      </c>
      <c r="M14" s="88">
        <v>11018179664.860001</v>
      </c>
      <c r="N14" s="88">
        <v>11066612281.309999</v>
      </c>
      <c r="O14" s="88">
        <v>11142033320.9</v>
      </c>
      <c r="P14" s="88">
        <v>11190117298.91</v>
      </c>
      <c r="Q14" s="88">
        <v>11224551924.290001</v>
      </c>
      <c r="R14" s="88">
        <v>11533012185.780001</v>
      </c>
      <c r="S14" s="88">
        <f>SUM(F14:R14)</f>
        <v>131679690312.98999</v>
      </c>
    </row>
    <row r="15" spans="1:19" x14ac:dyDescent="0.3">
      <c r="A15" s="195">
        <v>101</v>
      </c>
      <c r="B15" s="177" t="s">
        <v>162</v>
      </c>
      <c r="C15" s="177" t="s">
        <v>163</v>
      </c>
      <c r="D15" s="201" t="s">
        <v>166</v>
      </c>
      <c r="E15" s="88" t="s">
        <v>167</v>
      </c>
      <c r="F15" s="88">
        <v>0</v>
      </c>
      <c r="G15" s="88">
        <v>35100642.285437196</v>
      </c>
      <c r="H15" s="88">
        <v>34888145.3148112</v>
      </c>
      <c r="I15" s="88">
        <v>34675226.455837697</v>
      </c>
      <c r="J15" s="88">
        <v>34461884.4720615</v>
      </c>
      <c r="K15" s="88">
        <v>34248118.123580001</v>
      </c>
      <c r="L15" s="88">
        <v>34033926.167033002</v>
      </c>
      <c r="M15" s="88">
        <v>33819307.355595201</v>
      </c>
      <c r="N15" s="88">
        <v>33604257.228881903</v>
      </c>
      <c r="O15" s="88">
        <v>33388774.521179099</v>
      </c>
      <c r="P15" s="88">
        <v>33172857.963236898</v>
      </c>
      <c r="Q15" s="88">
        <v>32956506.282259699</v>
      </c>
      <c r="R15" s="88">
        <v>32739718.201897901</v>
      </c>
      <c r="S15" s="88">
        <f t="shared" ref="S15:S78" si="0">SUM(F15:R15)</f>
        <v>407089364.37181133</v>
      </c>
    </row>
    <row r="16" spans="1:19" x14ac:dyDescent="0.3">
      <c r="A16" s="195">
        <v>102</v>
      </c>
      <c r="B16" s="177" t="s">
        <v>162</v>
      </c>
      <c r="C16" s="177" t="s">
        <v>163</v>
      </c>
      <c r="D16" s="201" t="s">
        <v>168</v>
      </c>
      <c r="E16" s="88" t="s">
        <v>169</v>
      </c>
      <c r="F16" s="88">
        <v>0</v>
      </c>
      <c r="G16" s="88">
        <v>411071.06</v>
      </c>
      <c r="H16" s="88">
        <v>411071.06</v>
      </c>
      <c r="I16" s="88">
        <v>411071.06</v>
      </c>
      <c r="J16" s="88">
        <v>411071.06</v>
      </c>
      <c r="K16" s="88">
        <v>411071.06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f t="shared" si="0"/>
        <v>2055355.3</v>
      </c>
    </row>
    <row r="17" spans="1:19" x14ac:dyDescent="0.3">
      <c r="A17" s="195">
        <v>103</v>
      </c>
      <c r="B17" s="177" t="s">
        <v>162</v>
      </c>
      <c r="C17" s="177" t="s">
        <v>163</v>
      </c>
      <c r="D17" s="201" t="s">
        <v>170</v>
      </c>
      <c r="E17" s="88" t="s">
        <v>171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f t="shared" si="0"/>
        <v>0</v>
      </c>
    </row>
    <row r="18" spans="1:19" x14ac:dyDescent="0.3">
      <c r="A18" s="195">
        <v>103</v>
      </c>
      <c r="B18" s="177" t="s">
        <v>162</v>
      </c>
      <c r="C18" s="177" t="s">
        <v>163</v>
      </c>
      <c r="D18" s="201" t="s">
        <v>172</v>
      </c>
      <c r="E18" s="88" t="s">
        <v>173</v>
      </c>
      <c r="F18" s="88">
        <v>0</v>
      </c>
      <c r="G18" s="88">
        <v>0</v>
      </c>
      <c r="H18" s="88">
        <v>0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f t="shared" si="0"/>
        <v>0</v>
      </c>
    </row>
    <row r="19" spans="1:19" x14ac:dyDescent="0.3">
      <c r="A19" s="195">
        <v>104</v>
      </c>
      <c r="B19" s="177" t="s">
        <v>162</v>
      </c>
      <c r="C19" s="177" t="s">
        <v>163</v>
      </c>
      <c r="D19" s="201" t="s">
        <v>174</v>
      </c>
      <c r="E19" s="88" t="s">
        <v>175</v>
      </c>
      <c r="F19" s="88">
        <v>0</v>
      </c>
      <c r="G19" s="88">
        <v>0</v>
      </c>
      <c r="H19" s="88">
        <v>0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f t="shared" si="0"/>
        <v>0</v>
      </c>
    </row>
    <row r="20" spans="1:19" x14ac:dyDescent="0.3">
      <c r="A20" s="195">
        <v>105</v>
      </c>
      <c r="B20" s="177" t="s">
        <v>162</v>
      </c>
      <c r="C20" s="177" t="s">
        <v>163</v>
      </c>
      <c r="D20" s="201" t="s">
        <v>176</v>
      </c>
      <c r="E20" s="88" t="s">
        <v>177</v>
      </c>
      <c r="F20" s="88">
        <v>0</v>
      </c>
      <c r="G20" s="88">
        <v>63762399.530000001</v>
      </c>
      <c r="H20" s="88">
        <v>63762399.530000001</v>
      </c>
      <c r="I20" s="88">
        <v>63762399.530000001</v>
      </c>
      <c r="J20" s="88">
        <v>63762399.530000001</v>
      </c>
      <c r="K20" s="88">
        <v>63762399.530000001</v>
      </c>
      <c r="L20" s="88">
        <v>63762399.530000001</v>
      </c>
      <c r="M20" s="88">
        <v>63762399.530000001</v>
      </c>
      <c r="N20" s="88">
        <v>63762399.530000001</v>
      </c>
      <c r="O20" s="88">
        <v>63762399.530000001</v>
      </c>
      <c r="P20" s="88">
        <v>63762399.530000001</v>
      </c>
      <c r="Q20" s="88">
        <v>64262399.530000001</v>
      </c>
      <c r="R20" s="88">
        <v>64262399.530000001</v>
      </c>
      <c r="S20" s="88">
        <f t="shared" si="0"/>
        <v>766148794.35999978</v>
      </c>
    </row>
    <row r="21" spans="1:19" x14ac:dyDescent="0.3">
      <c r="A21" s="195">
        <v>105</v>
      </c>
      <c r="B21" s="177" t="s">
        <v>162</v>
      </c>
      <c r="C21" s="177" t="s">
        <v>163</v>
      </c>
      <c r="D21" s="201" t="s">
        <v>178</v>
      </c>
      <c r="E21" s="88" t="s">
        <v>179</v>
      </c>
      <c r="F21" s="88">
        <v>0</v>
      </c>
      <c r="G21" s="88">
        <v>0</v>
      </c>
      <c r="H21" s="88">
        <v>0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f t="shared" si="0"/>
        <v>0</v>
      </c>
    </row>
    <row r="22" spans="1:19" x14ac:dyDescent="0.3">
      <c r="A22" s="195">
        <v>106</v>
      </c>
      <c r="B22" s="177" t="s">
        <v>162</v>
      </c>
      <c r="C22" s="177" t="s">
        <v>163</v>
      </c>
      <c r="D22" s="201" t="s">
        <v>180</v>
      </c>
      <c r="E22" s="88" t="s">
        <v>181</v>
      </c>
      <c r="F22" s="88">
        <v>0</v>
      </c>
      <c r="G22" s="88">
        <v>2078381704.5999999</v>
      </c>
      <c r="H22" s="88">
        <v>2078381704.5999999</v>
      </c>
      <c r="I22" s="88">
        <v>2078381704.5999999</v>
      </c>
      <c r="J22" s="88">
        <v>2078381704.5999999</v>
      </c>
      <c r="K22" s="88">
        <v>2078381704.5999999</v>
      </c>
      <c r="L22" s="88">
        <v>2078381704.5999999</v>
      </c>
      <c r="M22" s="88">
        <v>2078381704.5999999</v>
      </c>
      <c r="N22" s="88">
        <v>2078381704.5999999</v>
      </c>
      <c r="O22" s="88">
        <v>2078381704.5999999</v>
      </c>
      <c r="P22" s="88">
        <v>2078381704.5999999</v>
      </c>
      <c r="Q22" s="88">
        <v>2078381704.5999999</v>
      </c>
      <c r="R22" s="88">
        <v>2078381704.5999999</v>
      </c>
      <c r="S22" s="88">
        <f t="shared" si="0"/>
        <v>24940580455.199997</v>
      </c>
    </row>
    <row r="23" spans="1:19" x14ac:dyDescent="0.3">
      <c r="A23" s="195">
        <v>107</v>
      </c>
      <c r="B23" s="177" t="s">
        <v>162</v>
      </c>
      <c r="C23" s="177" t="s">
        <v>163</v>
      </c>
      <c r="D23" s="201" t="s">
        <v>182</v>
      </c>
      <c r="E23" s="88" t="s">
        <v>183</v>
      </c>
      <c r="F23" s="88">
        <v>0</v>
      </c>
      <c r="G23" s="88">
        <v>1075851307.02</v>
      </c>
      <c r="H23" s="88">
        <v>1050903351.37</v>
      </c>
      <c r="I23" s="88">
        <v>1007196087.26</v>
      </c>
      <c r="J23" s="88">
        <v>1024366866.27</v>
      </c>
      <c r="K23" s="88">
        <v>1016462767.48</v>
      </c>
      <c r="L23" s="88">
        <v>1077860241.52</v>
      </c>
      <c r="M23" s="88">
        <v>1141812709.1800001</v>
      </c>
      <c r="N23" s="88">
        <v>1191970969.77</v>
      </c>
      <c r="O23" s="88">
        <v>1201453522.54</v>
      </c>
      <c r="P23" s="88">
        <v>1254488098.9400001</v>
      </c>
      <c r="Q23" s="88">
        <v>1309546832.8699999</v>
      </c>
      <c r="R23" s="88">
        <v>1082288904.1300001</v>
      </c>
      <c r="S23" s="88">
        <f t="shared" si="0"/>
        <v>13434201658.350002</v>
      </c>
    </row>
    <row r="24" spans="1:19" x14ac:dyDescent="0.3">
      <c r="A24" s="195">
        <v>108</v>
      </c>
      <c r="B24" s="177" t="s">
        <v>162</v>
      </c>
      <c r="C24" s="177" t="s">
        <v>163</v>
      </c>
      <c r="D24" s="201" t="s">
        <v>184</v>
      </c>
      <c r="E24" s="88" t="s">
        <v>185</v>
      </c>
      <c r="F24" s="88">
        <v>0</v>
      </c>
      <c r="G24" s="88">
        <v>-3562893192.1799998</v>
      </c>
      <c r="H24" s="88">
        <v>-3578942497.9200001</v>
      </c>
      <c r="I24" s="88">
        <v>-3590088370.5599999</v>
      </c>
      <c r="J24" s="88">
        <v>-3611932421.3400002</v>
      </c>
      <c r="K24" s="88">
        <v>-3619484128.5500002</v>
      </c>
      <c r="L24" s="88">
        <v>-3640069030.8499999</v>
      </c>
      <c r="M24" s="88">
        <v>-3668674627.02</v>
      </c>
      <c r="N24" s="88">
        <v>-3695177899.8299999</v>
      </c>
      <c r="O24" s="88">
        <v>-3721301250.71</v>
      </c>
      <c r="P24" s="88">
        <v>-3749540978.0900002</v>
      </c>
      <c r="Q24" s="88">
        <v>-3779157712.0599999</v>
      </c>
      <c r="R24" s="88">
        <v>-3796699030.77</v>
      </c>
      <c r="S24" s="88">
        <f t="shared" si="0"/>
        <v>-44013961139.879997</v>
      </c>
    </row>
    <row r="25" spans="1:19" x14ac:dyDescent="0.3">
      <c r="A25" s="195">
        <v>111</v>
      </c>
      <c r="B25" s="177" t="s">
        <v>162</v>
      </c>
      <c r="C25" s="177" t="s">
        <v>163</v>
      </c>
      <c r="D25" s="201" t="s">
        <v>186</v>
      </c>
      <c r="E25" s="88" t="s">
        <v>187</v>
      </c>
      <c r="F25" s="88">
        <v>0</v>
      </c>
      <c r="G25" s="88">
        <v>-161005858.44</v>
      </c>
      <c r="H25" s="88">
        <v>-162428948.08000001</v>
      </c>
      <c r="I25" s="88">
        <v>-165435266.02000001</v>
      </c>
      <c r="J25" s="88">
        <v>-167706972.28</v>
      </c>
      <c r="K25" s="88">
        <v>-162130135.06</v>
      </c>
      <c r="L25" s="88">
        <v>-165124607.47</v>
      </c>
      <c r="M25" s="88">
        <v>-163396267.41999999</v>
      </c>
      <c r="N25" s="88">
        <v>-164550868.34999999</v>
      </c>
      <c r="O25" s="88">
        <v>-167544881.46000001</v>
      </c>
      <c r="P25" s="88">
        <v>-170616316.06999999</v>
      </c>
      <c r="Q25" s="88">
        <v>-173697848.65000001</v>
      </c>
      <c r="R25" s="88">
        <v>-176791073.28999999</v>
      </c>
      <c r="S25" s="88">
        <f t="shared" si="0"/>
        <v>-2000429042.5899999</v>
      </c>
    </row>
    <row r="26" spans="1:19" x14ac:dyDescent="0.3">
      <c r="A26" s="195">
        <v>114</v>
      </c>
      <c r="B26" s="177" t="s">
        <v>162</v>
      </c>
      <c r="C26" s="177" t="s">
        <v>163</v>
      </c>
      <c r="D26" s="201" t="s">
        <v>188</v>
      </c>
      <c r="E26" s="88" t="s">
        <v>189</v>
      </c>
      <c r="F26" s="88">
        <v>0</v>
      </c>
      <c r="G26" s="88">
        <v>7484822.7599999998</v>
      </c>
      <c r="H26" s="88">
        <v>7484822.7599999998</v>
      </c>
      <c r="I26" s="88">
        <v>7484822.7599999998</v>
      </c>
      <c r="J26" s="88">
        <v>7484822.7599999998</v>
      </c>
      <c r="K26" s="88">
        <v>7484822.7599999998</v>
      </c>
      <c r="L26" s="88">
        <v>7484822.7599999998</v>
      </c>
      <c r="M26" s="88">
        <v>7484822.7599999998</v>
      </c>
      <c r="N26" s="88">
        <v>7484822.7599999998</v>
      </c>
      <c r="O26" s="88">
        <v>7484822.7599999998</v>
      </c>
      <c r="P26" s="88">
        <v>7484822.7599999998</v>
      </c>
      <c r="Q26" s="88">
        <v>7484822.7599999998</v>
      </c>
      <c r="R26" s="88">
        <v>7484822.7599999998</v>
      </c>
      <c r="S26" s="88">
        <f t="shared" si="0"/>
        <v>89817873.120000005</v>
      </c>
    </row>
    <row r="27" spans="1:19" x14ac:dyDescent="0.3">
      <c r="A27" s="195">
        <v>115</v>
      </c>
      <c r="B27" s="177" t="s">
        <v>162</v>
      </c>
      <c r="C27" s="177" t="s">
        <v>163</v>
      </c>
      <c r="D27" s="201" t="s">
        <v>190</v>
      </c>
      <c r="E27" s="88" t="s">
        <v>191</v>
      </c>
      <c r="F27" s="88">
        <v>0</v>
      </c>
      <c r="G27" s="88">
        <v>-6666383.1399999997</v>
      </c>
      <c r="H27" s="88">
        <v>-6686108.8700000001</v>
      </c>
      <c r="I27" s="88">
        <v>-6705834.5999999996</v>
      </c>
      <c r="J27" s="88">
        <v>-6725560.3300000001</v>
      </c>
      <c r="K27" s="88">
        <v>-6745286.0599999996</v>
      </c>
      <c r="L27" s="88">
        <v>-6765011.79</v>
      </c>
      <c r="M27" s="88">
        <v>-6784737.5199999996</v>
      </c>
      <c r="N27" s="88">
        <v>-6804463.25</v>
      </c>
      <c r="O27" s="88">
        <v>-6824188.9800000004</v>
      </c>
      <c r="P27" s="88">
        <v>-6843914.71</v>
      </c>
      <c r="Q27" s="88">
        <v>-6863640.4400000004</v>
      </c>
      <c r="R27" s="88">
        <v>-6883366.1699999999</v>
      </c>
      <c r="S27" s="88">
        <f t="shared" si="0"/>
        <v>-81298495.859999999</v>
      </c>
    </row>
    <row r="28" spans="1:19" x14ac:dyDescent="0.3">
      <c r="A28" s="195">
        <v>116</v>
      </c>
      <c r="B28" s="177" t="s">
        <v>162</v>
      </c>
      <c r="C28" s="177" t="s">
        <v>163</v>
      </c>
      <c r="D28" s="201" t="s">
        <v>192</v>
      </c>
      <c r="E28" s="88" t="s">
        <v>193</v>
      </c>
      <c r="F28" s="88">
        <v>0</v>
      </c>
      <c r="G28" s="88">
        <v>0</v>
      </c>
      <c r="H28" s="88">
        <v>0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f t="shared" si="0"/>
        <v>0</v>
      </c>
    </row>
    <row r="29" spans="1:19" x14ac:dyDescent="0.3">
      <c r="A29" s="195">
        <v>117</v>
      </c>
      <c r="B29" s="177" t="s">
        <v>162</v>
      </c>
      <c r="C29" s="177" t="s">
        <v>163</v>
      </c>
      <c r="D29" s="201" t="s">
        <v>194</v>
      </c>
      <c r="E29" s="88" t="s">
        <v>195</v>
      </c>
      <c r="F29" s="88">
        <v>0</v>
      </c>
      <c r="G29" s="88">
        <v>0</v>
      </c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f t="shared" si="0"/>
        <v>0</v>
      </c>
    </row>
    <row r="30" spans="1:19" x14ac:dyDescent="0.3">
      <c r="A30" s="195">
        <v>117</v>
      </c>
      <c r="B30" s="177" t="s">
        <v>162</v>
      </c>
      <c r="C30" s="177" t="s">
        <v>163</v>
      </c>
      <c r="D30" s="201" t="s">
        <v>196</v>
      </c>
      <c r="E30" s="88" t="s">
        <v>197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f t="shared" si="0"/>
        <v>0</v>
      </c>
    </row>
    <row r="31" spans="1:19" x14ac:dyDescent="0.3">
      <c r="A31" s="195">
        <v>117</v>
      </c>
      <c r="B31" s="177" t="s">
        <v>162</v>
      </c>
      <c r="C31" s="177" t="s">
        <v>163</v>
      </c>
      <c r="D31" s="201" t="s">
        <v>198</v>
      </c>
      <c r="E31" s="88" t="s">
        <v>199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88">
        <f t="shared" si="0"/>
        <v>0</v>
      </c>
    </row>
    <row r="32" spans="1:19" x14ac:dyDescent="0.3">
      <c r="A32" s="195">
        <v>117</v>
      </c>
      <c r="B32" s="177" t="s">
        <v>162</v>
      </c>
      <c r="C32" s="177" t="s">
        <v>163</v>
      </c>
      <c r="D32" s="201" t="s">
        <v>200</v>
      </c>
      <c r="E32" s="88" t="s">
        <v>201</v>
      </c>
      <c r="F32" s="88">
        <v>0</v>
      </c>
      <c r="G32" s="88">
        <v>0</v>
      </c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f t="shared" si="0"/>
        <v>0</v>
      </c>
    </row>
    <row r="33" spans="1:19" x14ac:dyDescent="0.3">
      <c r="A33" s="195">
        <v>118</v>
      </c>
      <c r="B33" s="177" t="s">
        <v>162</v>
      </c>
      <c r="C33" s="177" t="s">
        <v>163</v>
      </c>
      <c r="D33" s="201" t="s">
        <v>202</v>
      </c>
      <c r="E33" s="88" t="s">
        <v>203</v>
      </c>
      <c r="F33" s="88">
        <v>0</v>
      </c>
      <c r="G33" s="88">
        <v>0</v>
      </c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f t="shared" si="0"/>
        <v>0</v>
      </c>
    </row>
    <row r="34" spans="1:19" x14ac:dyDescent="0.3">
      <c r="A34" s="195">
        <v>119</v>
      </c>
      <c r="B34" s="177" t="s">
        <v>162</v>
      </c>
      <c r="C34" s="177" t="s">
        <v>163</v>
      </c>
      <c r="D34" s="201" t="s">
        <v>204</v>
      </c>
      <c r="E34" s="88" t="s">
        <v>205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f t="shared" si="0"/>
        <v>0</v>
      </c>
    </row>
    <row r="35" spans="1:19" x14ac:dyDescent="0.3">
      <c r="A35" s="195">
        <v>121</v>
      </c>
      <c r="B35" s="177" t="s">
        <v>162</v>
      </c>
      <c r="C35" s="177" t="s">
        <v>163</v>
      </c>
      <c r="D35" s="201" t="s">
        <v>206</v>
      </c>
      <c r="E35" s="88" t="s">
        <v>207</v>
      </c>
      <c r="F35" s="88">
        <v>0</v>
      </c>
      <c r="G35" s="88">
        <v>20727579.199999999</v>
      </c>
      <c r="H35" s="88">
        <v>20836280.739999998</v>
      </c>
      <c r="I35" s="88">
        <v>20944982.280000001</v>
      </c>
      <c r="J35" s="88">
        <v>21053683.82</v>
      </c>
      <c r="K35" s="88">
        <v>21096955.34</v>
      </c>
      <c r="L35" s="88">
        <v>21994252.199999999</v>
      </c>
      <c r="M35" s="88">
        <v>22245140.739999998</v>
      </c>
      <c r="N35" s="88">
        <v>23101551.77</v>
      </c>
      <c r="O35" s="88">
        <v>23227384.440000001</v>
      </c>
      <c r="P35" s="88">
        <v>23348673.66</v>
      </c>
      <c r="Q35" s="88">
        <v>23534508.25</v>
      </c>
      <c r="R35" s="88">
        <v>24137134.539999999</v>
      </c>
      <c r="S35" s="88">
        <f t="shared" si="0"/>
        <v>266248126.97999999</v>
      </c>
    </row>
    <row r="36" spans="1:19" x14ac:dyDescent="0.3">
      <c r="A36" s="195">
        <v>122</v>
      </c>
      <c r="B36" s="177" t="s">
        <v>162</v>
      </c>
      <c r="C36" s="177" t="s">
        <v>163</v>
      </c>
      <c r="D36" s="201" t="s">
        <v>208</v>
      </c>
      <c r="E36" s="88" t="s">
        <v>209</v>
      </c>
      <c r="F36" s="88">
        <v>0</v>
      </c>
      <c r="G36" s="88">
        <v>-7221803.46</v>
      </c>
      <c r="H36" s="88">
        <v>-7305219.7599999998</v>
      </c>
      <c r="I36" s="88">
        <v>-7389359.2999999998</v>
      </c>
      <c r="J36" s="88">
        <v>-7474222.0700000003</v>
      </c>
      <c r="K36" s="88">
        <v>-7494378.0599999996</v>
      </c>
      <c r="L36" s="88">
        <v>-7568917.2999999998</v>
      </c>
      <c r="M36" s="88">
        <v>-7599907.79</v>
      </c>
      <c r="N36" s="88">
        <v>-7639047.0099999998</v>
      </c>
      <c r="O36" s="88">
        <v>-7681663.9400000004</v>
      </c>
      <c r="P36" s="88">
        <v>-7720366.7400000002</v>
      </c>
      <c r="Q36" s="88">
        <v>-7785255.5499999998</v>
      </c>
      <c r="R36" s="88">
        <v>-7869600.8799999999</v>
      </c>
      <c r="S36" s="88">
        <f t="shared" si="0"/>
        <v>-90749741.859999985</v>
      </c>
    </row>
    <row r="37" spans="1:19" x14ac:dyDescent="0.3">
      <c r="A37" s="195">
        <v>123</v>
      </c>
      <c r="B37" s="177" t="s">
        <v>162</v>
      </c>
      <c r="C37" s="177" t="s">
        <v>163</v>
      </c>
      <c r="D37" s="201" t="s">
        <v>210</v>
      </c>
      <c r="E37" s="88" t="s">
        <v>211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f t="shared" si="0"/>
        <v>0</v>
      </c>
    </row>
    <row r="38" spans="1:19" x14ac:dyDescent="0.3">
      <c r="A38" s="195">
        <v>123</v>
      </c>
      <c r="B38" s="177" t="s">
        <v>162</v>
      </c>
      <c r="C38" s="177" t="s">
        <v>163</v>
      </c>
      <c r="D38" s="201" t="s">
        <v>212</v>
      </c>
      <c r="E38" s="88" t="s">
        <v>213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f t="shared" si="0"/>
        <v>0</v>
      </c>
    </row>
    <row r="39" spans="1:19" x14ac:dyDescent="0.3">
      <c r="A39" s="195">
        <v>124</v>
      </c>
      <c r="B39" s="177" t="s">
        <v>162</v>
      </c>
      <c r="C39" s="177" t="s">
        <v>163</v>
      </c>
      <c r="D39" s="201" t="s">
        <v>214</v>
      </c>
      <c r="E39" s="88" t="s">
        <v>215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f t="shared" si="0"/>
        <v>0</v>
      </c>
    </row>
    <row r="40" spans="1:19" x14ac:dyDescent="0.3">
      <c r="A40" s="195">
        <v>125</v>
      </c>
      <c r="B40" s="177" t="s">
        <v>162</v>
      </c>
      <c r="C40" s="177" t="s">
        <v>163</v>
      </c>
      <c r="D40" s="201" t="s">
        <v>216</v>
      </c>
      <c r="E40" s="88" t="s">
        <v>217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f t="shared" si="0"/>
        <v>0</v>
      </c>
    </row>
    <row r="41" spans="1:19" x14ac:dyDescent="0.3">
      <c r="A41" s="195">
        <v>126</v>
      </c>
      <c r="B41" s="177" t="s">
        <v>162</v>
      </c>
      <c r="C41" s="177" t="s">
        <v>163</v>
      </c>
      <c r="D41" s="201" t="s">
        <v>218</v>
      </c>
      <c r="E41" s="88" t="s">
        <v>219</v>
      </c>
      <c r="F41" s="88">
        <v>0</v>
      </c>
      <c r="G41" s="88">
        <v>0</v>
      </c>
      <c r="H41" s="88">
        <v>0</v>
      </c>
      <c r="I41" s="88">
        <v>0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0</v>
      </c>
      <c r="R41" s="88">
        <v>0</v>
      </c>
      <c r="S41" s="88">
        <f t="shared" si="0"/>
        <v>0</v>
      </c>
    </row>
    <row r="42" spans="1:19" x14ac:dyDescent="0.3">
      <c r="A42" s="195">
        <v>127</v>
      </c>
      <c r="B42" s="177" t="s">
        <v>162</v>
      </c>
      <c r="C42" s="177" t="s">
        <v>163</v>
      </c>
      <c r="D42" s="201" t="s">
        <v>220</v>
      </c>
      <c r="E42" s="88" t="s">
        <v>221</v>
      </c>
      <c r="F42" s="88">
        <v>0</v>
      </c>
      <c r="G42" s="88">
        <v>0</v>
      </c>
      <c r="H42" s="88">
        <v>0</v>
      </c>
      <c r="I42" s="88">
        <v>0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8">
        <v>0</v>
      </c>
      <c r="P42" s="88">
        <v>0</v>
      </c>
      <c r="Q42" s="88">
        <v>0</v>
      </c>
      <c r="R42" s="88">
        <v>0</v>
      </c>
      <c r="S42" s="88">
        <f t="shared" si="0"/>
        <v>0</v>
      </c>
    </row>
    <row r="43" spans="1:19" x14ac:dyDescent="0.3">
      <c r="A43" s="195">
        <v>128</v>
      </c>
      <c r="B43" s="177" t="s">
        <v>162</v>
      </c>
      <c r="C43" s="177" t="s">
        <v>163</v>
      </c>
      <c r="D43" s="201" t="s">
        <v>222</v>
      </c>
      <c r="E43" s="88" t="s">
        <v>223</v>
      </c>
      <c r="F43" s="88">
        <v>0</v>
      </c>
      <c r="G43" s="88">
        <v>0</v>
      </c>
      <c r="H43" s="88">
        <v>0</v>
      </c>
      <c r="I43" s="88">
        <v>0</v>
      </c>
      <c r="J43" s="88">
        <v>0</v>
      </c>
      <c r="K43" s="88">
        <v>0</v>
      </c>
      <c r="L43" s="88">
        <v>0</v>
      </c>
      <c r="M43" s="88">
        <v>0</v>
      </c>
      <c r="N43" s="88">
        <v>0</v>
      </c>
      <c r="O43" s="88">
        <v>0</v>
      </c>
      <c r="P43" s="88">
        <v>0</v>
      </c>
      <c r="Q43" s="88">
        <v>0</v>
      </c>
      <c r="R43" s="88">
        <v>0</v>
      </c>
      <c r="S43" s="88">
        <f t="shared" si="0"/>
        <v>0</v>
      </c>
    </row>
    <row r="44" spans="1:19" x14ac:dyDescent="0.3">
      <c r="A44" s="195">
        <v>131</v>
      </c>
      <c r="B44" s="177" t="s">
        <v>162</v>
      </c>
      <c r="C44" s="177" t="s">
        <v>163</v>
      </c>
      <c r="D44" s="201" t="s">
        <v>224</v>
      </c>
      <c r="E44" s="88" t="s">
        <v>225</v>
      </c>
      <c r="F44" s="88">
        <v>0</v>
      </c>
      <c r="G44" s="88">
        <v>1000000</v>
      </c>
      <c r="H44" s="88">
        <v>1000000</v>
      </c>
      <c r="I44" s="88">
        <v>1000000</v>
      </c>
      <c r="J44" s="88">
        <v>1000000</v>
      </c>
      <c r="K44" s="88">
        <v>1000000</v>
      </c>
      <c r="L44" s="88">
        <v>1000000</v>
      </c>
      <c r="M44" s="88">
        <v>1000000</v>
      </c>
      <c r="N44" s="88">
        <v>1000000</v>
      </c>
      <c r="O44" s="88">
        <v>1000000</v>
      </c>
      <c r="P44" s="88">
        <v>1000000</v>
      </c>
      <c r="Q44" s="88">
        <v>1000000</v>
      </c>
      <c r="R44" s="88">
        <v>1000000</v>
      </c>
      <c r="S44" s="88">
        <f t="shared" si="0"/>
        <v>12000000</v>
      </c>
    </row>
    <row r="45" spans="1:19" x14ac:dyDescent="0.3">
      <c r="A45" s="195">
        <v>132</v>
      </c>
      <c r="B45" s="177" t="s">
        <v>162</v>
      </c>
      <c r="C45" s="177" t="s">
        <v>163</v>
      </c>
      <c r="D45" s="201" t="s">
        <v>226</v>
      </c>
      <c r="E45" s="88" t="s">
        <v>227</v>
      </c>
      <c r="F45" s="88">
        <v>0</v>
      </c>
      <c r="G45" s="88">
        <v>0</v>
      </c>
      <c r="H45" s="88">
        <v>0</v>
      </c>
      <c r="I45" s="88">
        <v>0</v>
      </c>
      <c r="J45" s="88">
        <v>0</v>
      </c>
      <c r="K45" s="88">
        <v>0</v>
      </c>
      <c r="L45" s="88">
        <v>0</v>
      </c>
      <c r="M45" s="88">
        <v>0</v>
      </c>
      <c r="N45" s="88">
        <v>0</v>
      </c>
      <c r="O45" s="88">
        <v>0</v>
      </c>
      <c r="P45" s="88">
        <v>0</v>
      </c>
      <c r="Q45" s="88">
        <v>0</v>
      </c>
      <c r="R45" s="88">
        <v>0</v>
      </c>
      <c r="S45" s="88">
        <f t="shared" si="0"/>
        <v>0</v>
      </c>
    </row>
    <row r="46" spans="1:19" x14ac:dyDescent="0.3">
      <c r="A46" s="195">
        <v>133</v>
      </c>
      <c r="B46" s="177" t="s">
        <v>162</v>
      </c>
      <c r="C46" s="177" t="s">
        <v>163</v>
      </c>
      <c r="D46" s="201" t="s">
        <v>228</v>
      </c>
      <c r="E46" s="88" t="s">
        <v>229</v>
      </c>
      <c r="F46" s="88">
        <v>0</v>
      </c>
      <c r="G46" s="88">
        <v>0</v>
      </c>
      <c r="H46" s="88">
        <v>0</v>
      </c>
      <c r="I46" s="88">
        <v>0</v>
      </c>
      <c r="J46" s="88">
        <v>0</v>
      </c>
      <c r="K46" s="88">
        <v>0</v>
      </c>
      <c r="L46" s="88">
        <v>0</v>
      </c>
      <c r="M46" s="88">
        <v>0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  <c r="S46" s="88">
        <f t="shared" si="0"/>
        <v>0</v>
      </c>
    </row>
    <row r="47" spans="1:19" x14ac:dyDescent="0.3">
      <c r="A47" s="195">
        <v>134</v>
      </c>
      <c r="B47" s="177" t="s">
        <v>162</v>
      </c>
      <c r="C47" s="177" t="s">
        <v>163</v>
      </c>
      <c r="D47" s="201" t="s">
        <v>230</v>
      </c>
      <c r="E47" s="88" t="s">
        <v>231</v>
      </c>
      <c r="F47" s="88">
        <v>0</v>
      </c>
      <c r="G47" s="88">
        <v>0</v>
      </c>
      <c r="H47" s="88">
        <v>0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f t="shared" si="0"/>
        <v>0</v>
      </c>
    </row>
    <row r="48" spans="1:19" x14ac:dyDescent="0.3">
      <c r="A48" s="195">
        <v>135</v>
      </c>
      <c r="B48" s="177" t="s">
        <v>162</v>
      </c>
      <c r="C48" s="177" t="s">
        <v>163</v>
      </c>
      <c r="D48" s="201" t="s">
        <v>232</v>
      </c>
      <c r="E48" s="88" t="s">
        <v>233</v>
      </c>
      <c r="F48" s="88">
        <v>0</v>
      </c>
      <c r="G48" s="88">
        <v>52665.39</v>
      </c>
      <c r="H48" s="88">
        <v>52665.39</v>
      </c>
      <c r="I48" s="88">
        <v>52665.39</v>
      </c>
      <c r="J48" s="88">
        <v>52665.39</v>
      </c>
      <c r="K48" s="88">
        <v>52665.39</v>
      </c>
      <c r="L48" s="88">
        <v>52665.39</v>
      </c>
      <c r="M48" s="88">
        <v>52665.39</v>
      </c>
      <c r="N48" s="88">
        <v>52665.39</v>
      </c>
      <c r="O48" s="88">
        <v>52665.39</v>
      </c>
      <c r="P48" s="88">
        <v>52665.39</v>
      </c>
      <c r="Q48" s="88">
        <v>52665.39</v>
      </c>
      <c r="R48" s="88">
        <v>52665.39</v>
      </c>
      <c r="S48" s="88">
        <f t="shared" si="0"/>
        <v>631984.68000000005</v>
      </c>
    </row>
    <row r="49" spans="1:19" x14ac:dyDescent="0.3">
      <c r="A49" s="195">
        <v>136</v>
      </c>
      <c r="B49" s="177" t="s">
        <v>162</v>
      </c>
      <c r="C49" s="177" t="s">
        <v>163</v>
      </c>
      <c r="D49" s="201" t="s">
        <v>234</v>
      </c>
      <c r="E49" s="88" t="s">
        <v>235</v>
      </c>
      <c r="F49" s="88">
        <v>0</v>
      </c>
      <c r="G49" s="88">
        <v>0</v>
      </c>
      <c r="H49" s="88">
        <v>0</v>
      </c>
      <c r="I49" s="88">
        <v>0</v>
      </c>
      <c r="J49" s="88">
        <v>0</v>
      </c>
      <c r="K49" s="88">
        <v>0</v>
      </c>
      <c r="L49" s="88">
        <v>0</v>
      </c>
      <c r="M49" s="88">
        <v>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f t="shared" si="0"/>
        <v>0</v>
      </c>
    </row>
    <row r="50" spans="1:19" x14ac:dyDescent="0.3">
      <c r="A50" s="195">
        <v>141</v>
      </c>
      <c r="B50" s="177" t="s">
        <v>162</v>
      </c>
      <c r="C50" s="177" t="s">
        <v>163</v>
      </c>
      <c r="D50" s="201" t="s">
        <v>236</v>
      </c>
      <c r="E50" s="88" t="s">
        <v>237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f t="shared" si="0"/>
        <v>0</v>
      </c>
    </row>
    <row r="51" spans="1:19" x14ac:dyDescent="0.3">
      <c r="A51" s="195">
        <v>142</v>
      </c>
      <c r="B51" s="177" t="s">
        <v>162</v>
      </c>
      <c r="C51" s="177" t="s">
        <v>163</v>
      </c>
      <c r="D51" s="201" t="s">
        <v>238</v>
      </c>
      <c r="E51" s="88" t="s">
        <v>239</v>
      </c>
      <c r="F51" s="88">
        <v>0</v>
      </c>
      <c r="G51" s="88">
        <v>167026755.46000001</v>
      </c>
      <c r="H51" s="88">
        <v>158599631.69</v>
      </c>
      <c r="I51" s="88">
        <v>141218649.97</v>
      </c>
      <c r="J51" s="88">
        <v>173407536.74000001</v>
      </c>
      <c r="K51" s="88">
        <v>178580379.63</v>
      </c>
      <c r="L51" s="88">
        <v>197710702.53</v>
      </c>
      <c r="M51" s="88">
        <v>231319039.81</v>
      </c>
      <c r="N51" s="88">
        <v>219115326.53</v>
      </c>
      <c r="O51" s="88">
        <v>248162996.79499999</v>
      </c>
      <c r="P51" s="88">
        <v>208494760.51499999</v>
      </c>
      <c r="Q51" s="88">
        <v>190417939.42500001</v>
      </c>
      <c r="R51" s="88">
        <v>188387489.55500001</v>
      </c>
      <c r="S51" s="88">
        <f t="shared" si="0"/>
        <v>2302441208.6500001</v>
      </c>
    </row>
    <row r="52" spans="1:19" x14ac:dyDescent="0.3">
      <c r="A52" s="195">
        <v>143</v>
      </c>
      <c r="B52" s="177" t="s">
        <v>162</v>
      </c>
      <c r="C52" s="177" t="s">
        <v>163</v>
      </c>
      <c r="D52" s="201" t="s">
        <v>240</v>
      </c>
      <c r="E52" s="88" t="s">
        <v>241</v>
      </c>
      <c r="F52" s="88">
        <v>0</v>
      </c>
      <c r="G52" s="88">
        <v>7200000</v>
      </c>
      <c r="H52" s="88">
        <v>7200000</v>
      </c>
      <c r="I52" s="88">
        <v>7200000</v>
      </c>
      <c r="J52" s="88">
        <v>7100000</v>
      </c>
      <c r="K52" s="88">
        <v>7200000</v>
      </c>
      <c r="L52" s="88">
        <v>7100000</v>
      </c>
      <c r="M52" s="88">
        <v>7100000</v>
      </c>
      <c r="N52" s="88">
        <v>7100000</v>
      </c>
      <c r="O52" s="88">
        <v>7200000</v>
      </c>
      <c r="P52" s="88">
        <v>7200000</v>
      </c>
      <c r="Q52" s="88">
        <v>7200000</v>
      </c>
      <c r="R52" s="88">
        <v>7200000</v>
      </c>
      <c r="S52" s="88">
        <f t="shared" si="0"/>
        <v>86000000</v>
      </c>
    </row>
    <row r="53" spans="1:19" x14ac:dyDescent="0.3">
      <c r="A53" s="195">
        <v>144</v>
      </c>
      <c r="B53" s="177" t="s">
        <v>162</v>
      </c>
      <c r="C53" s="177" t="s">
        <v>163</v>
      </c>
      <c r="D53" s="201" t="s">
        <v>242</v>
      </c>
      <c r="E53" s="88" t="s">
        <v>243</v>
      </c>
      <c r="F53" s="88">
        <v>0</v>
      </c>
      <c r="G53" s="88">
        <v>-1639484.5016987999</v>
      </c>
      <c r="H53" s="88">
        <v>-1620032.5984920999</v>
      </c>
      <c r="I53" s="88">
        <v>-1605694.2692799</v>
      </c>
      <c r="J53" s="88">
        <v>-1630103.9525816001</v>
      </c>
      <c r="K53" s="88">
        <v>-1652991.0261351999</v>
      </c>
      <c r="L53" s="88">
        <v>-1681728.2164725</v>
      </c>
      <c r="M53" s="88">
        <v>-1706276.0885945</v>
      </c>
      <c r="N53" s="88">
        <v>-1698215.0773181</v>
      </c>
      <c r="O53" s="88">
        <v>-1704077.4754979999</v>
      </c>
      <c r="P53" s="88">
        <v>-1677228.5469511</v>
      </c>
      <c r="Q53" s="88">
        <v>-1643422.6801761</v>
      </c>
      <c r="R53" s="88">
        <v>-1632918.6677135001</v>
      </c>
      <c r="S53" s="88">
        <f t="shared" si="0"/>
        <v>-19892173.100911401</v>
      </c>
    </row>
    <row r="54" spans="1:19" x14ac:dyDescent="0.3">
      <c r="A54" s="195">
        <v>145</v>
      </c>
      <c r="B54" s="177" t="s">
        <v>162</v>
      </c>
      <c r="C54" s="177" t="s">
        <v>163</v>
      </c>
      <c r="D54" s="201" t="s">
        <v>244</v>
      </c>
      <c r="E54" s="88" t="s">
        <v>245</v>
      </c>
      <c r="F54" s="88">
        <v>0</v>
      </c>
      <c r="G54" s="88">
        <v>0</v>
      </c>
      <c r="H54" s="88">
        <v>0</v>
      </c>
      <c r="I54" s="88">
        <v>0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0</v>
      </c>
      <c r="S54" s="88">
        <f t="shared" si="0"/>
        <v>0</v>
      </c>
    </row>
    <row r="55" spans="1:19" x14ac:dyDescent="0.3">
      <c r="A55" s="195">
        <v>146</v>
      </c>
      <c r="B55" s="177" t="s">
        <v>162</v>
      </c>
      <c r="C55" s="177" t="s">
        <v>163</v>
      </c>
      <c r="D55" s="201" t="s">
        <v>246</v>
      </c>
      <c r="E55" s="88" t="s">
        <v>247</v>
      </c>
      <c r="F55" s="88">
        <v>0</v>
      </c>
      <c r="G55" s="88">
        <v>13751354.941899501</v>
      </c>
      <c r="H55" s="88">
        <v>13751515.5353876</v>
      </c>
      <c r="I55" s="88">
        <v>13759947.275460601</v>
      </c>
      <c r="J55" s="88">
        <v>13761375.4136294</v>
      </c>
      <c r="K55" s="88">
        <v>13614379.7069715</v>
      </c>
      <c r="L55" s="88">
        <v>13529963.749572299</v>
      </c>
      <c r="M55" s="88">
        <v>13593367.8210476</v>
      </c>
      <c r="N55" s="88">
        <v>13739843.954431299</v>
      </c>
      <c r="O55" s="88">
        <v>13935712.287013801</v>
      </c>
      <c r="P55" s="88">
        <v>13860812.0012816</v>
      </c>
      <c r="Q55" s="88">
        <v>13972875.080281001</v>
      </c>
      <c r="R55" s="88">
        <v>13959856.422638301</v>
      </c>
      <c r="S55" s="88">
        <f t="shared" si="0"/>
        <v>165231004.18961447</v>
      </c>
    </row>
    <row r="56" spans="1:19" x14ac:dyDescent="0.3">
      <c r="A56" s="195">
        <v>151</v>
      </c>
      <c r="B56" s="177" t="s">
        <v>162</v>
      </c>
      <c r="C56" s="177" t="s">
        <v>163</v>
      </c>
      <c r="D56" s="201" t="s">
        <v>248</v>
      </c>
      <c r="E56" s="88" t="s">
        <v>249</v>
      </c>
      <c r="F56" s="88">
        <v>0</v>
      </c>
      <c r="G56" s="88">
        <v>36224000</v>
      </c>
      <c r="H56" s="88">
        <v>38057000</v>
      </c>
      <c r="I56" s="88">
        <v>39096000</v>
      </c>
      <c r="J56" s="88">
        <v>38325000</v>
      </c>
      <c r="K56" s="88">
        <v>38901000</v>
      </c>
      <c r="L56" s="88">
        <v>39506000</v>
      </c>
      <c r="M56" s="88">
        <v>33568000</v>
      </c>
      <c r="N56" s="88">
        <v>31375000</v>
      </c>
      <c r="O56" s="88">
        <v>32213000</v>
      </c>
      <c r="P56" s="88">
        <v>32816000</v>
      </c>
      <c r="Q56" s="88">
        <v>34762000</v>
      </c>
      <c r="R56" s="88">
        <v>35384000</v>
      </c>
      <c r="S56" s="88">
        <f t="shared" si="0"/>
        <v>430227000</v>
      </c>
    </row>
    <row r="57" spans="1:19" x14ac:dyDescent="0.3">
      <c r="A57" s="195">
        <v>152</v>
      </c>
      <c r="B57" s="177" t="s">
        <v>162</v>
      </c>
      <c r="C57" s="177" t="s">
        <v>163</v>
      </c>
      <c r="D57" s="201" t="s">
        <v>250</v>
      </c>
      <c r="E57" s="88" t="s">
        <v>251</v>
      </c>
      <c r="F57" s="88">
        <v>0</v>
      </c>
      <c r="G57" s="88">
        <v>0</v>
      </c>
      <c r="H57" s="88">
        <v>0</v>
      </c>
      <c r="I57" s="88">
        <v>0</v>
      </c>
      <c r="J57" s="88">
        <v>0</v>
      </c>
      <c r="K57" s="88">
        <v>0</v>
      </c>
      <c r="L57" s="88">
        <v>0</v>
      </c>
      <c r="M57" s="88">
        <v>0</v>
      </c>
      <c r="N57" s="88">
        <v>0</v>
      </c>
      <c r="O57" s="88">
        <v>0</v>
      </c>
      <c r="P57" s="88">
        <v>0</v>
      </c>
      <c r="Q57" s="88">
        <v>0</v>
      </c>
      <c r="R57" s="88">
        <v>0</v>
      </c>
      <c r="S57" s="88">
        <f t="shared" si="0"/>
        <v>0</v>
      </c>
    </row>
    <row r="58" spans="1:19" x14ac:dyDescent="0.3">
      <c r="A58" s="195">
        <v>153</v>
      </c>
      <c r="B58" s="177" t="s">
        <v>162</v>
      </c>
      <c r="C58" s="177" t="s">
        <v>163</v>
      </c>
      <c r="D58" s="201" t="s">
        <v>252</v>
      </c>
      <c r="E58" s="88" t="s">
        <v>253</v>
      </c>
      <c r="F58" s="88">
        <v>0</v>
      </c>
      <c r="G58" s="88">
        <v>0</v>
      </c>
      <c r="H58" s="88">
        <v>0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f t="shared" si="0"/>
        <v>0</v>
      </c>
    </row>
    <row r="59" spans="1:19" x14ac:dyDescent="0.3">
      <c r="A59" s="195">
        <v>154</v>
      </c>
      <c r="B59" s="177" t="s">
        <v>162</v>
      </c>
      <c r="C59" s="177" t="s">
        <v>163</v>
      </c>
      <c r="D59" s="201" t="s">
        <v>254</v>
      </c>
      <c r="E59" s="88" t="s">
        <v>255</v>
      </c>
      <c r="F59" s="88">
        <v>0</v>
      </c>
      <c r="G59" s="88">
        <v>179405887.5</v>
      </c>
      <c r="H59" s="88">
        <v>177898275</v>
      </c>
      <c r="I59" s="88">
        <v>176390662.5</v>
      </c>
      <c r="J59" s="88">
        <v>174883050</v>
      </c>
      <c r="K59" s="88">
        <v>173375437.5</v>
      </c>
      <c r="L59" s="88">
        <v>171867825</v>
      </c>
      <c r="M59" s="88">
        <v>170360212.5</v>
      </c>
      <c r="N59" s="88">
        <v>168852600</v>
      </c>
      <c r="O59" s="88">
        <v>167344987.5</v>
      </c>
      <c r="P59" s="88">
        <v>165837375</v>
      </c>
      <c r="Q59" s="88">
        <v>164329762.5</v>
      </c>
      <c r="R59" s="88">
        <v>162822150</v>
      </c>
      <c r="S59" s="88">
        <f t="shared" si="0"/>
        <v>2053368225</v>
      </c>
    </row>
    <row r="60" spans="1:19" x14ac:dyDescent="0.3">
      <c r="A60" s="195">
        <v>155</v>
      </c>
      <c r="B60" s="177" t="s">
        <v>162</v>
      </c>
      <c r="C60" s="177" t="s">
        <v>163</v>
      </c>
      <c r="D60" s="201" t="s">
        <v>256</v>
      </c>
      <c r="E60" s="88" t="s">
        <v>257</v>
      </c>
      <c r="F60" s="88">
        <v>0</v>
      </c>
      <c r="G60" s="88">
        <v>0</v>
      </c>
      <c r="H60" s="88">
        <v>0</v>
      </c>
      <c r="I60" s="88">
        <v>0</v>
      </c>
      <c r="J60" s="88">
        <v>0</v>
      </c>
      <c r="K60" s="88">
        <v>0</v>
      </c>
      <c r="L60" s="88">
        <v>0</v>
      </c>
      <c r="M60" s="88">
        <v>0</v>
      </c>
      <c r="N60" s="88">
        <v>0</v>
      </c>
      <c r="O60" s="88">
        <v>0</v>
      </c>
      <c r="P60" s="88">
        <v>0</v>
      </c>
      <c r="Q60" s="88">
        <v>0</v>
      </c>
      <c r="R60" s="88">
        <v>0</v>
      </c>
      <c r="S60" s="88">
        <f t="shared" si="0"/>
        <v>0</v>
      </c>
    </row>
    <row r="61" spans="1:19" x14ac:dyDescent="0.3">
      <c r="A61" s="195">
        <v>156</v>
      </c>
      <c r="B61" s="177" t="s">
        <v>162</v>
      </c>
      <c r="C61" s="177" t="s">
        <v>163</v>
      </c>
      <c r="D61" s="201" t="s">
        <v>258</v>
      </c>
      <c r="E61" s="88" t="s">
        <v>259</v>
      </c>
      <c r="F61" s="88">
        <v>0</v>
      </c>
      <c r="G61" s="88">
        <v>0</v>
      </c>
      <c r="H61" s="88">
        <v>0</v>
      </c>
      <c r="I61" s="88">
        <v>0</v>
      </c>
      <c r="J61" s="88">
        <v>0</v>
      </c>
      <c r="K61" s="88">
        <v>0</v>
      </c>
      <c r="L61" s="88">
        <v>0</v>
      </c>
      <c r="M61" s="88">
        <v>0</v>
      </c>
      <c r="N61" s="88">
        <v>0</v>
      </c>
      <c r="O61" s="88">
        <v>0</v>
      </c>
      <c r="P61" s="88">
        <v>0</v>
      </c>
      <c r="Q61" s="88">
        <v>0</v>
      </c>
      <c r="R61" s="88">
        <v>0</v>
      </c>
      <c r="S61" s="88">
        <f t="shared" si="0"/>
        <v>0</v>
      </c>
    </row>
    <row r="62" spans="1:19" x14ac:dyDescent="0.3">
      <c r="A62" s="195">
        <v>158</v>
      </c>
      <c r="B62" s="177" t="s">
        <v>162</v>
      </c>
      <c r="C62" s="177" t="s">
        <v>163</v>
      </c>
      <c r="D62" s="201" t="s">
        <v>260</v>
      </c>
      <c r="E62" s="88" t="s">
        <v>261</v>
      </c>
      <c r="F62" s="88">
        <v>0</v>
      </c>
      <c r="G62" s="88">
        <v>0</v>
      </c>
      <c r="H62" s="88">
        <v>0</v>
      </c>
      <c r="I62" s="88">
        <v>0</v>
      </c>
      <c r="J62" s="88">
        <v>0</v>
      </c>
      <c r="K62" s="88">
        <v>0</v>
      </c>
      <c r="L62" s="88">
        <v>0</v>
      </c>
      <c r="M62" s="88">
        <v>0</v>
      </c>
      <c r="N62" s="88">
        <v>0</v>
      </c>
      <c r="O62" s="88">
        <v>0</v>
      </c>
      <c r="P62" s="88">
        <v>0</v>
      </c>
      <c r="Q62" s="88">
        <v>0</v>
      </c>
      <c r="R62" s="88">
        <v>0</v>
      </c>
      <c r="S62" s="88">
        <f t="shared" si="0"/>
        <v>0</v>
      </c>
    </row>
    <row r="63" spans="1:19" x14ac:dyDescent="0.3">
      <c r="A63" s="195">
        <v>158</v>
      </c>
      <c r="B63" s="177" t="s">
        <v>162</v>
      </c>
      <c r="C63" s="177" t="s">
        <v>163</v>
      </c>
      <c r="D63" s="201" t="s">
        <v>262</v>
      </c>
      <c r="E63" s="88" t="s">
        <v>263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  <c r="K63" s="88">
        <v>0</v>
      </c>
      <c r="L63" s="88">
        <v>0</v>
      </c>
      <c r="M63" s="88">
        <v>0</v>
      </c>
      <c r="N63" s="88">
        <v>0</v>
      </c>
      <c r="O63" s="88">
        <v>0</v>
      </c>
      <c r="P63" s="88">
        <v>0</v>
      </c>
      <c r="Q63" s="88">
        <v>0</v>
      </c>
      <c r="R63" s="88">
        <v>0</v>
      </c>
      <c r="S63" s="88">
        <f t="shared" si="0"/>
        <v>0</v>
      </c>
    </row>
    <row r="64" spans="1:19" x14ac:dyDescent="0.3">
      <c r="A64" s="195">
        <v>163</v>
      </c>
      <c r="B64" s="177" t="s">
        <v>162</v>
      </c>
      <c r="C64" s="177" t="s">
        <v>163</v>
      </c>
      <c r="D64" s="201" t="s">
        <v>264</v>
      </c>
      <c r="E64" s="88" t="s">
        <v>265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  <c r="S64" s="88">
        <f t="shared" si="0"/>
        <v>0</v>
      </c>
    </row>
    <row r="65" spans="1:19" x14ac:dyDescent="0.3">
      <c r="A65" s="195">
        <v>164</v>
      </c>
      <c r="B65" s="177" t="s">
        <v>162</v>
      </c>
      <c r="C65" s="177" t="s">
        <v>163</v>
      </c>
      <c r="D65" s="201" t="s">
        <v>266</v>
      </c>
      <c r="E65" s="88" t="s">
        <v>267</v>
      </c>
      <c r="F65" s="88">
        <v>0</v>
      </c>
      <c r="G65" s="88">
        <v>0</v>
      </c>
      <c r="H65" s="88">
        <v>0</v>
      </c>
      <c r="I65" s="88">
        <v>0</v>
      </c>
      <c r="J65" s="88">
        <v>0</v>
      </c>
      <c r="K65" s="88">
        <v>0</v>
      </c>
      <c r="L65" s="88">
        <v>0</v>
      </c>
      <c r="M65" s="88">
        <v>0</v>
      </c>
      <c r="N65" s="88">
        <v>0</v>
      </c>
      <c r="O65" s="88">
        <v>0</v>
      </c>
      <c r="P65" s="88">
        <v>0</v>
      </c>
      <c r="Q65" s="88">
        <v>0</v>
      </c>
      <c r="R65" s="88">
        <v>0</v>
      </c>
      <c r="S65" s="88">
        <f t="shared" si="0"/>
        <v>0</v>
      </c>
    </row>
    <row r="66" spans="1:19" x14ac:dyDescent="0.3">
      <c r="A66" s="195">
        <v>164</v>
      </c>
      <c r="B66" s="177" t="s">
        <v>162</v>
      </c>
      <c r="C66" s="177" t="s">
        <v>163</v>
      </c>
      <c r="D66" s="201" t="s">
        <v>268</v>
      </c>
      <c r="E66" s="88" t="s">
        <v>269</v>
      </c>
      <c r="F66" s="88">
        <v>0</v>
      </c>
      <c r="G66" s="88">
        <v>0</v>
      </c>
      <c r="H66" s="88">
        <v>0</v>
      </c>
      <c r="I66" s="88">
        <v>0</v>
      </c>
      <c r="J66" s="88">
        <v>0</v>
      </c>
      <c r="K66" s="88">
        <v>0</v>
      </c>
      <c r="L66" s="88">
        <v>0</v>
      </c>
      <c r="M66" s="88">
        <v>0</v>
      </c>
      <c r="N66" s="88">
        <v>0</v>
      </c>
      <c r="O66" s="88">
        <v>0</v>
      </c>
      <c r="P66" s="88">
        <v>0</v>
      </c>
      <c r="Q66" s="88">
        <v>0</v>
      </c>
      <c r="R66" s="88">
        <v>0</v>
      </c>
      <c r="S66" s="88">
        <f t="shared" si="0"/>
        <v>0</v>
      </c>
    </row>
    <row r="67" spans="1:19" x14ac:dyDescent="0.3">
      <c r="A67" s="195">
        <v>164</v>
      </c>
      <c r="B67" s="177" t="s">
        <v>162</v>
      </c>
      <c r="C67" s="177" t="s">
        <v>163</v>
      </c>
      <c r="D67" s="201" t="s">
        <v>270</v>
      </c>
      <c r="E67" s="88" t="s">
        <v>271</v>
      </c>
      <c r="F67" s="88">
        <v>0</v>
      </c>
      <c r="G67" s="88">
        <v>0</v>
      </c>
      <c r="H67" s="88">
        <v>0</v>
      </c>
      <c r="I67" s="88">
        <v>0</v>
      </c>
      <c r="J67" s="88">
        <v>0</v>
      </c>
      <c r="K67" s="88">
        <v>0</v>
      </c>
      <c r="L67" s="88">
        <v>0</v>
      </c>
      <c r="M67" s="88">
        <v>0</v>
      </c>
      <c r="N67" s="88">
        <v>0</v>
      </c>
      <c r="O67" s="88">
        <v>0</v>
      </c>
      <c r="P67" s="88">
        <v>0</v>
      </c>
      <c r="Q67" s="88">
        <v>0</v>
      </c>
      <c r="R67" s="88">
        <v>0</v>
      </c>
      <c r="S67" s="88">
        <f t="shared" si="0"/>
        <v>0</v>
      </c>
    </row>
    <row r="68" spans="1:19" x14ac:dyDescent="0.3">
      <c r="A68" s="195">
        <v>165</v>
      </c>
      <c r="B68" s="177" t="s">
        <v>162</v>
      </c>
      <c r="C68" s="177" t="s">
        <v>163</v>
      </c>
      <c r="D68" s="201" t="s">
        <v>272</v>
      </c>
      <c r="E68" s="88" t="s">
        <v>273</v>
      </c>
      <c r="F68" s="88">
        <v>0</v>
      </c>
      <c r="G68" s="88">
        <v>28177090.200177401</v>
      </c>
      <c r="H68" s="88">
        <v>23522122.7058357</v>
      </c>
      <c r="I68" s="88">
        <v>35680297.692524701</v>
      </c>
      <c r="J68" s="88">
        <v>32504682.451158799</v>
      </c>
      <c r="K68" s="88">
        <v>25244289.238329601</v>
      </c>
      <c r="L68" s="88">
        <v>39573621.804005504</v>
      </c>
      <c r="M68" s="88">
        <v>38815935.346875198</v>
      </c>
      <c r="N68" s="88">
        <v>34982420.990328401</v>
      </c>
      <c r="O68" s="88">
        <v>30675211.2511876</v>
      </c>
      <c r="P68" s="88">
        <v>28135147.614480201</v>
      </c>
      <c r="Q68" s="88">
        <v>24562406.5761999</v>
      </c>
      <c r="R68" s="88">
        <v>23846321.866719801</v>
      </c>
      <c r="S68" s="88">
        <f t="shared" si="0"/>
        <v>365719547.73782277</v>
      </c>
    </row>
    <row r="69" spans="1:19" x14ac:dyDescent="0.3">
      <c r="A69" s="195">
        <v>171</v>
      </c>
      <c r="B69" s="177" t="s">
        <v>162</v>
      </c>
      <c r="C69" s="177" t="s">
        <v>163</v>
      </c>
      <c r="D69" s="201" t="s">
        <v>274</v>
      </c>
      <c r="E69" s="88" t="s">
        <v>275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f t="shared" si="0"/>
        <v>0</v>
      </c>
    </row>
    <row r="70" spans="1:19" x14ac:dyDescent="0.3">
      <c r="A70" s="195">
        <v>172</v>
      </c>
      <c r="B70" s="177" t="s">
        <v>162</v>
      </c>
      <c r="C70" s="177" t="s">
        <v>163</v>
      </c>
      <c r="D70" s="201" t="s">
        <v>276</v>
      </c>
      <c r="E70" s="88" t="s">
        <v>277</v>
      </c>
      <c r="F70" s="88">
        <v>0</v>
      </c>
      <c r="G70" s="88">
        <v>0</v>
      </c>
      <c r="H70" s="88">
        <v>0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f t="shared" si="0"/>
        <v>0</v>
      </c>
    </row>
    <row r="71" spans="1:19" x14ac:dyDescent="0.3">
      <c r="A71" s="195">
        <v>173</v>
      </c>
      <c r="B71" s="177" t="s">
        <v>162</v>
      </c>
      <c r="C71" s="177" t="s">
        <v>163</v>
      </c>
      <c r="D71" s="201" t="s">
        <v>278</v>
      </c>
      <c r="E71" s="88" t="s">
        <v>279</v>
      </c>
      <c r="F71" s="88">
        <v>0</v>
      </c>
      <c r="G71" s="88">
        <v>71079751.560000107</v>
      </c>
      <c r="H71" s="88">
        <v>66032394.3400001</v>
      </c>
      <c r="I71" s="88">
        <v>70703378.190000102</v>
      </c>
      <c r="J71" s="88">
        <v>75099687.950000107</v>
      </c>
      <c r="K71" s="88">
        <v>85408993.080000103</v>
      </c>
      <c r="L71" s="88">
        <v>88965577.760000095</v>
      </c>
      <c r="M71" s="88">
        <v>91406855.650000095</v>
      </c>
      <c r="N71" s="88">
        <v>96000638.670000106</v>
      </c>
      <c r="O71" s="88">
        <v>87003010.560000002</v>
      </c>
      <c r="P71" s="88">
        <v>82052839.860000104</v>
      </c>
      <c r="Q71" s="88">
        <v>72936599.240000099</v>
      </c>
      <c r="R71" s="88">
        <v>73385642.000000104</v>
      </c>
      <c r="S71" s="88">
        <f t="shared" si="0"/>
        <v>960075368.86000109</v>
      </c>
    </row>
    <row r="72" spans="1:19" x14ac:dyDescent="0.3">
      <c r="A72" s="195">
        <v>174</v>
      </c>
      <c r="B72" s="177" t="s">
        <v>162</v>
      </c>
      <c r="C72" s="177" t="s">
        <v>163</v>
      </c>
      <c r="D72" s="201" t="s">
        <v>280</v>
      </c>
      <c r="E72" s="88" t="s">
        <v>281</v>
      </c>
      <c r="F72" s="88">
        <v>0</v>
      </c>
      <c r="G72" s="88">
        <v>0</v>
      </c>
      <c r="H72" s="88">
        <v>0</v>
      </c>
      <c r="I72" s="88">
        <v>0</v>
      </c>
      <c r="J72" s="88">
        <v>0</v>
      </c>
      <c r="K72" s="88">
        <v>0</v>
      </c>
      <c r="L72" s="88">
        <v>0</v>
      </c>
      <c r="M72" s="88">
        <v>0</v>
      </c>
      <c r="N72" s="88">
        <v>0</v>
      </c>
      <c r="O72" s="88">
        <v>0</v>
      </c>
      <c r="P72" s="88">
        <v>0</v>
      </c>
      <c r="Q72" s="88">
        <v>0</v>
      </c>
      <c r="R72" s="88">
        <v>0</v>
      </c>
      <c r="S72" s="88">
        <f t="shared" si="0"/>
        <v>0</v>
      </c>
    </row>
    <row r="73" spans="1:19" x14ac:dyDescent="0.3">
      <c r="A73" s="195">
        <v>176</v>
      </c>
      <c r="B73" s="177" t="s">
        <v>162</v>
      </c>
      <c r="C73" s="177" t="s">
        <v>163</v>
      </c>
      <c r="D73" s="201" t="s">
        <v>282</v>
      </c>
      <c r="E73" s="88" t="s">
        <v>283</v>
      </c>
      <c r="F73" s="88">
        <v>0</v>
      </c>
      <c r="G73" s="88">
        <v>528000</v>
      </c>
      <c r="H73" s="88">
        <v>528000</v>
      </c>
      <c r="I73" s="88">
        <v>528000</v>
      </c>
      <c r="J73" s="88">
        <v>528000</v>
      </c>
      <c r="K73" s="88">
        <v>528000</v>
      </c>
      <c r="L73" s="88">
        <v>528000</v>
      </c>
      <c r="M73" s="88">
        <v>528000</v>
      </c>
      <c r="N73" s="88">
        <v>528000</v>
      </c>
      <c r="O73" s="88">
        <v>528000</v>
      </c>
      <c r="P73" s="88">
        <v>528000</v>
      </c>
      <c r="Q73" s="88">
        <v>528000</v>
      </c>
      <c r="R73" s="88">
        <v>528000</v>
      </c>
      <c r="S73" s="88">
        <f t="shared" si="0"/>
        <v>6336000</v>
      </c>
    </row>
    <row r="74" spans="1:19" x14ac:dyDescent="0.3">
      <c r="A74" s="195">
        <v>181</v>
      </c>
      <c r="B74" s="177" t="s">
        <v>162</v>
      </c>
      <c r="C74" s="177" t="s">
        <v>163</v>
      </c>
      <c r="D74" s="201" t="s">
        <v>284</v>
      </c>
      <c r="E74" s="88" t="s">
        <v>285</v>
      </c>
      <c r="F74" s="88">
        <v>0</v>
      </c>
      <c r="G74" s="88">
        <v>30067734.109999999</v>
      </c>
      <c r="H74" s="88">
        <v>29839222.68</v>
      </c>
      <c r="I74" s="88">
        <v>29619032.219999999</v>
      </c>
      <c r="J74" s="88">
        <v>29398841.760000002</v>
      </c>
      <c r="K74" s="88">
        <v>29178651.300000001</v>
      </c>
      <c r="L74" s="88">
        <v>28958460.84</v>
      </c>
      <c r="M74" s="88">
        <v>28801550.34</v>
      </c>
      <c r="N74" s="88">
        <v>28644639.84</v>
      </c>
      <c r="O74" s="88">
        <v>28487729.34</v>
      </c>
      <c r="P74" s="88">
        <v>28330818.84</v>
      </c>
      <c r="Q74" s="88">
        <v>28173908.34</v>
      </c>
      <c r="R74" s="88">
        <v>28016997.84</v>
      </c>
      <c r="S74" s="88">
        <f t="shared" si="0"/>
        <v>347517587.44999993</v>
      </c>
    </row>
    <row r="75" spans="1:19" x14ac:dyDescent="0.3">
      <c r="A75" s="195">
        <v>182</v>
      </c>
      <c r="B75" s="177" t="s">
        <v>162</v>
      </c>
      <c r="C75" s="177" t="s">
        <v>163</v>
      </c>
      <c r="D75" s="201" t="s">
        <v>286</v>
      </c>
      <c r="E75" s="88" t="s">
        <v>287</v>
      </c>
      <c r="F75" s="88">
        <v>0</v>
      </c>
      <c r="G75" s="88">
        <v>0</v>
      </c>
      <c r="H75" s="88">
        <v>0</v>
      </c>
      <c r="I75" s="88">
        <v>0</v>
      </c>
      <c r="J75" s="88">
        <v>0</v>
      </c>
      <c r="K75" s="88">
        <v>0</v>
      </c>
      <c r="L75" s="88">
        <v>0</v>
      </c>
      <c r="M75" s="88">
        <v>0</v>
      </c>
      <c r="N75" s="88">
        <v>0</v>
      </c>
      <c r="O75" s="88">
        <v>0</v>
      </c>
      <c r="P75" s="88">
        <v>0</v>
      </c>
      <c r="Q75" s="88">
        <v>0</v>
      </c>
      <c r="R75" s="88">
        <v>0</v>
      </c>
      <c r="S75" s="88">
        <f t="shared" si="0"/>
        <v>0</v>
      </c>
    </row>
    <row r="76" spans="1:19" x14ac:dyDescent="0.3">
      <c r="A76" s="195">
        <v>182</v>
      </c>
      <c r="B76" s="177" t="s">
        <v>162</v>
      </c>
      <c r="C76" s="177" t="s">
        <v>163</v>
      </c>
      <c r="D76" s="201" t="s">
        <v>288</v>
      </c>
      <c r="E76" s="88" t="s">
        <v>289</v>
      </c>
      <c r="F76" s="88">
        <v>0</v>
      </c>
      <c r="G76" s="88">
        <v>512814578.6299994</v>
      </c>
      <c r="H76" s="88">
        <v>513614991.78999978</v>
      </c>
      <c r="I76" s="88">
        <v>514338462.95999992</v>
      </c>
      <c r="J76" s="88">
        <v>514573233.0999999</v>
      </c>
      <c r="K76" s="88">
        <v>514322621.2700001</v>
      </c>
      <c r="L76" s="88">
        <v>514005933.42000002</v>
      </c>
      <c r="M76" s="88">
        <v>513975245.57999963</v>
      </c>
      <c r="N76" s="88">
        <v>513397557.75999957</v>
      </c>
      <c r="O76" s="88">
        <v>512868129.91000003</v>
      </c>
      <c r="P76" s="88">
        <v>512453392.06999969</v>
      </c>
      <c r="Q76" s="88">
        <v>512025704.21999949</v>
      </c>
      <c r="R76" s="88">
        <v>513605341.39999968</v>
      </c>
      <c r="S76" s="88">
        <f t="shared" si="0"/>
        <v>6161995192.1099968</v>
      </c>
    </row>
    <row r="77" spans="1:19" x14ac:dyDescent="0.3">
      <c r="A77" s="195">
        <v>182</v>
      </c>
      <c r="B77" s="177" t="s">
        <v>162</v>
      </c>
      <c r="C77" s="177" t="s">
        <v>163</v>
      </c>
      <c r="D77" s="201" t="s">
        <v>290</v>
      </c>
      <c r="E77" s="88" t="s">
        <v>291</v>
      </c>
      <c r="F77" s="88">
        <v>0</v>
      </c>
      <c r="G77" s="88">
        <v>467884682.62685812</v>
      </c>
      <c r="H77" s="88">
        <v>459650324.66472018</v>
      </c>
      <c r="I77" s="88">
        <v>452691377.15651381</v>
      </c>
      <c r="J77" s="88">
        <v>440939204.5958792</v>
      </c>
      <c r="K77" s="88">
        <v>431466735.69137329</v>
      </c>
      <c r="L77" s="88">
        <v>415698019.85442138</v>
      </c>
      <c r="M77" s="88">
        <v>399744973.19120038</v>
      </c>
      <c r="N77" s="88">
        <v>385915293.73562521</v>
      </c>
      <c r="O77" s="88">
        <v>379939767.70568168</v>
      </c>
      <c r="P77" s="88">
        <v>379405269.2932353</v>
      </c>
      <c r="Q77" s="88">
        <v>379106571.60873288</v>
      </c>
      <c r="R77" s="88">
        <v>378787084.83279461</v>
      </c>
      <c r="S77" s="88">
        <f t="shared" si="0"/>
        <v>4971229304.9570351</v>
      </c>
    </row>
    <row r="78" spans="1:19" x14ac:dyDescent="0.3">
      <c r="A78" s="195">
        <v>183</v>
      </c>
      <c r="B78" s="177" t="s">
        <v>162</v>
      </c>
      <c r="C78" s="177" t="s">
        <v>163</v>
      </c>
      <c r="D78" s="201" t="s">
        <v>292</v>
      </c>
      <c r="E78" s="88" t="s">
        <v>293</v>
      </c>
      <c r="F78" s="88">
        <v>0</v>
      </c>
      <c r="G78" s="88">
        <v>11176821.550000001</v>
      </c>
      <c r="H78" s="88">
        <v>12283821.550000001</v>
      </c>
      <c r="I78" s="88">
        <v>13665821.550000001</v>
      </c>
      <c r="J78" s="88">
        <v>14648821.550000001</v>
      </c>
      <c r="K78" s="88">
        <v>15664821.550000001</v>
      </c>
      <c r="L78" s="88">
        <v>16519821.550000001</v>
      </c>
      <c r="M78" s="88">
        <v>16971821.550000001</v>
      </c>
      <c r="N78" s="88">
        <v>17607821.550000001</v>
      </c>
      <c r="O78" s="88">
        <v>17908821.550000001</v>
      </c>
      <c r="P78" s="88">
        <v>18200821.550000001</v>
      </c>
      <c r="Q78" s="88">
        <v>18685821.550000001</v>
      </c>
      <c r="R78" s="88">
        <v>14320821.550000001</v>
      </c>
      <c r="S78" s="88">
        <f t="shared" si="0"/>
        <v>187655858.60000002</v>
      </c>
    </row>
    <row r="79" spans="1:19" x14ac:dyDescent="0.3">
      <c r="A79" s="195">
        <v>183</v>
      </c>
      <c r="B79" s="177" t="s">
        <v>162</v>
      </c>
      <c r="C79" s="177" t="s">
        <v>163</v>
      </c>
      <c r="D79" s="201" t="s">
        <v>294</v>
      </c>
      <c r="E79" s="88" t="s">
        <v>295</v>
      </c>
      <c r="F79" s="88">
        <v>0</v>
      </c>
      <c r="G79" s="88">
        <v>0</v>
      </c>
      <c r="H79" s="88">
        <v>0</v>
      </c>
      <c r="I79" s="88">
        <v>0</v>
      </c>
      <c r="J79" s="88">
        <v>0</v>
      </c>
      <c r="K79" s="88">
        <v>0</v>
      </c>
      <c r="L79" s="88">
        <v>0</v>
      </c>
      <c r="M79" s="88">
        <v>0</v>
      </c>
      <c r="N79" s="88">
        <v>0</v>
      </c>
      <c r="O79" s="88">
        <v>0</v>
      </c>
      <c r="P79" s="88">
        <v>0</v>
      </c>
      <c r="Q79" s="88">
        <v>0</v>
      </c>
      <c r="R79" s="88">
        <v>0</v>
      </c>
      <c r="S79" s="88">
        <f t="shared" ref="S79:S142" si="1">SUM(F79:R79)</f>
        <v>0</v>
      </c>
    </row>
    <row r="80" spans="1:19" x14ac:dyDescent="0.3">
      <c r="A80" s="195">
        <v>183</v>
      </c>
      <c r="B80" s="177" t="s">
        <v>162</v>
      </c>
      <c r="C80" s="177" t="s">
        <v>163</v>
      </c>
      <c r="D80" s="201" t="s">
        <v>296</v>
      </c>
      <c r="E80" s="88" t="s">
        <v>297</v>
      </c>
      <c r="F80" s="88">
        <v>0</v>
      </c>
      <c r="G80" s="88">
        <v>0</v>
      </c>
      <c r="H80" s="88">
        <v>0</v>
      </c>
      <c r="I80" s="88">
        <v>0</v>
      </c>
      <c r="J80" s="88">
        <v>0</v>
      </c>
      <c r="K80" s="88">
        <v>0</v>
      </c>
      <c r="L80" s="88">
        <v>0</v>
      </c>
      <c r="M80" s="88">
        <v>0</v>
      </c>
      <c r="N80" s="88">
        <v>0</v>
      </c>
      <c r="O80" s="88">
        <v>0</v>
      </c>
      <c r="P80" s="88">
        <v>0</v>
      </c>
      <c r="Q80" s="88">
        <v>0</v>
      </c>
      <c r="R80" s="88">
        <v>0</v>
      </c>
      <c r="S80" s="88">
        <f t="shared" si="1"/>
        <v>0</v>
      </c>
    </row>
    <row r="81" spans="1:19" x14ac:dyDescent="0.3">
      <c r="A81" s="195">
        <v>184</v>
      </c>
      <c r="B81" s="177" t="s">
        <v>162</v>
      </c>
      <c r="C81" s="177" t="s">
        <v>163</v>
      </c>
      <c r="D81" s="201" t="s">
        <v>298</v>
      </c>
      <c r="E81" s="88" t="s">
        <v>299</v>
      </c>
      <c r="F81" s="88">
        <v>0</v>
      </c>
      <c r="G81" s="88">
        <v>0</v>
      </c>
      <c r="H81" s="88">
        <v>0</v>
      </c>
      <c r="I81" s="88">
        <v>0</v>
      </c>
      <c r="J81" s="88">
        <v>0</v>
      </c>
      <c r="K81" s="88">
        <v>0</v>
      </c>
      <c r="L81" s="88">
        <v>0</v>
      </c>
      <c r="M81" s="88">
        <v>0</v>
      </c>
      <c r="N81" s="88">
        <v>0</v>
      </c>
      <c r="O81" s="88">
        <v>0</v>
      </c>
      <c r="P81" s="88">
        <v>0</v>
      </c>
      <c r="Q81" s="88">
        <v>0</v>
      </c>
      <c r="R81" s="88">
        <v>0</v>
      </c>
      <c r="S81" s="88">
        <f t="shared" si="1"/>
        <v>0</v>
      </c>
    </row>
    <row r="82" spans="1:19" x14ac:dyDescent="0.3">
      <c r="A82" s="195">
        <v>184</v>
      </c>
      <c r="B82" s="177" t="s">
        <v>162</v>
      </c>
      <c r="C82" s="177" t="s">
        <v>163</v>
      </c>
      <c r="D82" s="201" t="s">
        <v>300</v>
      </c>
      <c r="E82" s="88" t="s">
        <v>301</v>
      </c>
      <c r="F82" s="88">
        <v>0</v>
      </c>
      <c r="G82" s="88">
        <v>0</v>
      </c>
      <c r="H82" s="88">
        <v>0</v>
      </c>
      <c r="I82" s="88">
        <v>0</v>
      </c>
      <c r="J82" s="88">
        <v>0</v>
      </c>
      <c r="K82" s="88">
        <v>0</v>
      </c>
      <c r="L82" s="88">
        <v>0</v>
      </c>
      <c r="M82" s="88">
        <v>0</v>
      </c>
      <c r="N82" s="88">
        <v>0</v>
      </c>
      <c r="O82" s="88">
        <v>0</v>
      </c>
      <c r="P82" s="88">
        <v>0</v>
      </c>
      <c r="Q82" s="88">
        <v>0</v>
      </c>
      <c r="R82" s="88">
        <v>0</v>
      </c>
      <c r="S82" s="88">
        <f t="shared" si="1"/>
        <v>0</v>
      </c>
    </row>
    <row r="83" spans="1:19" x14ac:dyDescent="0.3">
      <c r="A83" s="195">
        <v>186</v>
      </c>
      <c r="B83" s="177" t="s">
        <v>162</v>
      </c>
      <c r="C83" s="177" t="s">
        <v>163</v>
      </c>
      <c r="D83" s="201" t="s">
        <v>302</v>
      </c>
      <c r="E83" s="88" t="s">
        <v>303</v>
      </c>
      <c r="F83" s="88">
        <v>0</v>
      </c>
      <c r="G83" s="88">
        <v>8136913.5733332997</v>
      </c>
      <c r="H83" s="88">
        <v>9557054.3866667002</v>
      </c>
      <c r="I83" s="88">
        <v>8351097.3700000001</v>
      </c>
      <c r="J83" s="88">
        <v>8305272.4833332999</v>
      </c>
      <c r="K83" s="88">
        <v>8145167.6991667002</v>
      </c>
      <c r="L83" s="88">
        <v>8580582.8350000009</v>
      </c>
      <c r="M83" s="88">
        <v>10839521.0408333</v>
      </c>
      <c r="N83" s="88">
        <v>11366579.0766667</v>
      </c>
      <c r="O83" s="88">
        <v>11218208.5625</v>
      </c>
      <c r="P83" s="88">
        <v>7516328.5650000004</v>
      </c>
      <c r="Q83" s="88">
        <v>7517581.2874999996</v>
      </c>
      <c r="R83" s="88">
        <v>5745292.6600000001</v>
      </c>
      <c r="S83" s="88">
        <f t="shared" si="1"/>
        <v>105279599.53999999</v>
      </c>
    </row>
    <row r="84" spans="1:19" x14ac:dyDescent="0.3">
      <c r="A84" s="195">
        <v>187</v>
      </c>
      <c r="B84" s="177" t="s">
        <v>162</v>
      </c>
      <c r="C84" s="177" t="s">
        <v>163</v>
      </c>
      <c r="D84" s="201" t="s">
        <v>304</v>
      </c>
      <c r="E84" s="88" t="s">
        <v>305</v>
      </c>
      <c r="F84" s="88">
        <v>0</v>
      </c>
      <c r="G84" s="88">
        <v>0</v>
      </c>
      <c r="H84" s="88">
        <v>0</v>
      </c>
      <c r="I84" s="88">
        <v>0</v>
      </c>
      <c r="J84" s="88">
        <v>0</v>
      </c>
      <c r="K84" s="88">
        <v>0</v>
      </c>
      <c r="L84" s="88">
        <v>0</v>
      </c>
      <c r="M84" s="88">
        <v>0</v>
      </c>
      <c r="N84" s="88">
        <v>0</v>
      </c>
      <c r="O84" s="88">
        <v>0</v>
      </c>
      <c r="P84" s="88">
        <v>0</v>
      </c>
      <c r="Q84" s="88">
        <v>0</v>
      </c>
      <c r="R84" s="88">
        <v>0</v>
      </c>
      <c r="S84" s="88">
        <f t="shared" si="1"/>
        <v>0</v>
      </c>
    </row>
    <row r="85" spans="1:19" x14ac:dyDescent="0.3">
      <c r="A85" s="195">
        <v>188</v>
      </c>
      <c r="B85" s="177" t="s">
        <v>162</v>
      </c>
      <c r="C85" s="177" t="s">
        <v>163</v>
      </c>
      <c r="D85" s="201" t="s">
        <v>306</v>
      </c>
      <c r="E85" s="88" t="s">
        <v>307</v>
      </c>
      <c r="F85" s="88">
        <v>0</v>
      </c>
      <c r="G85" s="88">
        <v>0</v>
      </c>
      <c r="H85" s="88">
        <v>0</v>
      </c>
      <c r="I85" s="88">
        <v>0</v>
      </c>
      <c r="J85" s="88">
        <v>0</v>
      </c>
      <c r="K85" s="88">
        <v>0</v>
      </c>
      <c r="L85" s="88">
        <v>0</v>
      </c>
      <c r="M85" s="88">
        <v>0</v>
      </c>
      <c r="N85" s="88">
        <v>0</v>
      </c>
      <c r="O85" s="88">
        <v>0</v>
      </c>
      <c r="P85" s="88">
        <v>0</v>
      </c>
      <c r="Q85" s="88">
        <v>0</v>
      </c>
      <c r="R85" s="88">
        <v>0</v>
      </c>
      <c r="S85" s="88">
        <f t="shared" si="1"/>
        <v>0</v>
      </c>
    </row>
    <row r="86" spans="1:19" x14ac:dyDescent="0.3">
      <c r="A86" s="195">
        <v>189</v>
      </c>
      <c r="B86" s="177" t="s">
        <v>162</v>
      </c>
      <c r="C86" s="177" t="s">
        <v>163</v>
      </c>
      <c r="D86" s="201" t="s">
        <v>308</v>
      </c>
      <c r="E86" s="88" t="s">
        <v>309</v>
      </c>
      <c r="F86" s="88">
        <v>0</v>
      </c>
      <c r="G86" s="88">
        <v>2885186.19</v>
      </c>
      <c r="H86" s="88">
        <v>2853339.62</v>
      </c>
      <c r="I86" s="88">
        <v>2821493.05</v>
      </c>
      <c r="J86" s="88">
        <v>2789646.48</v>
      </c>
      <c r="K86" s="88">
        <v>2757799.91</v>
      </c>
      <c r="L86" s="88">
        <v>2725953.34</v>
      </c>
      <c r="M86" s="88">
        <v>2694106.77</v>
      </c>
      <c r="N86" s="88">
        <v>2662260.2000000002</v>
      </c>
      <c r="O86" s="88">
        <v>2630413.63</v>
      </c>
      <c r="P86" s="88">
        <v>2598567.06</v>
      </c>
      <c r="Q86" s="88">
        <v>2566720.4900000002</v>
      </c>
      <c r="R86" s="88">
        <v>2534873.92</v>
      </c>
      <c r="S86" s="88">
        <f t="shared" si="1"/>
        <v>32520360.659999996</v>
      </c>
    </row>
    <row r="87" spans="1:19" x14ac:dyDescent="0.3">
      <c r="A87" s="195">
        <v>190</v>
      </c>
      <c r="B87" s="177" t="s">
        <v>162</v>
      </c>
      <c r="C87" s="177" t="s">
        <v>163</v>
      </c>
      <c r="D87" s="201" t="s">
        <v>310</v>
      </c>
      <c r="E87" s="88" t="s">
        <v>311</v>
      </c>
      <c r="F87" s="88">
        <v>0</v>
      </c>
      <c r="G87" s="88">
        <v>721746774.90999949</v>
      </c>
      <c r="H87" s="88">
        <v>724791478.90999949</v>
      </c>
      <c r="I87" s="88">
        <v>728187238.90999949</v>
      </c>
      <c r="J87" s="88">
        <v>731886958.90999949</v>
      </c>
      <c r="K87" s="88">
        <v>736219709.90999961</v>
      </c>
      <c r="L87" s="88">
        <v>740072021.90999961</v>
      </c>
      <c r="M87" s="88">
        <v>744048548.90999961</v>
      </c>
      <c r="N87" s="88">
        <v>747924912.90999973</v>
      </c>
      <c r="O87" s="88">
        <v>758886703.90999973</v>
      </c>
      <c r="P87" s="88">
        <v>762304631.90999973</v>
      </c>
      <c r="Q87" s="88">
        <v>765046939.90999973</v>
      </c>
      <c r="R87" s="88">
        <v>768014366.90999973</v>
      </c>
      <c r="S87" s="88">
        <f t="shared" si="1"/>
        <v>8929130287.9199963</v>
      </c>
    </row>
    <row r="88" spans="1:19" x14ac:dyDescent="0.3">
      <c r="A88" s="195">
        <v>191</v>
      </c>
      <c r="B88" s="177" t="s">
        <v>162</v>
      </c>
      <c r="C88" s="177" t="s">
        <v>163</v>
      </c>
      <c r="D88" s="201" t="s">
        <v>312</v>
      </c>
      <c r="E88" s="88" t="s">
        <v>313</v>
      </c>
      <c r="F88" s="88">
        <v>0</v>
      </c>
      <c r="G88" s="88">
        <v>0</v>
      </c>
      <c r="H88" s="88">
        <v>0</v>
      </c>
      <c r="I88" s="88">
        <v>0</v>
      </c>
      <c r="J88" s="88">
        <v>0</v>
      </c>
      <c r="K88" s="88">
        <v>0</v>
      </c>
      <c r="L88" s="88">
        <v>0</v>
      </c>
      <c r="M88" s="88">
        <v>0</v>
      </c>
      <c r="N88" s="88">
        <v>0</v>
      </c>
      <c r="O88" s="88">
        <v>0</v>
      </c>
      <c r="P88" s="88">
        <v>0</v>
      </c>
      <c r="Q88" s="88">
        <v>0</v>
      </c>
      <c r="R88" s="88">
        <v>0</v>
      </c>
      <c r="S88" s="88">
        <f t="shared" si="1"/>
        <v>0</v>
      </c>
    </row>
    <row r="89" spans="1:19" x14ac:dyDescent="0.3">
      <c r="A89" s="195">
        <v>201</v>
      </c>
      <c r="B89" s="177" t="s">
        <v>162</v>
      </c>
      <c r="C89" s="177" t="s">
        <v>163</v>
      </c>
      <c r="D89" s="201" t="s">
        <v>314</v>
      </c>
      <c r="E89" s="88" t="s">
        <v>315</v>
      </c>
      <c r="F89" s="88">
        <v>0</v>
      </c>
      <c r="G89" s="88">
        <v>119696800</v>
      </c>
      <c r="H89" s="88">
        <v>119696800</v>
      </c>
      <c r="I89" s="88">
        <v>119696800</v>
      </c>
      <c r="J89" s="88">
        <v>119696800</v>
      </c>
      <c r="K89" s="88">
        <v>119696800</v>
      </c>
      <c r="L89" s="88">
        <v>119696800</v>
      </c>
      <c r="M89" s="88">
        <v>119696800</v>
      </c>
      <c r="N89" s="88">
        <v>119696800</v>
      </c>
      <c r="O89" s="88">
        <v>119696800</v>
      </c>
      <c r="P89" s="88">
        <v>119696800</v>
      </c>
      <c r="Q89" s="88">
        <v>119696800</v>
      </c>
      <c r="R89" s="88">
        <v>119696800</v>
      </c>
      <c r="S89" s="88">
        <f t="shared" si="1"/>
        <v>1436361600</v>
      </c>
    </row>
    <row r="90" spans="1:19" x14ac:dyDescent="0.3">
      <c r="A90" s="195">
        <v>207</v>
      </c>
      <c r="B90" s="177" t="s">
        <v>162</v>
      </c>
      <c r="C90" s="177" t="s">
        <v>163</v>
      </c>
      <c r="D90" s="201" t="s">
        <v>316</v>
      </c>
      <c r="E90" s="88" t="s">
        <v>317</v>
      </c>
      <c r="F90" s="88">
        <v>0</v>
      </c>
      <c r="G90" s="88">
        <v>0</v>
      </c>
      <c r="H90" s="88">
        <v>0</v>
      </c>
      <c r="I90" s="88">
        <v>0</v>
      </c>
      <c r="J90" s="88">
        <v>0</v>
      </c>
      <c r="K90" s="88">
        <v>0</v>
      </c>
      <c r="L90" s="88">
        <v>0</v>
      </c>
      <c r="M90" s="88">
        <v>0</v>
      </c>
      <c r="N90" s="88">
        <v>0</v>
      </c>
      <c r="O90" s="88">
        <v>0</v>
      </c>
      <c r="P90" s="88">
        <v>0</v>
      </c>
      <c r="Q90" s="88">
        <v>0</v>
      </c>
      <c r="R90" s="88">
        <v>0</v>
      </c>
      <c r="S90" s="88">
        <f t="shared" si="1"/>
        <v>0</v>
      </c>
    </row>
    <row r="91" spans="1:19" x14ac:dyDescent="0.3">
      <c r="A91" s="195">
        <v>208</v>
      </c>
      <c r="B91" s="177" t="s">
        <v>162</v>
      </c>
      <c r="C91" s="177" t="s">
        <v>163</v>
      </c>
      <c r="D91" s="201" t="s">
        <v>318</v>
      </c>
      <c r="E91" s="88" t="s">
        <v>319</v>
      </c>
      <c r="F91" s="88">
        <v>0</v>
      </c>
      <c r="G91" s="88">
        <v>0</v>
      </c>
      <c r="H91" s="88">
        <v>0</v>
      </c>
      <c r="I91" s="88">
        <v>0</v>
      </c>
      <c r="J91" s="88">
        <v>0</v>
      </c>
      <c r="K91" s="88">
        <v>0</v>
      </c>
      <c r="L91" s="88">
        <v>0</v>
      </c>
      <c r="M91" s="88">
        <v>0</v>
      </c>
      <c r="N91" s="88">
        <v>0</v>
      </c>
      <c r="O91" s="88">
        <v>0</v>
      </c>
      <c r="P91" s="88">
        <v>0</v>
      </c>
      <c r="Q91" s="88">
        <v>0</v>
      </c>
      <c r="R91" s="88">
        <v>0</v>
      </c>
      <c r="S91" s="88">
        <f t="shared" si="1"/>
        <v>0</v>
      </c>
    </row>
    <row r="92" spans="1:19" x14ac:dyDescent="0.3">
      <c r="A92" s="195">
        <v>211</v>
      </c>
      <c r="B92" s="177" t="s">
        <v>162</v>
      </c>
      <c r="C92" s="177" t="s">
        <v>163</v>
      </c>
      <c r="D92" s="201" t="s">
        <v>320</v>
      </c>
      <c r="E92" s="88" t="s">
        <v>321</v>
      </c>
      <c r="F92" s="88">
        <v>0</v>
      </c>
      <c r="G92" s="88">
        <v>4385840200</v>
      </c>
      <c r="H92" s="88">
        <v>4685840200</v>
      </c>
      <c r="I92" s="88">
        <v>4685840200</v>
      </c>
      <c r="J92" s="88">
        <v>4685840200</v>
      </c>
      <c r="K92" s="88">
        <v>4880840200</v>
      </c>
      <c r="L92" s="88">
        <v>4880840200</v>
      </c>
      <c r="M92" s="88">
        <v>4880840200</v>
      </c>
      <c r="N92" s="88">
        <v>4950840200</v>
      </c>
      <c r="O92" s="88">
        <v>4950840200</v>
      </c>
      <c r="P92" s="88">
        <v>4950840200</v>
      </c>
      <c r="Q92" s="88">
        <v>4985840200</v>
      </c>
      <c r="R92" s="88">
        <v>4985840200</v>
      </c>
      <c r="S92" s="88">
        <f t="shared" si="1"/>
        <v>57910082400</v>
      </c>
    </row>
    <row r="93" spans="1:19" x14ac:dyDescent="0.3">
      <c r="A93" s="195">
        <v>214</v>
      </c>
      <c r="B93" s="177" t="s">
        <v>162</v>
      </c>
      <c r="C93" s="177" t="s">
        <v>163</v>
      </c>
      <c r="D93" s="201" t="s">
        <v>322</v>
      </c>
      <c r="E93" s="88" t="s">
        <v>323</v>
      </c>
      <c r="F93" s="88">
        <v>0</v>
      </c>
      <c r="G93" s="88">
        <v>-700900</v>
      </c>
      <c r="H93" s="88">
        <v>-700900</v>
      </c>
      <c r="I93" s="88">
        <v>-700900</v>
      </c>
      <c r="J93" s="88">
        <v>-700900</v>
      </c>
      <c r="K93" s="88">
        <v>-700900</v>
      </c>
      <c r="L93" s="88">
        <v>-700900</v>
      </c>
      <c r="M93" s="88">
        <v>-700900</v>
      </c>
      <c r="N93" s="88">
        <v>-700900</v>
      </c>
      <c r="O93" s="88">
        <v>-700900</v>
      </c>
      <c r="P93" s="88">
        <v>-700900</v>
      </c>
      <c r="Q93" s="88">
        <v>-700900</v>
      </c>
      <c r="R93" s="88">
        <v>-700900</v>
      </c>
      <c r="S93" s="88">
        <f t="shared" si="1"/>
        <v>-8410800</v>
      </c>
    </row>
    <row r="94" spans="1:19" x14ac:dyDescent="0.3">
      <c r="A94" s="195">
        <v>215</v>
      </c>
      <c r="B94" s="177" t="s">
        <v>162</v>
      </c>
      <c r="C94" s="177" t="s">
        <v>163</v>
      </c>
      <c r="D94" s="201" t="s">
        <v>324</v>
      </c>
      <c r="E94" s="88" t="s">
        <v>325</v>
      </c>
      <c r="F94" s="88">
        <v>0</v>
      </c>
      <c r="G94" s="88">
        <v>0</v>
      </c>
      <c r="H94" s="88">
        <v>0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f t="shared" si="1"/>
        <v>0</v>
      </c>
    </row>
    <row r="95" spans="1:19" x14ac:dyDescent="0.3">
      <c r="A95" s="195">
        <v>215</v>
      </c>
      <c r="B95" s="177" t="s">
        <v>162</v>
      </c>
      <c r="C95" s="177" t="s">
        <v>163</v>
      </c>
      <c r="D95" s="201" t="s">
        <v>326</v>
      </c>
      <c r="E95" s="88" t="s">
        <v>327</v>
      </c>
      <c r="F95" s="88">
        <v>0</v>
      </c>
      <c r="G95" s="88">
        <v>0</v>
      </c>
      <c r="H95" s="88">
        <v>0</v>
      </c>
      <c r="I95" s="88">
        <v>0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8">
        <v>0</v>
      </c>
      <c r="P95" s="88">
        <v>0</v>
      </c>
      <c r="Q95" s="88">
        <v>0</v>
      </c>
      <c r="R95" s="88">
        <v>0</v>
      </c>
      <c r="S95" s="88">
        <f t="shared" si="1"/>
        <v>0</v>
      </c>
    </row>
    <row r="96" spans="1:19" x14ac:dyDescent="0.3">
      <c r="A96" s="195">
        <v>216</v>
      </c>
      <c r="B96" s="177" t="s">
        <v>162</v>
      </c>
      <c r="C96" s="177" t="s">
        <v>163</v>
      </c>
      <c r="D96" s="201" t="s">
        <v>328</v>
      </c>
      <c r="E96" s="88" t="s">
        <v>329</v>
      </c>
      <c r="F96" s="88">
        <v>0</v>
      </c>
      <c r="G96" s="88">
        <v>246088187.20544299</v>
      </c>
      <c r="H96" s="88">
        <v>182452964.57003099</v>
      </c>
      <c r="I96" s="88">
        <v>199497085.121806</v>
      </c>
      <c r="J96" s="88">
        <v>229809985.85418901</v>
      </c>
      <c r="K96" s="88">
        <v>207289081.951451</v>
      </c>
      <c r="L96" s="88">
        <v>256867939.39724901</v>
      </c>
      <c r="M96" s="88">
        <v>313384967.53623599</v>
      </c>
      <c r="N96" s="88">
        <v>248261035.10493001</v>
      </c>
      <c r="O96" s="88">
        <v>303010905.93296301</v>
      </c>
      <c r="P96" s="88">
        <v>343126930.84127301</v>
      </c>
      <c r="Q96" s="88">
        <v>198474812.884215</v>
      </c>
      <c r="R96" s="88">
        <v>220252162.61794201</v>
      </c>
      <c r="S96" s="88">
        <f t="shared" si="1"/>
        <v>2948516059.0177274</v>
      </c>
    </row>
    <row r="97" spans="1:19" x14ac:dyDescent="0.3">
      <c r="A97" s="195">
        <v>216</v>
      </c>
      <c r="B97" s="177" t="s">
        <v>162</v>
      </c>
      <c r="C97" s="177" t="s">
        <v>163</v>
      </c>
      <c r="D97" s="201" t="s">
        <v>330</v>
      </c>
      <c r="E97" s="88" t="s">
        <v>331</v>
      </c>
      <c r="F97" s="88">
        <v>0</v>
      </c>
      <c r="G97" s="88">
        <v>0</v>
      </c>
      <c r="H97" s="88">
        <v>0</v>
      </c>
      <c r="I97" s="88">
        <v>0</v>
      </c>
      <c r="J97" s="88">
        <v>0</v>
      </c>
      <c r="K97" s="88">
        <v>0</v>
      </c>
      <c r="L97" s="88">
        <v>0</v>
      </c>
      <c r="M97" s="88">
        <v>0</v>
      </c>
      <c r="N97" s="88">
        <v>0</v>
      </c>
      <c r="O97" s="88">
        <v>0</v>
      </c>
      <c r="P97" s="88">
        <v>0</v>
      </c>
      <c r="Q97" s="88">
        <v>0</v>
      </c>
      <c r="R97" s="88">
        <v>0</v>
      </c>
      <c r="S97" s="88">
        <f t="shared" si="1"/>
        <v>0</v>
      </c>
    </row>
    <row r="98" spans="1:19" x14ac:dyDescent="0.3">
      <c r="A98" s="195">
        <v>219</v>
      </c>
      <c r="B98" s="177" t="s">
        <v>162</v>
      </c>
      <c r="C98" s="177" t="s">
        <v>163</v>
      </c>
      <c r="D98" s="201" t="s">
        <v>332</v>
      </c>
      <c r="E98" s="88" t="s">
        <v>333</v>
      </c>
      <c r="F98" s="88">
        <v>0</v>
      </c>
      <c r="G98" s="88">
        <v>-729641.73000039998</v>
      </c>
      <c r="H98" s="88">
        <v>-721490.76000040001</v>
      </c>
      <c r="I98" s="88">
        <v>-713339.79000040004</v>
      </c>
      <c r="J98" s="88">
        <v>-705188.82000039995</v>
      </c>
      <c r="K98" s="88">
        <v>-697037.85000029998</v>
      </c>
      <c r="L98" s="88">
        <v>-688886.88000030001</v>
      </c>
      <c r="M98" s="88">
        <v>-680735.91000030003</v>
      </c>
      <c r="N98" s="88">
        <v>-672584.94000029995</v>
      </c>
      <c r="O98" s="88">
        <v>-664433.97000029997</v>
      </c>
      <c r="P98" s="88">
        <v>-656283.0000003</v>
      </c>
      <c r="Q98" s="88">
        <v>-648132.03000030003</v>
      </c>
      <c r="R98" s="88">
        <v>-639981.06000030006</v>
      </c>
      <c r="S98" s="88">
        <f t="shared" si="1"/>
        <v>-8217736.7400040003</v>
      </c>
    </row>
    <row r="99" spans="1:19" x14ac:dyDescent="0.3">
      <c r="A99" s="195">
        <v>221</v>
      </c>
      <c r="B99" s="177" t="s">
        <v>162</v>
      </c>
      <c r="C99" s="177" t="s">
        <v>163</v>
      </c>
      <c r="D99" s="201" t="s">
        <v>334</v>
      </c>
      <c r="E99" s="88" t="s">
        <v>335</v>
      </c>
      <c r="F99" s="88">
        <v>0</v>
      </c>
      <c r="G99" s="88">
        <v>4275000000</v>
      </c>
      <c r="H99" s="88">
        <v>4275000000</v>
      </c>
      <c r="I99" s="88">
        <v>4275000000</v>
      </c>
      <c r="J99" s="88">
        <v>4275000000</v>
      </c>
      <c r="K99" s="88">
        <v>4275000000</v>
      </c>
      <c r="L99" s="88">
        <v>4275000000</v>
      </c>
      <c r="M99" s="88">
        <v>3975000000</v>
      </c>
      <c r="N99" s="88">
        <v>3975000000</v>
      </c>
      <c r="O99" s="88">
        <v>3975000000</v>
      </c>
      <c r="P99" s="88">
        <v>3975000000</v>
      </c>
      <c r="Q99" s="88">
        <v>3975000000</v>
      </c>
      <c r="R99" s="88">
        <v>3975000000</v>
      </c>
      <c r="S99" s="88">
        <f t="shared" si="1"/>
        <v>49500000000</v>
      </c>
    </row>
    <row r="100" spans="1:19" x14ac:dyDescent="0.3">
      <c r="A100" s="195">
        <v>223</v>
      </c>
      <c r="B100" s="177" t="s">
        <v>162</v>
      </c>
      <c r="C100" s="177" t="s">
        <v>163</v>
      </c>
      <c r="D100" s="201" t="s">
        <v>336</v>
      </c>
      <c r="E100" s="88" t="s">
        <v>337</v>
      </c>
      <c r="F100" s="88">
        <v>0</v>
      </c>
      <c r="G100" s="88">
        <v>0</v>
      </c>
      <c r="H100" s="88">
        <v>0</v>
      </c>
      <c r="I100" s="88">
        <v>0</v>
      </c>
      <c r="J100" s="88">
        <v>0</v>
      </c>
      <c r="K100" s="88">
        <v>0</v>
      </c>
      <c r="L100" s="88">
        <v>0</v>
      </c>
      <c r="M100" s="88">
        <v>0</v>
      </c>
      <c r="N100" s="88">
        <v>0</v>
      </c>
      <c r="O100" s="88">
        <v>0</v>
      </c>
      <c r="P100" s="88">
        <v>0</v>
      </c>
      <c r="Q100" s="88">
        <v>0</v>
      </c>
      <c r="R100" s="88">
        <v>0</v>
      </c>
      <c r="S100" s="88">
        <f t="shared" si="1"/>
        <v>0</v>
      </c>
    </row>
    <row r="101" spans="1:19" x14ac:dyDescent="0.3">
      <c r="A101" s="195">
        <v>224</v>
      </c>
      <c r="B101" s="177" t="s">
        <v>162</v>
      </c>
      <c r="C101" s="177" t="s">
        <v>163</v>
      </c>
      <c r="D101" s="201" t="s">
        <v>338</v>
      </c>
      <c r="E101" s="88" t="s">
        <v>339</v>
      </c>
      <c r="F101" s="88">
        <v>0</v>
      </c>
      <c r="G101" s="88">
        <v>0</v>
      </c>
      <c r="H101" s="88">
        <v>0</v>
      </c>
      <c r="I101" s="88">
        <v>0</v>
      </c>
      <c r="J101" s="88">
        <v>0</v>
      </c>
      <c r="K101" s="88">
        <v>0</v>
      </c>
      <c r="L101" s="88">
        <v>0</v>
      </c>
      <c r="M101" s="88">
        <v>0</v>
      </c>
      <c r="N101" s="88">
        <v>0</v>
      </c>
      <c r="O101" s="88">
        <v>0</v>
      </c>
      <c r="P101" s="88">
        <v>0</v>
      </c>
      <c r="Q101" s="88">
        <v>0</v>
      </c>
      <c r="R101" s="88">
        <v>0</v>
      </c>
      <c r="S101" s="88">
        <f t="shared" si="1"/>
        <v>0</v>
      </c>
    </row>
    <row r="102" spans="1:19" x14ac:dyDescent="0.3">
      <c r="A102" s="195">
        <v>225</v>
      </c>
      <c r="B102" s="177" t="s">
        <v>162</v>
      </c>
      <c r="C102" s="177" t="s">
        <v>163</v>
      </c>
      <c r="D102" s="201" t="s">
        <v>340</v>
      </c>
      <c r="E102" s="88" t="s">
        <v>341</v>
      </c>
      <c r="F102" s="88">
        <v>0</v>
      </c>
      <c r="G102" s="88">
        <v>0</v>
      </c>
      <c r="H102" s="88">
        <v>0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f t="shared" si="1"/>
        <v>0</v>
      </c>
    </row>
    <row r="103" spans="1:19" x14ac:dyDescent="0.3">
      <c r="A103" s="195">
        <v>226</v>
      </c>
      <c r="B103" s="177" t="s">
        <v>162</v>
      </c>
      <c r="C103" s="177" t="s">
        <v>163</v>
      </c>
      <c r="D103" s="201" t="s">
        <v>342</v>
      </c>
      <c r="E103" s="88" t="s">
        <v>343</v>
      </c>
      <c r="F103" s="88">
        <v>0</v>
      </c>
      <c r="G103" s="88">
        <v>-13593814.470000001</v>
      </c>
      <c r="H103" s="88">
        <v>-13491909.439999999</v>
      </c>
      <c r="I103" s="88">
        <v>-13390004.41</v>
      </c>
      <c r="J103" s="88">
        <v>-13288099.380000001</v>
      </c>
      <c r="K103" s="88">
        <v>-13186194.35</v>
      </c>
      <c r="L103" s="88">
        <v>-13084289.32</v>
      </c>
      <c r="M103" s="88">
        <v>-12987150.039999999</v>
      </c>
      <c r="N103" s="88">
        <v>-12890010.76</v>
      </c>
      <c r="O103" s="88">
        <v>-12792871.48</v>
      </c>
      <c r="P103" s="88">
        <v>-12695732.199999999</v>
      </c>
      <c r="Q103" s="88">
        <v>-12598592.92</v>
      </c>
      <c r="R103" s="88">
        <v>-12501453.640000001</v>
      </c>
      <c r="S103" s="88">
        <f t="shared" si="1"/>
        <v>-156500122.41000003</v>
      </c>
    </row>
    <row r="104" spans="1:19" x14ac:dyDescent="0.3">
      <c r="A104" s="195">
        <v>227</v>
      </c>
      <c r="B104" s="177" t="s">
        <v>162</v>
      </c>
      <c r="C104" s="177" t="s">
        <v>163</v>
      </c>
      <c r="D104" s="201" t="s">
        <v>344</v>
      </c>
      <c r="E104" s="88" t="s">
        <v>345</v>
      </c>
      <c r="F104" s="88">
        <v>0</v>
      </c>
      <c r="G104" s="88">
        <v>34163254.327925801</v>
      </c>
      <c r="H104" s="88">
        <v>34119322.174466699</v>
      </c>
      <c r="I104" s="88">
        <v>33632954.918725401</v>
      </c>
      <c r="J104" s="88">
        <v>33588898.950708799</v>
      </c>
      <c r="K104" s="88">
        <v>33544238.332189798</v>
      </c>
      <c r="L104" s="88">
        <v>33053103.2396346</v>
      </c>
      <c r="M104" s="88">
        <v>33008316.7539092</v>
      </c>
      <c r="N104" s="88">
        <v>32963467.202157099</v>
      </c>
      <c r="O104" s="88">
        <v>32465421.0850881</v>
      </c>
      <c r="P104" s="88">
        <v>32420445.134738799</v>
      </c>
      <c r="Q104" s="88">
        <v>32375405.851568598</v>
      </c>
      <c r="R104" s="88">
        <v>32374997.680403501</v>
      </c>
      <c r="S104" s="88">
        <f t="shared" si="1"/>
        <v>397709825.65151644</v>
      </c>
    </row>
    <row r="105" spans="1:19" x14ac:dyDescent="0.3">
      <c r="A105" s="195">
        <v>228</v>
      </c>
      <c r="B105" s="177" t="s">
        <v>162</v>
      </c>
      <c r="C105" s="177" t="s">
        <v>163</v>
      </c>
      <c r="D105" s="201" t="s">
        <v>346</v>
      </c>
      <c r="E105" s="88" t="s">
        <v>347</v>
      </c>
      <c r="F105" s="88">
        <v>0</v>
      </c>
      <c r="G105" s="88">
        <v>0</v>
      </c>
      <c r="H105" s="88">
        <v>0</v>
      </c>
      <c r="I105" s="88">
        <v>0</v>
      </c>
      <c r="J105" s="88">
        <v>0</v>
      </c>
      <c r="K105" s="88">
        <v>1705238.45</v>
      </c>
      <c r="L105" s="88">
        <v>2586520.1066667</v>
      </c>
      <c r="M105" s="88">
        <v>5364979.0566667002</v>
      </c>
      <c r="N105" s="88">
        <v>8127081.8766666995</v>
      </c>
      <c r="O105" s="88">
        <v>11105409.116666701</v>
      </c>
      <c r="P105" s="88">
        <v>13702134.9166667</v>
      </c>
      <c r="Q105" s="88">
        <v>15842203.4966667</v>
      </c>
      <c r="R105" s="88">
        <v>17835455.5666667</v>
      </c>
      <c r="S105" s="88">
        <f t="shared" si="1"/>
        <v>76269022.586666897</v>
      </c>
    </row>
    <row r="106" spans="1:19" x14ac:dyDescent="0.3">
      <c r="A106" s="195">
        <v>228</v>
      </c>
      <c r="B106" s="177" t="s">
        <v>162</v>
      </c>
      <c r="C106" s="177" t="s">
        <v>163</v>
      </c>
      <c r="D106" s="201" t="s">
        <v>348</v>
      </c>
      <c r="E106" s="88" t="s">
        <v>349</v>
      </c>
      <c r="F106" s="88">
        <v>0</v>
      </c>
      <c r="G106" s="88">
        <v>7970697.6110421</v>
      </c>
      <c r="H106" s="88">
        <v>7966767.1110420004</v>
      </c>
      <c r="I106" s="88">
        <v>7962836.6110421</v>
      </c>
      <c r="J106" s="88">
        <v>7958906.1110421</v>
      </c>
      <c r="K106" s="88">
        <v>7954975.6110420004</v>
      </c>
      <c r="L106" s="88">
        <v>7951045.1110421</v>
      </c>
      <c r="M106" s="88">
        <v>7947114.6110421</v>
      </c>
      <c r="N106" s="88">
        <v>7943184.1110420004</v>
      </c>
      <c r="O106" s="88">
        <v>7939253.6110421</v>
      </c>
      <c r="P106" s="88">
        <v>7935323.1110421</v>
      </c>
      <c r="Q106" s="88">
        <v>7931392.6110420004</v>
      </c>
      <c r="R106" s="88">
        <v>7927462.1110421</v>
      </c>
      <c r="S106" s="88">
        <f t="shared" si="1"/>
        <v>95388958.332504794</v>
      </c>
    </row>
    <row r="107" spans="1:19" x14ac:dyDescent="0.3">
      <c r="A107" s="195">
        <v>228</v>
      </c>
      <c r="B107" s="177" t="s">
        <v>162</v>
      </c>
      <c r="C107" s="177" t="s">
        <v>163</v>
      </c>
      <c r="D107" s="201" t="s">
        <v>350</v>
      </c>
      <c r="E107" s="88" t="s">
        <v>351</v>
      </c>
      <c r="F107" s="88">
        <v>0</v>
      </c>
      <c r="G107" s="88">
        <v>98559045.230000004</v>
      </c>
      <c r="H107" s="88">
        <v>98084711.230000004</v>
      </c>
      <c r="I107" s="88">
        <v>97803801.230000004</v>
      </c>
      <c r="J107" s="88">
        <v>94517468.230000004</v>
      </c>
      <c r="K107" s="88">
        <v>93493134.230000004</v>
      </c>
      <c r="L107" s="88">
        <v>93437224.230000004</v>
      </c>
      <c r="M107" s="88">
        <v>89950891.230000004</v>
      </c>
      <c r="N107" s="88">
        <v>89126557.230000004</v>
      </c>
      <c r="O107" s="88">
        <v>86083647.230000004</v>
      </c>
      <c r="P107" s="88">
        <v>85284314.230000004</v>
      </c>
      <c r="Q107" s="88">
        <v>84259980.230000004</v>
      </c>
      <c r="R107" s="88">
        <v>84079070.230000004</v>
      </c>
      <c r="S107" s="88">
        <f t="shared" si="1"/>
        <v>1094679844.76</v>
      </c>
    </row>
    <row r="108" spans="1:19" x14ac:dyDescent="0.3">
      <c r="A108" s="195">
        <v>228</v>
      </c>
      <c r="B108" s="177" t="s">
        <v>162</v>
      </c>
      <c r="C108" s="177" t="s">
        <v>163</v>
      </c>
      <c r="D108" s="201" t="s">
        <v>352</v>
      </c>
      <c r="E108" s="88" t="s">
        <v>353</v>
      </c>
      <c r="F108" s="88">
        <v>0</v>
      </c>
      <c r="G108" s="88">
        <v>783000</v>
      </c>
      <c r="H108" s="88">
        <v>783000</v>
      </c>
      <c r="I108" s="88">
        <v>783000</v>
      </c>
      <c r="J108" s="88">
        <v>783000</v>
      </c>
      <c r="K108" s="88">
        <v>783000</v>
      </c>
      <c r="L108" s="88">
        <v>783000</v>
      </c>
      <c r="M108" s="88">
        <v>783000</v>
      </c>
      <c r="N108" s="88">
        <v>783000</v>
      </c>
      <c r="O108" s="88">
        <v>783000</v>
      </c>
      <c r="P108" s="88">
        <v>783000</v>
      </c>
      <c r="Q108" s="88">
        <v>783000</v>
      </c>
      <c r="R108" s="88">
        <v>783000</v>
      </c>
      <c r="S108" s="88">
        <f t="shared" si="1"/>
        <v>9396000</v>
      </c>
    </row>
    <row r="109" spans="1:19" x14ac:dyDescent="0.3">
      <c r="A109" s="195">
        <v>229</v>
      </c>
      <c r="B109" s="177" t="s">
        <v>162</v>
      </c>
      <c r="C109" s="177" t="s">
        <v>163</v>
      </c>
      <c r="D109" s="201" t="s">
        <v>354</v>
      </c>
      <c r="E109" s="88" t="s">
        <v>355</v>
      </c>
      <c r="F109" s="88">
        <v>0</v>
      </c>
      <c r="G109" s="88">
        <v>0</v>
      </c>
      <c r="H109" s="88">
        <v>0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f t="shared" si="1"/>
        <v>0</v>
      </c>
    </row>
    <row r="110" spans="1:19" x14ac:dyDescent="0.3">
      <c r="A110" s="195">
        <v>230</v>
      </c>
      <c r="B110" s="177" t="s">
        <v>162</v>
      </c>
      <c r="C110" s="177" t="s">
        <v>163</v>
      </c>
      <c r="D110" s="201" t="s">
        <v>356</v>
      </c>
      <c r="E110" s="88" t="s">
        <v>357</v>
      </c>
      <c r="F110" s="88">
        <v>0</v>
      </c>
      <c r="G110" s="88">
        <v>32278809.199999999</v>
      </c>
      <c r="H110" s="88">
        <v>32413304.239999998</v>
      </c>
      <c r="I110" s="88">
        <v>32548359.670000002</v>
      </c>
      <c r="J110" s="88">
        <v>32683977.84</v>
      </c>
      <c r="K110" s="88">
        <v>32820161.079999998</v>
      </c>
      <c r="L110" s="88">
        <v>32956911.75</v>
      </c>
      <c r="M110" s="88">
        <v>33094232.219999999</v>
      </c>
      <c r="N110" s="88">
        <v>33232124.850000001</v>
      </c>
      <c r="O110" s="88">
        <v>33370592.039999999</v>
      </c>
      <c r="P110" s="88">
        <v>33509636.170000002</v>
      </c>
      <c r="Q110" s="88">
        <v>33649259.649999999</v>
      </c>
      <c r="R110" s="88">
        <v>33789464.899999999</v>
      </c>
      <c r="S110" s="88">
        <f t="shared" si="1"/>
        <v>396346833.60999995</v>
      </c>
    </row>
    <row r="111" spans="1:19" x14ac:dyDescent="0.3">
      <c r="A111" s="195">
        <v>231</v>
      </c>
      <c r="B111" s="177" t="s">
        <v>162</v>
      </c>
      <c r="C111" s="177" t="s">
        <v>163</v>
      </c>
      <c r="D111" s="201" t="s">
        <v>358</v>
      </c>
      <c r="E111" s="88" t="s">
        <v>359</v>
      </c>
      <c r="F111" s="88">
        <v>0</v>
      </c>
      <c r="G111" s="88">
        <v>253875217.16501299</v>
      </c>
      <c r="H111" s="88">
        <v>23112680.197484601</v>
      </c>
      <c r="I111" s="88">
        <v>69456980.805116206</v>
      </c>
      <c r="J111" s="88">
        <v>132240944.637391</v>
      </c>
      <c r="K111" s="88">
        <v>3610154.4458916001</v>
      </c>
      <c r="L111" s="88">
        <v>40187817.569180399</v>
      </c>
      <c r="M111" s="88">
        <v>391732415.85794401</v>
      </c>
      <c r="N111" s="88">
        <v>392354481.29398</v>
      </c>
      <c r="O111" s="88">
        <v>424115799.08827001</v>
      </c>
      <c r="P111" s="88">
        <v>348298234.241916</v>
      </c>
      <c r="Q111" s="88">
        <v>603052469.14338696</v>
      </c>
      <c r="R111" s="88">
        <v>595364857.17259896</v>
      </c>
      <c r="S111" s="88">
        <f t="shared" si="1"/>
        <v>3277402051.6181722</v>
      </c>
    </row>
    <row r="112" spans="1:19" x14ac:dyDescent="0.3">
      <c r="A112" s="195">
        <v>232</v>
      </c>
      <c r="B112" s="177" t="s">
        <v>162</v>
      </c>
      <c r="C112" s="177" t="s">
        <v>163</v>
      </c>
      <c r="D112" s="201" t="s">
        <v>360</v>
      </c>
      <c r="E112" s="88" t="s">
        <v>361</v>
      </c>
      <c r="F112" s="88">
        <v>0</v>
      </c>
      <c r="G112" s="88">
        <v>222368324.6219666</v>
      </c>
      <c r="H112" s="88">
        <v>227528498.78225091</v>
      </c>
      <c r="I112" s="88">
        <v>221517189.51220959</v>
      </c>
      <c r="J112" s="88">
        <v>213476604.888971</v>
      </c>
      <c r="K112" s="88">
        <v>250184686.95991519</v>
      </c>
      <c r="L112" s="88">
        <v>292070779.18831718</v>
      </c>
      <c r="M112" s="88">
        <v>246427347.71153179</v>
      </c>
      <c r="N112" s="88">
        <v>247604958.04764819</v>
      </c>
      <c r="O112" s="88">
        <v>225796818.2167896</v>
      </c>
      <c r="P112" s="88">
        <v>233312767.04401121</v>
      </c>
      <c r="Q112" s="88">
        <v>197673924.78381431</v>
      </c>
      <c r="R112" s="88">
        <v>254338784.1293402</v>
      </c>
      <c r="S112" s="88">
        <f t="shared" si="1"/>
        <v>2832300683.886766</v>
      </c>
    </row>
    <row r="113" spans="1:19" x14ac:dyDescent="0.3">
      <c r="A113" s="195">
        <v>233</v>
      </c>
      <c r="B113" s="177" t="s">
        <v>162</v>
      </c>
      <c r="C113" s="177" t="s">
        <v>163</v>
      </c>
      <c r="D113" s="201" t="s">
        <v>362</v>
      </c>
      <c r="E113" s="88" t="s">
        <v>363</v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f t="shared" si="1"/>
        <v>0</v>
      </c>
    </row>
    <row r="114" spans="1:19" x14ac:dyDescent="0.3">
      <c r="A114" s="195">
        <v>234</v>
      </c>
      <c r="B114" s="177" t="s">
        <v>162</v>
      </c>
      <c r="C114" s="177" t="s">
        <v>163</v>
      </c>
      <c r="D114" s="201" t="s">
        <v>364</v>
      </c>
      <c r="E114" s="88" t="s">
        <v>365</v>
      </c>
      <c r="F114" s="88">
        <v>0</v>
      </c>
      <c r="G114" s="88">
        <v>11285338.220000001</v>
      </c>
      <c r="H114" s="88">
        <v>11013983.210000001</v>
      </c>
      <c r="I114" s="88">
        <v>10948220.93</v>
      </c>
      <c r="J114" s="88">
        <v>10949678.289999999</v>
      </c>
      <c r="K114" s="88">
        <v>12044990.76</v>
      </c>
      <c r="L114" s="88">
        <v>13084711.02</v>
      </c>
      <c r="M114" s="88">
        <v>13582962.630000001</v>
      </c>
      <c r="N114" s="88">
        <v>13728186.810000001</v>
      </c>
      <c r="O114" s="88">
        <v>13382229.720000001</v>
      </c>
      <c r="P114" s="88">
        <v>12499186.41</v>
      </c>
      <c r="Q114" s="88">
        <v>11570235.73</v>
      </c>
      <c r="R114" s="88">
        <v>11940227.210000001</v>
      </c>
      <c r="S114" s="88">
        <f t="shared" si="1"/>
        <v>146029950.94</v>
      </c>
    </row>
    <row r="115" spans="1:19" x14ac:dyDescent="0.3">
      <c r="A115" s="195">
        <v>235</v>
      </c>
      <c r="B115" s="177" t="s">
        <v>162</v>
      </c>
      <c r="C115" s="177" t="s">
        <v>163</v>
      </c>
      <c r="D115" s="201" t="s">
        <v>366</v>
      </c>
      <c r="E115" s="88" t="s">
        <v>367</v>
      </c>
      <c r="F115" s="88">
        <v>0</v>
      </c>
      <c r="G115" s="88">
        <v>120684640.76351701</v>
      </c>
      <c r="H115" s="88">
        <v>120734926.03050099</v>
      </c>
      <c r="I115" s="88">
        <v>120785232.249681</v>
      </c>
      <c r="J115" s="88">
        <v>120835559.429785</v>
      </c>
      <c r="K115" s="88">
        <v>120885907.579547</v>
      </c>
      <c r="L115" s="88">
        <v>120936276.70770501</v>
      </c>
      <c r="M115" s="88">
        <v>120986666.823</v>
      </c>
      <c r="N115" s="88">
        <v>121037077.934177</v>
      </c>
      <c r="O115" s="88">
        <v>121087510.049982</v>
      </c>
      <c r="P115" s="88">
        <v>121137963.17917</v>
      </c>
      <c r="Q115" s="88">
        <v>121188437.330495</v>
      </c>
      <c r="R115" s="88">
        <v>121238932.512716</v>
      </c>
      <c r="S115" s="88">
        <f t="shared" si="1"/>
        <v>1451539130.590276</v>
      </c>
    </row>
    <row r="116" spans="1:19" x14ac:dyDescent="0.3">
      <c r="A116" s="195">
        <v>236</v>
      </c>
      <c r="B116" s="177" t="s">
        <v>162</v>
      </c>
      <c r="C116" s="177" t="s">
        <v>163</v>
      </c>
      <c r="D116" s="201" t="s">
        <v>368</v>
      </c>
      <c r="E116" s="88" t="s">
        <v>369</v>
      </c>
      <c r="F116" s="88">
        <v>0</v>
      </c>
      <c r="G116" s="88">
        <v>19191337.6695829</v>
      </c>
      <c r="H116" s="88">
        <v>26814378.717757098</v>
      </c>
      <c r="I116" s="88">
        <v>25377375.734316401</v>
      </c>
      <c r="J116" s="88">
        <v>23857131.306695301</v>
      </c>
      <c r="K116" s="88">
        <v>40692545.061730698</v>
      </c>
      <c r="L116" s="88">
        <v>45543377.250467598</v>
      </c>
      <c r="M116" s="88">
        <v>68318983.628554493</v>
      </c>
      <c r="N116" s="88">
        <v>91157108.364112705</v>
      </c>
      <c r="O116" s="88">
        <v>92103587.212003604</v>
      </c>
      <c r="P116" s="88">
        <v>104450420.76456051</v>
      </c>
      <c r="Q116" s="88">
        <v>22243989.8804143</v>
      </c>
      <c r="R116" s="88">
        <v>12925257.539249999</v>
      </c>
      <c r="S116" s="88">
        <f t="shared" si="1"/>
        <v>572675493.12944555</v>
      </c>
    </row>
    <row r="117" spans="1:19" x14ac:dyDescent="0.3">
      <c r="A117" s="195">
        <v>237</v>
      </c>
      <c r="B117" s="177" t="s">
        <v>162</v>
      </c>
      <c r="C117" s="177" t="s">
        <v>163</v>
      </c>
      <c r="D117" s="201" t="s">
        <v>370</v>
      </c>
      <c r="E117" s="88" t="s">
        <v>371</v>
      </c>
      <c r="F117" s="88">
        <v>0</v>
      </c>
      <c r="G117" s="88">
        <v>29591297.1952684</v>
      </c>
      <c r="H117" s="88">
        <v>44627588.829847999</v>
      </c>
      <c r="I117" s="88">
        <v>48471565.992010102</v>
      </c>
      <c r="J117" s="88">
        <v>64105339.101437002</v>
      </c>
      <c r="K117" s="88">
        <v>52044569.100345202</v>
      </c>
      <c r="L117" s="88">
        <v>46349927.203795701</v>
      </c>
      <c r="M117" s="88">
        <v>51710904.4276281</v>
      </c>
      <c r="N117" s="88">
        <v>60363355.102329999</v>
      </c>
      <c r="O117" s="88">
        <v>48920262.856631301</v>
      </c>
      <c r="P117" s="88">
        <v>63514274.977524802</v>
      </c>
      <c r="Q117" s="88">
        <v>50595293.619069397</v>
      </c>
      <c r="R117" s="88">
        <v>35201520.636353798</v>
      </c>
      <c r="S117" s="88">
        <f t="shared" si="1"/>
        <v>595495899.04224181</v>
      </c>
    </row>
    <row r="118" spans="1:19" x14ac:dyDescent="0.3">
      <c r="A118" s="195">
        <v>238</v>
      </c>
      <c r="B118" s="177" t="s">
        <v>162</v>
      </c>
      <c r="C118" s="177" t="s">
        <v>163</v>
      </c>
      <c r="D118" s="201" t="s">
        <v>372</v>
      </c>
      <c r="E118" s="88" t="s">
        <v>373</v>
      </c>
      <c r="F118" s="88">
        <v>0</v>
      </c>
      <c r="G118" s="88">
        <v>0</v>
      </c>
      <c r="H118" s="88">
        <v>0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f t="shared" si="1"/>
        <v>0</v>
      </c>
    </row>
    <row r="119" spans="1:19" x14ac:dyDescent="0.3">
      <c r="A119" s="195">
        <v>241</v>
      </c>
      <c r="B119" s="177" t="s">
        <v>162</v>
      </c>
      <c r="C119" s="177" t="s">
        <v>163</v>
      </c>
      <c r="D119" s="201" t="s">
        <v>374</v>
      </c>
      <c r="E119" s="88" t="s">
        <v>375</v>
      </c>
      <c r="F119" s="88">
        <v>0</v>
      </c>
      <c r="G119" s="88">
        <v>12043092.1800001</v>
      </c>
      <c r="H119" s="88">
        <v>12152692.18</v>
      </c>
      <c r="I119" s="88">
        <v>12206892.1800001</v>
      </c>
      <c r="J119" s="88">
        <v>12410092.18</v>
      </c>
      <c r="K119" s="88">
        <v>13262092.18</v>
      </c>
      <c r="L119" s="88">
        <v>14134892.179999899</v>
      </c>
      <c r="M119" s="88">
        <v>14640092.18</v>
      </c>
      <c r="N119" s="88">
        <v>15218452.18</v>
      </c>
      <c r="O119" s="88">
        <v>15446572.18</v>
      </c>
      <c r="P119" s="88">
        <v>14377076.18</v>
      </c>
      <c r="Q119" s="88">
        <v>13314340.18</v>
      </c>
      <c r="R119" s="88">
        <v>13498460.1800001</v>
      </c>
      <c r="S119" s="88">
        <f t="shared" si="1"/>
        <v>162704746.16000023</v>
      </c>
    </row>
    <row r="120" spans="1:19" x14ac:dyDescent="0.3">
      <c r="A120" s="195">
        <v>242</v>
      </c>
      <c r="B120" s="177" t="s">
        <v>162</v>
      </c>
      <c r="C120" s="177" t="s">
        <v>163</v>
      </c>
      <c r="D120" s="201" t="s">
        <v>376</v>
      </c>
      <c r="E120" s="88" t="s">
        <v>377</v>
      </c>
      <c r="F120" s="88">
        <v>0</v>
      </c>
      <c r="G120" s="88">
        <v>39567949.289999999</v>
      </c>
      <c r="H120" s="88">
        <v>39661949.289999999</v>
      </c>
      <c r="I120" s="88">
        <v>38435770.1848258</v>
      </c>
      <c r="J120" s="88">
        <v>38513770.1848258</v>
      </c>
      <c r="K120" s="88">
        <v>38568770.1848258</v>
      </c>
      <c r="L120" s="88">
        <v>39379718.219651803</v>
      </c>
      <c r="M120" s="88">
        <v>39390718.219651803</v>
      </c>
      <c r="N120" s="88">
        <v>39435718.219651803</v>
      </c>
      <c r="O120" s="88">
        <v>40215666.254477598</v>
      </c>
      <c r="P120" s="88">
        <v>40260666.254477598</v>
      </c>
      <c r="Q120" s="88">
        <v>40305666.254477598</v>
      </c>
      <c r="R120" s="88">
        <v>40869614.289303496</v>
      </c>
      <c r="S120" s="88">
        <f t="shared" si="1"/>
        <v>474605976.84616917</v>
      </c>
    </row>
    <row r="121" spans="1:19" x14ac:dyDescent="0.3">
      <c r="A121" s="195">
        <v>243</v>
      </c>
      <c r="B121" s="177" t="s">
        <v>162</v>
      </c>
      <c r="C121" s="177" t="s">
        <v>163</v>
      </c>
      <c r="D121" s="201" t="s">
        <v>378</v>
      </c>
      <c r="E121" s="88" t="s">
        <v>379</v>
      </c>
      <c r="F121" s="88">
        <v>0</v>
      </c>
      <c r="G121" s="88">
        <v>2219975.9631821001</v>
      </c>
      <c r="H121" s="88">
        <v>2221956.7459736001</v>
      </c>
      <c r="I121" s="88">
        <v>2246764.6784258001</v>
      </c>
      <c r="J121" s="88">
        <v>2248751.0436868002</v>
      </c>
      <c r="K121" s="88">
        <v>2250752.1533762999</v>
      </c>
      <c r="L121" s="88">
        <v>2275810.6437300998</v>
      </c>
      <c r="M121" s="88">
        <v>2277817.3931307001</v>
      </c>
      <c r="N121" s="88">
        <v>2279826.9683327</v>
      </c>
      <c r="O121" s="88">
        <v>2305173.3054914</v>
      </c>
      <c r="P121" s="88">
        <v>2307188.5442391001</v>
      </c>
      <c r="Q121" s="88">
        <v>2309206.6207424002</v>
      </c>
      <c r="R121" s="88">
        <v>1831399.0999980001</v>
      </c>
      <c r="S121" s="88">
        <f t="shared" si="1"/>
        <v>26774623.160309002</v>
      </c>
    </row>
    <row r="122" spans="1:19" x14ac:dyDescent="0.3">
      <c r="A122" s="195">
        <v>245</v>
      </c>
      <c r="B122" s="177" t="s">
        <v>162</v>
      </c>
      <c r="C122" s="177" t="s">
        <v>163</v>
      </c>
      <c r="D122" s="201" t="s">
        <v>380</v>
      </c>
      <c r="E122" s="88" t="s">
        <v>381</v>
      </c>
      <c r="F122" s="88">
        <v>0</v>
      </c>
      <c r="G122" s="88">
        <v>0</v>
      </c>
      <c r="H122" s="88">
        <v>0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f t="shared" si="1"/>
        <v>0</v>
      </c>
    </row>
    <row r="123" spans="1:19" x14ac:dyDescent="0.3">
      <c r="A123" s="195">
        <v>252</v>
      </c>
      <c r="B123" s="177" t="s">
        <v>162</v>
      </c>
      <c r="C123" s="177" t="s">
        <v>163</v>
      </c>
      <c r="D123" s="201" t="s">
        <v>382</v>
      </c>
      <c r="E123" s="88" t="s">
        <v>383</v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f t="shared" si="1"/>
        <v>0</v>
      </c>
    </row>
    <row r="124" spans="1:19" x14ac:dyDescent="0.3">
      <c r="A124" s="195">
        <v>253</v>
      </c>
      <c r="B124" s="177" t="s">
        <v>162</v>
      </c>
      <c r="C124" s="177" t="s">
        <v>163</v>
      </c>
      <c r="D124" s="201" t="s">
        <v>384</v>
      </c>
      <c r="E124" s="88" t="s">
        <v>385</v>
      </c>
      <c r="F124" s="88">
        <v>0</v>
      </c>
      <c r="G124" s="88">
        <v>30048417.234761801</v>
      </c>
      <c r="H124" s="88">
        <v>31726441.461231101</v>
      </c>
      <c r="I124" s="88">
        <v>32054678.755257498</v>
      </c>
      <c r="J124" s="88">
        <v>27027576.0865108</v>
      </c>
      <c r="K124" s="88">
        <v>28858251.476195499</v>
      </c>
      <c r="L124" s="88">
        <v>32838609.355730899</v>
      </c>
      <c r="M124" s="88">
        <v>28377393.735798601</v>
      </c>
      <c r="N124" s="88">
        <v>28730750.697996501</v>
      </c>
      <c r="O124" s="88">
        <v>31772863.605962899</v>
      </c>
      <c r="P124" s="88">
        <v>33743822.724322803</v>
      </c>
      <c r="Q124" s="88">
        <v>35386053.515369199</v>
      </c>
      <c r="R124" s="88">
        <v>38095902.782142498</v>
      </c>
      <c r="S124" s="88">
        <f t="shared" si="1"/>
        <v>378660761.43128008</v>
      </c>
    </row>
    <row r="125" spans="1:19" x14ac:dyDescent="0.3">
      <c r="A125" s="195">
        <v>254</v>
      </c>
      <c r="B125" s="177" t="s">
        <v>162</v>
      </c>
      <c r="C125" s="177" t="s">
        <v>163</v>
      </c>
      <c r="D125" s="201" t="s">
        <v>386</v>
      </c>
      <c r="E125" s="88" t="s">
        <v>387</v>
      </c>
      <c r="F125" s="88">
        <v>0</v>
      </c>
      <c r="G125" s="88">
        <v>520899122.14830321</v>
      </c>
      <c r="H125" s="88">
        <v>518880312.39834309</v>
      </c>
      <c r="I125" s="88">
        <v>523843905.16764081</v>
      </c>
      <c r="J125" s="88">
        <v>522773254.52823812</v>
      </c>
      <c r="K125" s="88">
        <v>522770243.54677588</v>
      </c>
      <c r="L125" s="88">
        <v>522847116.49038869</v>
      </c>
      <c r="M125" s="88">
        <v>522818721.7718631</v>
      </c>
      <c r="N125" s="88">
        <v>524298228.51559019</v>
      </c>
      <c r="O125" s="88">
        <v>527623439.81169599</v>
      </c>
      <c r="P125" s="88">
        <v>539814820.10134006</v>
      </c>
      <c r="Q125" s="88">
        <v>545939728.73853505</v>
      </c>
      <c r="R125" s="88">
        <v>543889302.90357983</v>
      </c>
      <c r="S125" s="88">
        <f t="shared" si="1"/>
        <v>6336398196.1222944</v>
      </c>
    </row>
    <row r="126" spans="1:19" x14ac:dyDescent="0.3">
      <c r="A126" s="195">
        <v>255</v>
      </c>
      <c r="B126" s="177" t="s">
        <v>162</v>
      </c>
      <c r="C126" s="177" t="s">
        <v>163</v>
      </c>
      <c r="D126" s="201" t="s">
        <v>388</v>
      </c>
      <c r="E126" s="88" t="s">
        <v>389</v>
      </c>
      <c r="F126" s="88">
        <v>0</v>
      </c>
      <c r="G126" s="88">
        <v>236478499.19</v>
      </c>
      <c r="H126" s="88">
        <v>236079875.19</v>
      </c>
      <c r="I126" s="88">
        <v>235406143.19</v>
      </c>
      <c r="J126" s="88">
        <v>234732411.19</v>
      </c>
      <c r="K126" s="88">
        <v>234058679.19</v>
      </c>
      <c r="L126" s="88">
        <v>233384947.19</v>
      </c>
      <c r="M126" s="88">
        <v>232711215.19</v>
      </c>
      <c r="N126" s="88">
        <v>232037483.19</v>
      </c>
      <c r="O126" s="88">
        <v>236844751.19</v>
      </c>
      <c r="P126" s="88">
        <v>236125344.19</v>
      </c>
      <c r="Q126" s="88">
        <v>235405937.19</v>
      </c>
      <c r="R126" s="88">
        <v>234686520.19</v>
      </c>
      <c r="S126" s="88">
        <f t="shared" si="1"/>
        <v>2817951806.2800002</v>
      </c>
    </row>
    <row r="127" spans="1:19" x14ac:dyDescent="0.3">
      <c r="A127" s="195">
        <v>256</v>
      </c>
      <c r="B127" s="177" t="s">
        <v>162</v>
      </c>
      <c r="C127" s="177" t="s">
        <v>163</v>
      </c>
      <c r="D127" s="201" t="s">
        <v>390</v>
      </c>
      <c r="E127" s="88" t="s">
        <v>391</v>
      </c>
      <c r="F127" s="88">
        <v>0</v>
      </c>
      <c r="G127" s="88">
        <v>-7876.12</v>
      </c>
      <c r="H127" s="88">
        <v>-7876.12</v>
      </c>
      <c r="I127" s="88">
        <v>-7876.12</v>
      </c>
      <c r="J127" s="88">
        <v>-7876.12</v>
      </c>
      <c r="K127" s="88">
        <v>-7876.12</v>
      </c>
      <c r="L127" s="88">
        <v>-7876.12</v>
      </c>
      <c r="M127" s="88">
        <v>-7876.12</v>
      </c>
      <c r="N127" s="88">
        <v>-7876.12</v>
      </c>
      <c r="O127" s="88">
        <v>-7876.12</v>
      </c>
      <c r="P127" s="88">
        <v>-7876.12</v>
      </c>
      <c r="Q127" s="88">
        <v>-7876.12</v>
      </c>
      <c r="R127" s="88">
        <v>-7876.12</v>
      </c>
      <c r="S127" s="88">
        <f t="shared" si="1"/>
        <v>-94513.439999999988</v>
      </c>
    </row>
    <row r="128" spans="1:19" x14ac:dyDescent="0.3">
      <c r="A128" s="195">
        <v>257</v>
      </c>
      <c r="B128" s="177" t="s">
        <v>162</v>
      </c>
      <c r="C128" s="177" t="s">
        <v>163</v>
      </c>
      <c r="D128" s="201" t="s">
        <v>392</v>
      </c>
      <c r="E128" s="88" t="s">
        <v>393</v>
      </c>
      <c r="F128" s="88">
        <v>0</v>
      </c>
      <c r="G128" s="88">
        <v>0</v>
      </c>
      <c r="H128" s="88">
        <v>0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f t="shared" si="1"/>
        <v>0</v>
      </c>
    </row>
    <row r="129" spans="1:19" x14ac:dyDescent="0.3">
      <c r="A129" s="195">
        <v>281</v>
      </c>
      <c r="B129" s="177" t="s">
        <v>162</v>
      </c>
      <c r="C129" s="177" t="s">
        <v>163</v>
      </c>
      <c r="D129" s="201" t="s">
        <v>394</v>
      </c>
      <c r="E129" s="88" t="s">
        <v>395</v>
      </c>
      <c r="F129" s="88">
        <v>0</v>
      </c>
      <c r="G129" s="88">
        <v>54923093.189999998</v>
      </c>
      <c r="H129" s="88">
        <v>54759891.189999998</v>
      </c>
      <c r="I129" s="88">
        <v>54596689.189999998</v>
      </c>
      <c r="J129" s="88">
        <v>54433487.189999998</v>
      </c>
      <c r="K129" s="88">
        <v>54270285.189999998</v>
      </c>
      <c r="L129" s="88">
        <v>54107083.189999998</v>
      </c>
      <c r="M129" s="88">
        <v>53943881.189999998</v>
      </c>
      <c r="N129" s="88">
        <v>53780679.189999998</v>
      </c>
      <c r="O129" s="88">
        <v>53617477.189999998</v>
      </c>
      <c r="P129" s="88">
        <v>53454275.189999998</v>
      </c>
      <c r="Q129" s="88">
        <v>53291073.189999998</v>
      </c>
      <c r="R129" s="88">
        <v>53127871.189999998</v>
      </c>
      <c r="S129" s="88">
        <f t="shared" si="1"/>
        <v>648305786.27999997</v>
      </c>
    </row>
    <row r="130" spans="1:19" x14ac:dyDescent="0.3">
      <c r="A130" s="195">
        <v>282</v>
      </c>
      <c r="B130" s="177" t="s">
        <v>162</v>
      </c>
      <c r="C130" s="177" t="s">
        <v>163</v>
      </c>
      <c r="D130" s="201" t="s">
        <v>396</v>
      </c>
      <c r="E130" s="88" t="s">
        <v>397</v>
      </c>
      <c r="F130" s="88">
        <v>0</v>
      </c>
      <c r="G130" s="88">
        <v>1491515328.21</v>
      </c>
      <c r="H130" s="88">
        <v>1499524839.21</v>
      </c>
      <c r="I130" s="88">
        <v>1502318127.21</v>
      </c>
      <c r="J130" s="88">
        <v>1510204808.21</v>
      </c>
      <c r="K130" s="88">
        <v>1518818112.21</v>
      </c>
      <c r="L130" s="88">
        <v>1527054475.21</v>
      </c>
      <c r="M130" s="88">
        <v>1535235623.21</v>
      </c>
      <c r="N130" s="88">
        <v>1543403151.21</v>
      </c>
      <c r="O130" s="88">
        <v>1560469502.21</v>
      </c>
      <c r="P130" s="88">
        <v>1568612576.21</v>
      </c>
      <c r="Q130" s="88">
        <v>1576790554.21</v>
      </c>
      <c r="R130" s="88">
        <v>1581777672.21</v>
      </c>
      <c r="S130" s="88">
        <f t="shared" si="1"/>
        <v>18415724769.519997</v>
      </c>
    </row>
    <row r="131" spans="1:19" x14ac:dyDescent="0.3">
      <c r="A131" s="195">
        <v>283</v>
      </c>
      <c r="B131" s="177" t="s">
        <v>162</v>
      </c>
      <c r="C131" s="177" t="s">
        <v>163</v>
      </c>
      <c r="D131" s="201" t="s">
        <v>398</v>
      </c>
      <c r="E131" s="88" t="s">
        <v>399</v>
      </c>
      <c r="F131" s="88">
        <v>0</v>
      </c>
      <c r="G131" s="88">
        <v>60621440.780000001</v>
      </c>
      <c r="H131" s="88">
        <v>59359214.780000001</v>
      </c>
      <c r="I131" s="88">
        <v>68738946.780000001</v>
      </c>
      <c r="J131" s="88">
        <v>66176706.780000001</v>
      </c>
      <c r="K131" s="88">
        <v>63969592.780000001</v>
      </c>
      <c r="L131" s="88">
        <v>59322809.780000001</v>
      </c>
      <c r="M131" s="88">
        <v>55495193.780000001</v>
      </c>
      <c r="N131" s="88">
        <v>52181517.780000001</v>
      </c>
      <c r="O131" s="88">
        <v>44900424.780000001</v>
      </c>
      <c r="P131" s="88">
        <v>44997872.780000001</v>
      </c>
      <c r="Q131" s="88">
        <v>45491850.780000001</v>
      </c>
      <c r="R131" s="88">
        <v>47507059.780000001</v>
      </c>
      <c r="S131" s="88">
        <f t="shared" si="1"/>
        <v>668762631.35999978</v>
      </c>
    </row>
    <row r="132" spans="1:19" x14ac:dyDescent="0.3">
      <c r="A132" s="195">
        <v>403</v>
      </c>
      <c r="B132" s="177" t="s">
        <v>162</v>
      </c>
      <c r="C132" s="177" t="s">
        <v>163</v>
      </c>
      <c r="D132" s="201" t="s">
        <v>400</v>
      </c>
      <c r="E132" s="88" t="s">
        <v>401</v>
      </c>
      <c r="F132" s="88">
        <v>0</v>
      </c>
      <c r="G132" s="88">
        <v>34205781.127366804</v>
      </c>
      <c r="H132" s="88">
        <v>34408753.848585799</v>
      </c>
      <c r="I132" s="88">
        <v>34646572.530244902</v>
      </c>
      <c r="J132" s="88">
        <v>35013188.605203196</v>
      </c>
      <c r="K132" s="88">
        <v>35226630.180031002</v>
      </c>
      <c r="L132" s="88">
        <v>35601527.973921299</v>
      </c>
      <c r="M132" s="88">
        <v>35810766.474385999</v>
      </c>
      <c r="N132" s="88">
        <v>35915518.766862497</v>
      </c>
      <c r="O132" s="88">
        <v>36053678.4218494</v>
      </c>
      <c r="P132" s="88">
        <v>36338928.976649299</v>
      </c>
      <c r="Q132" s="88">
        <v>36446961.174210399</v>
      </c>
      <c r="R132" s="88">
        <v>36542548.618281104</v>
      </c>
      <c r="S132" s="88">
        <f t="shared" si="1"/>
        <v>426210856.69759178</v>
      </c>
    </row>
    <row r="133" spans="1:19" x14ac:dyDescent="0.3">
      <c r="A133" s="195">
        <v>403</v>
      </c>
      <c r="B133" s="177" t="s">
        <v>162</v>
      </c>
      <c r="C133" s="177" t="s">
        <v>163</v>
      </c>
      <c r="D133" s="201" t="s">
        <v>402</v>
      </c>
      <c r="E133" s="88" t="s">
        <v>403</v>
      </c>
      <c r="F133" s="88">
        <v>0</v>
      </c>
      <c r="G133" s="88">
        <v>0</v>
      </c>
      <c r="H133" s="88">
        <v>0</v>
      </c>
      <c r="I133" s="88">
        <v>0</v>
      </c>
      <c r="J133" s="88">
        <v>0</v>
      </c>
      <c r="K133" s="88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f t="shared" si="1"/>
        <v>0</v>
      </c>
    </row>
    <row r="134" spans="1:19" x14ac:dyDescent="0.3">
      <c r="A134" s="195">
        <v>404</v>
      </c>
      <c r="B134" s="177" t="s">
        <v>162</v>
      </c>
      <c r="C134" s="177" t="s">
        <v>163</v>
      </c>
      <c r="D134" s="201" t="s">
        <v>404</v>
      </c>
      <c r="E134" s="88" t="s">
        <v>405</v>
      </c>
      <c r="F134" s="88">
        <v>0</v>
      </c>
      <c r="G134" s="88">
        <v>2962184.0264149001</v>
      </c>
      <c r="H134" s="88">
        <v>2996132.1164148999</v>
      </c>
      <c r="I134" s="88">
        <v>3044144.2664148998</v>
      </c>
      <c r="J134" s="88">
        <v>3073845.1064149002</v>
      </c>
      <c r="K134" s="88">
        <v>3072912.0464149001</v>
      </c>
      <c r="L134" s="88">
        <v>3032298.7364149</v>
      </c>
      <c r="M134" s="88">
        <v>3037521.0264149001</v>
      </c>
      <c r="N134" s="88">
        <v>3037608.6364149</v>
      </c>
      <c r="O134" s="88">
        <v>3031839.4364148998</v>
      </c>
      <c r="P134" s="88">
        <v>3109260.9364148998</v>
      </c>
      <c r="Q134" s="88">
        <v>3119358.9064149</v>
      </c>
      <c r="R134" s="88">
        <v>3131050.9664149</v>
      </c>
      <c r="S134" s="88">
        <f t="shared" si="1"/>
        <v>36648156.206978805</v>
      </c>
    </row>
    <row r="135" spans="1:19" x14ac:dyDescent="0.3">
      <c r="A135" s="195">
        <v>404</v>
      </c>
      <c r="B135" s="177" t="s">
        <v>162</v>
      </c>
      <c r="C135" s="177" t="s">
        <v>163</v>
      </c>
      <c r="D135" s="201" t="s">
        <v>406</v>
      </c>
      <c r="E135" s="88" t="s">
        <v>407</v>
      </c>
      <c r="F135" s="88">
        <v>0</v>
      </c>
      <c r="G135" s="88">
        <v>0</v>
      </c>
      <c r="H135" s="88">
        <v>0</v>
      </c>
      <c r="I135" s="88">
        <v>0</v>
      </c>
      <c r="J135" s="88">
        <v>0</v>
      </c>
      <c r="K135" s="88">
        <v>0</v>
      </c>
      <c r="L135" s="88">
        <v>0</v>
      </c>
      <c r="M135" s="88">
        <v>0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f t="shared" si="1"/>
        <v>0</v>
      </c>
    </row>
    <row r="136" spans="1:19" x14ac:dyDescent="0.3">
      <c r="A136" s="195">
        <v>404</v>
      </c>
      <c r="B136" s="177" t="s">
        <v>162</v>
      </c>
      <c r="C136" s="177" t="s">
        <v>163</v>
      </c>
      <c r="D136" s="201" t="s">
        <v>408</v>
      </c>
      <c r="E136" s="88" t="s">
        <v>409</v>
      </c>
      <c r="F136" s="88">
        <v>0</v>
      </c>
      <c r="G136" s="88">
        <v>0</v>
      </c>
      <c r="H136" s="88">
        <v>0</v>
      </c>
      <c r="I136" s="88">
        <v>0</v>
      </c>
      <c r="J136" s="88">
        <v>0</v>
      </c>
      <c r="K136" s="88">
        <v>0</v>
      </c>
      <c r="L136" s="88">
        <v>0</v>
      </c>
      <c r="M136" s="88">
        <v>0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f t="shared" si="1"/>
        <v>0</v>
      </c>
    </row>
    <row r="137" spans="1:19" x14ac:dyDescent="0.3">
      <c r="A137" s="195">
        <v>404</v>
      </c>
      <c r="B137" s="177" t="s">
        <v>162</v>
      </c>
      <c r="C137" s="177" t="s">
        <v>163</v>
      </c>
      <c r="D137" s="201" t="s">
        <v>410</v>
      </c>
      <c r="E137" s="88" t="s">
        <v>411</v>
      </c>
      <c r="F137" s="88">
        <v>0</v>
      </c>
      <c r="G137" s="88">
        <v>0</v>
      </c>
      <c r="H137" s="88">
        <v>0</v>
      </c>
      <c r="I137" s="88">
        <v>0</v>
      </c>
      <c r="J137" s="88">
        <v>0</v>
      </c>
      <c r="K137" s="88">
        <v>0</v>
      </c>
      <c r="L137" s="88">
        <v>0</v>
      </c>
      <c r="M137" s="88">
        <v>0</v>
      </c>
      <c r="N137" s="88">
        <v>0</v>
      </c>
      <c r="O137" s="88">
        <v>0</v>
      </c>
      <c r="P137" s="88">
        <v>0</v>
      </c>
      <c r="Q137" s="88">
        <v>0</v>
      </c>
      <c r="R137" s="88">
        <v>0</v>
      </c>
      <c r="S137" s="88">
        <f t="shared" si="1"/>
        <v>0</v>
      </c>
    </row>
    <row r="138" spans="1:19" x14ac:dyDescent="0.3">
      <c r="A138" s="195">
        <v>405</v>
      </c>
      <c r="B138" s="177" t="s">
        <v>162</v>
      </c>
      <c r="C138" s="177" t="s">
        <v>163</v>
      </c>
      <c r="D138" s="201" t="s">
        <v>412</v>
      </c>
      <c r="E138" s="88" t="s">
        <v>413</v>
      </c>
      <c r="F138" s="88">
        <v>0</v>
      </c>
      <c r="G138" s="88">
        <v>0</v>
      </c>
      <c r="H138" s="88">
        <v>0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f t="shared" si="1"/>
        <v>0</v>
      </c>
    </row>
    <row r="139" spans="1:19" x14ac:dyDescent="0.3">
      <c r="A139" s="195">
        <v>406</v>
      </c>
      <c r="B139" s="177" t="s">
        <v>162</v>
      </c>
      <c r="C139" s="177" t="s">
        <v>163</v>
      </c>
      <c r="D139" s="201" t="s">
        <v>414</v>
      </c>
      <c r="E139" s="88" t="s">
        <v>415</v>
      </c>
      <c r="F139" s="88">
        <v>0</v>
      </c>
      <c r="G139" s="88">
        <v>15479.11</v>
      </c>
      <c r="H139" s="88">
        <v>15479.11</v>
      </c>
      <c r="I139" s="88">
        <v>15479.11</v>
      </c>
      <c r="J139" s="88">
        <v>15479.11</v>
      </c>
      <c r="K139" s="88">
        <v>15479.11</v>
      </c>
      <c r="L139" s="88">
        <v>15479.11</v>
      </c>
      <c r="M139" s="88">
        <v>15479.11</v>
      </c>
      <c r="N139" s="88">
        <v>15479.11</v>
      </c>
      <c r="O139" s="88">
        <v>15479.11</v>
      </c>
      <c r="P139" s="88">
        <v>15479.11</v>
      </c>
      <c r="Q139" s="88">
        <v>15479.11</v>
      </c>
      <c r="R139" s="88">
        <v>15479.11</v>
      </c>
      <c r="S139" s="88">
        <f t="shared" si="1"/>
        <v>185749.31999999995</v>
      </c>
    </row>
    <row r="140" spans="1:19" x14ac:dyDescent="0.3">
      <c r="A140" s="195">
        <v>407</v>
      </c>
      <c r="B140" s="177" t="s">
        <v>162</v>
      </c>
      <c r="C140" s="177" t="s">
        <v>163</v>
      </c>
      <c r="D140" s="201" t="s">
        <v>416</v>
      </c>
      <c r="E140" s="88" t="s">
        <v>417</v>
      </c>
      <c r="F140" s="88">
        <v>0</v>
      </c>
      <c r="G140" s="88">
        <v>2475501.12</v>
      </c>
      <c r="H140" s="88">
        <v>2475501.12</v>
      </c>
      <c r="I140" s="88">
        <v>2475501.12</v>
      </c>
      <c r="J140" s="88">
        <v>2475501.12</v>
      </c>
      <c r="K140" s="88">
        <v>2475501.12</v>
      </c>
      <c r="L140" s="88">
        <v>2475501.12</v>
      </c>
      <c r="M140" s="88">
        <v>2475501.12</v>
      </c>
      <c r="N140" s="88">
        <v>2475501.12</v>
      </c>
      <c r="O140" s="88">
        <v>2475501.12</v>
      </c>
      <c r="P140" s="88">
        <v>2475501.12</v>
      </c>
      <c r="Q140" s="88">
        <v>2475501.12</v>
      </c>
      <c r="R140" s="88">
        <v>2475501.11</v>
      </c>
      <c r="S140" s="88">
        <f t="shared" si="1"/>
        <v>29706013.430000007</v>
      </c>
    </row>
    <row r="141" spans="1:19" x14ac:dyDescent="0.3">
      <c r="A141" s="195">
        <v>407.1</v>
      </c>
      <c r="B141" s="177" t="s">
        <v>162</v>
      </c>
      <c r="C141" s="177" t="s">
        <v>163</v>
      </c>
      <c r="D141" s="201" t="s">
        <v>418</v>
      </c>
      <c r="E141" s="88" t="s">
        <v>419</v>
      </c>
      <c r="F141" s="88">
        <v>0</v>
      </c>
      <c r="G141" s="88">
        <v>0</v>
      </c>
      <c r="H141" s="88">
        <v>0</v>
      </c>
      <c r="I141" s="88">
        <v>0</v>
      </c>
      <c r="J141" s="88">
        <v>0</v>
      </c>
      <c r="K141" s="88">
        <v>0</v>
      </c>
      <c r="L141" s="88">
        <v>0</v>
      </c>
      <c r="M141" s="88">
        <v>0</v>
      </c>
      <c r="N141" s="88">
        <v>0</v>
      </c>
      <c r="O141" s="88">
        <v>0</v>
      </c>
      <c r="P141" s="88">
        <v>0</v>
      </c>
      <c r="Q141" s="88">
        <v>0</v>
      </c>
      <c r="R141" s="88">
        <v>0</v>
      </c>
      <c r="S141" s="88">
        <f t="shared" si="1"/>
        <v>0</v>
      </c>
    </row>
    <row r="142" spans="1:19" x14ac:dyDescent="0.3">
      <c r="A142" s="195">
        <v>407.2</v>
      </c>
      <c r="B142" s="177" t="s">
        <v>162</v>
      </c>
      <c r="C142" s="177" t="s">
        <v>163</v>
      </c>
      <c r="D142" s="201" t="s">
        <v>420</v>
      </c>
      <c r="E142" s="88" t="s">
        <v>421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  <c r="K142" s="88">
        <v>0</v>
      </c>
      <c r="L142" s="88">
        <v>0</v>
      </c>
      <c r="M142" s="88">
        <v>0</v>
      </c>
      <c r="N142" s="88">
        <v>0</v>
      </c>
      <c r="O142" s="88">
        <v>0</v>
      </c>
      <c r="P142" s="88">
        <v>0</v>
      </c>
      <c r="Q142" s="88">
        <v>0</v>
      </c>
      <c r="R142" s="88">
        <v>0</v>
      </c>
      <c r="S142" s="88">
        <f t="shared" si="1"/>
        <v>0</v>
      </c>
    </row>
    <row r="143" spans="1:19" x14ac:dyDescent="0.3">
      <c r="A143" s="195">
        <v>407.3</v>
      </c>
      <c r="B143" s="177" t="s">
        <v>162</v>
      </c>
      <c r="C143" s="177" t="s">
        <v>163</v>
      </c>
      <c r="D143" s="201" t="s">
        <v>422</v>
      </c>
      <c r="E143" s="88" t="s">
        <v>423</v>
      </c>
      <c r="F143" s="88">
        <v>0</v>
      </c>
      <c r="G143" s="88">
        <v>13497558.5816365</v>
      </c>
      <c r="H143" s="88">
        <v>13461201.533373199</v>
      </c>
      <c r="I143" s="88">
        <v>13968847.9591127</v>
      </c>
      <c r="J143" s="88">
        <v>15933149.7592318</v>
      </c>
      <c r="K143" s="88">
        <v>15620048.741331499</v>
      </c>
      <c r="L143" s="88">
        <v>21087679.589657899</v>
      </c>
      <c r="M143" s="88">
        <v>21235359.679308701</v>
      </c>
      <c r="N143" s="88">
        <v>20870598.798875701</v>
      </c>
      <c r="O143" s="88">
        <v>25335033.602422498</v>
      </c>
      <c r="P143" s="88">
        <v>18275209.130223799</v>
      </c>
      <c r="Q143" s="88">
        <v>13399599.707875799</v>
      </c>
      <c r="R143" s="88">
        <v>12859333.751640501</v>
      </c>
      <c r="S143" s="88">
        <f t="shared" ref="S143:S206" si="2">SUM(F143:R143)</f>
        <v>205543620.8346906</v>
      </c>
    </row>
    <row r="144" spans="1:19" x14ac:dyDescent="0.3">
      <c r="A144" s="195">
        <v>407.4</v>
      </c>
      <c r="B144" s="177" t="s">
        <v>162</v>
      </c>
      <c r="C144" s="177" t="s">
        <v>163</v>
      </c>
      <c r="D144" s="201" t="s">
        <v>424</v>
      </c>
      <c r="E144" s="88" t="s">
        <v>425</v>
      </c>
      <c r="F144" s="88">
        <v>0</v>
      </c>
      <c r="G144" s="88">
        <v>-6778029.8128492003</v>
      </c>
      <c r="H144" s="88">
        <v>-5201571.3083421001</v>
      </c>
      <c r="I144" s="88">
        <v>-5787918.9833153998</v>
      </c>
      <c r="J144" s="88">
        <v>-2317340.8558399999</v>
      </c>
      <c r="K144" s="88">
        <v>-2634403.4190611001</v>
      </c>
      <c r="L144" s="88">
        <v>-1152876</v>
      </c>
      <c r="M144" s="88">
        <v>-1152876</v>
      </c>
      <c r="N144" s="88">
        <v>-1152876</v>
      </c>
      <c r="O144" s="88">
        <v>-1152876</v>
      </c>
      <c r="P144" s="88">
        <v>-1152876</v>
      </c>
      <c r="Q144" s="88">
        <v>-2517717.9420449999</v>
      </c>
      <c r="R144" s="88">
        <v>-14403291.5848442</v>
      </c>
      <c r="S144" s="88">
        <f t="shared" si="2"/>
        <v>-45404653.906296998</v>
      </c>
    </row>
    <row r="145" spans="1:19" x14ac:dyDescent="0.3">
      <c r="A145" s="195">
        <v>408</v>
      </c>
      <c r="B145" s="177" t="s">
        <v>162</v>
      </c>
      <c r="C145" s="177" t="s">
        <v>163</v>
      </c>
      <c r="D145" s="201" t="s">
        <v>426</v>
      </c>
      <c r="E145" s="88" t="s">
        <v>427</v>
      </c>
      <c r="F145" s="88">
        <v>0</v>
      </c>
      <c r="G145" s="88">
        <v>18242567.430204999</v>
      </c>
      <c r="H145" s="88">
        <v>17475590.746084701</v>
      </c>
      <c r="I145" s="88">
        <v>17358301.972268999</v>
      </c>
      <c r="J145" s="88">
        <v>17750825.8823511</v>
      </c>
      <c r="K145" s="88">
        <v>18717896.823051199</v>
      </c>
      <c r="L145" s="88">
        <v>20253106.160507701</v>
      </c>
      <c r="M145" s="88">
        <v>20927468.988385201</v>
      </c>
      <c r="N145" s="88">
        <v>20776623.212662298</v>
      </c>
      <c r="O145" s="88">
        <v>21186622.376331698</v>
      </c>
      <c r="P145" s="88">
        <v>19924395.463133801</v>
      </c>
      <c r="Q145" s="88">
        <v>18194738.8372689</v>
      </c>
      <c r="R145" s="88">
        <v>17837410.345667999</v>
      </c>
      <c r="S145" s="88">
        <f t="shared" si="2"/>
        <v>228645548.23791859</v>
      </c>
    </row>
    <row r="146" spans="1:19" x14ac:dyDescent="0.3">
      <c r="A146" s="195">
        <v>408</v>
      </c>
      <c r="B146" s="177" t="s">
        <v>162</v>
      </c>
      <c r="C146" s="177" t="s">
        <v>163</v>
      </c>
      <c r="D146" s="201" t="s">
        <v>428</v>
      </c>
      <c r="E146" s="88" t="s">
        <v>429</v>
      </c>
      <c r="F146" s="88">
        <v>0</v>
      </c>
      <c r="G146" s="88">
        <v>13718.1060691</v>
      </c>
      <c r="H146" s="88">
        <v>13467.257302599999</v>
      </c>
      <c r="I146" s="88">
        <v>13467.257302599999</v>
      </c>
      <c r="J146" s="88">
        <v>13645.981296800001</v>
      </c>
      <c r="K146" s="88">
        <v>13811.7076206</v>
      </c>
      <c r="L146" s="88">
        <v>13314.5282871</v>
      </c>
      <c r="M146" s="88">
        <v>13903.066503</v>
      </c>
      <c r="N146" s="88">
        <v>13733.368055999999</v>
      </c>
      <c r="O146" s="88">
        <v>13563.669609</v>
      </c>
      <c r="P146" s="88">
        <v>13903.066503</v>
      </c>
      <c r="Q146" s="88">
        <v>13563.669609</v>
      </c>
      <c r="R146" s="88">
        <v>13733.368055999999</v>
      </c>
      <c r="S146" s="88">
        <f t="shared" si="2"/>
        <v>163825.04621480001</v>
      </c>
    </row>
    <row r="147" spans="1:19" x14ac:dyDescent="0.3">
      <c r="A147" s="195">
        <v>409</v>
      </c>
      <c r="B147" s="177" t="s">
        <v>162</v>
      </c>
      <c r="C147" s="177" t="s">
        <v>163</v>
      </c>
      <c r="D147" s="201" t="s">
        <v>430</v>
      </c>
      <c r="E147" s="88" t="s">
        <v>431</v>
      </c>
      <c r="F147" s="88">
        <v>0</v>
      </c>
      <c r="G147" s="88">
        <v>1747929</v>
      </c>
      <c r="H147" s="88">
        <v>153008</v>
      </c>
      <c r="I147" s="88">
        <v>-7391371</v>
      </c>
      <c r="J147" s="88">
        <v>4412635</v>
      </c>
      <c r="K147" s="88">
        <v>7805202</v>
      </c>
      <c r="L147" s="88">
        <v>12449608</v>
      </c>
      <c r="M147" s="88">
        <v>14215118</v>
      </c>
      <c r="N147" s="88">
        <v>14518798</v>
      </c>
      <c r="O147" s="88">
        <v>9756266</v>
      </c>
      <c r="P147" s="88">
        <v>5575225</v>
      </c>
      <c r="Q147" s="88">
        <v>-182593</v>
      </c>
      <c r="R147" s="88">
        <v>343808</v>
      </c>
      <c r="S147" s="88">
        <f t="shared" si="2"/>
        <v>63403633</v>
      </c>
    </row>
    <row r="148" spans="1:19" x14ac:dyDescent="0.3">
      <c r="A148" s="195">
        <v>409</v>
      </c>
      <c r="B148" s="177" t="s">
        <v>162</v>
      </c>
      <c r="C148" s="177" t="s">
        <v>163</v>
      </c>
      <c r="D148" s="201" t="s">
        <v>432</v>
      </c>
      <c r="E148" s="88" t="s">
        <v>433</v>
      </c>
      <c r="F148" s="88">
        <v>0</v>
      </c>
      <c r="G148" s="88">
        <v>376432</v>
      </c>
      <c r="H148" s="88">
        <v>408577</v>
      </c>
      <c r="I148" s="88">
        <v>868450</v>
      </c>
      <c r="J148" s="88">
        <v>376641</v>
      </c>
      <c r="K148" s="88">
        <v>385739</v>
      </c>
      <c r="L148" s="88">
        <v>307233</v>
      </c>
      <c r="M148" s="88">
        <v>1063239</v>
      </c>
      <c r="N148" s="88">
        <v>682037</v>
      </c>
      <c r="O148" s="88">
        <v>300802</v>
      </c>
      <c r="P148" s="88">
        <v>305264</v>
      </c>
      <c r="Q148" s="88">
        <v>313803</v>
      </c>
      <c r="R148" s="88">
        <v>270247</v>
      </c>
      <c r="S148" s="88">
        <f t="shared" si="2"/>
        <v>5658464</v>
      </c>
    </row>
    <row r="149" spans="1:19" x14ac:dyDescent="0.3">
      <c r="A149" s="195">
        <v>409</v>
      </c>
      <c r="B149" s="177" t="s">
        <v>162</v>
      </c>
      <c r="C149" s="177" t="s">
        <v>163</v>
      </c>
      <c r="D149" s="201" t="s">
        <v>434</v>
      </c>
      <c r="E149" s="88" t="s">
        <v>435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0</v>
      </c>
      <c r="M149" s="88">
        <v>0</v>
      </c>
      <c r="N149" s="88">
        <v>0</v>
      </c>
      <c r="O149" s="88">
        <v>0</v>
      </c>
      <c r="P149" s="88">
        <v>0</v>
      </c>
      <c r="Q149" s="88">
        <v>0</v>
      </c>
      <c r="R149" s="88">
        <v>0</v>
      </c>
      <c r="S149" s="88">
        <f t="shared" si="2"/>
        <v>0</v>
      </c>
    </row>
    <row r="150" spans="1:19" x14ac:dyDescent="0.3">
      <c r="A150" s="195">
        <v>410</v>
      </c>
      <c r="B150" s="177" t="s">
        <v>162</v>
      </c>
      <c r="C150" s="177" t="s">
        <v>163</v>
      </c>
      <c r="D150" s="201" t="s">
        <v>436</v>
      </c>
      <c r="E150" s="88" t="s">
        <v>437</v>
      </c>
      <c r="F150" s="88">
        <v>0</v>
      </c>
      <c r="G150" s="88">
        <v>13087984</v>
      </c>
      <c r="H150" s="88">
        <v>8506501</v>
      </c>
      <c r="I150" s="88">
        <v>20978886</v>
      </c>
      <c r="J150" s="88">
        <v>8379629</v>
      </c>
      <c r="K150" s="88">
        <v>8907178</v>
      </c>
      <c r="L150" s="88">
        <v>8354789</v>
      </c>
      <c r="M150" s="88">
        <v>8461038</v>
      </c>
      <c r="N150" s="88">
        <v>8318178</v>
      </c>
      <c r="O150" s="88">
        <v>8218569</v>
      </c>
      <c r="P150" s="88">
        <v>7983102</v>
      </c>
      <c r="Q150" s="88">
        <v>8050787</v>
      </c>
      <c r="R150" s="88">
        <v>11593916</v>
      </c>
      <c r="S150" s="88">
        <f t="shared" si="2"/>
        <v>120840557</v>
      </c>
    </row>
    <row r="151" spans="1:19" x14ac:dyDescent="0.3">
      <c r="A151" s="195">
        <v>410</v>
      </c>
      <c r="B151" s="177" t="s">
        <v>162</v>
      </c>
      <c r="C151" s="177" t="s">
        <v>163</v>
      </c>
      <c r="D151" s="201" t="s">
        <v>438</v>
      </c>
      <c r="E151" s="88" t="s">
        <v>439</v>
      </c>
      <c r="F151" s="88">
        <v>0</v>
      </c>
      <c r="G151" s="88">
        <v>0</v>
      </c>
      <c r="H151" s="88">
        <v>0</v>
      </c>
      <c r="I151" s="88">
        <v>0</v>
      </c>
      <c r="J151" s="88">
        <v>0</v>
      </c>
      <c r="K151" s="88">
        <v>0</v>
      </c>
      <c r="L151" s="88">
        <v>0</v>
      </c>
      <c r="M151" s="88">
        <v>0</v>
      </c>
      <c r="N151" s="88">
        <v>0</v>
      </c>
      <c r="O151" s="88">
        <v>0</v>
      </c>
      <c r="P151" s="88">
        <v>0</v>
      </c>
      <c r="Q151" s="88">
        <v>0</v>
      </c>
      <c r="R151" s="88">
        <v>0</v>
      </c>
      <c r="S151" s="88">
        <f t="shared" si="2"/>
        <v>0</v>
      </c>
    </row>
    <row r="152" spans="1:19" x14ac:dyDescent="0.3">
      <c r="A152" s="195">
        <v>411</v>
      </c>
      <c r="B152" s="177" t="s">
        <v>162</v>
      </c>
      <c r="C152" s="177" t="s">
        <v>163</v>
      </c>
      <c r="D152" s="201" t="s">
        <v>440</v>
      </c>
      <c r="E152" s="88" t="s">
        <v>441</v>
      </c>
      <c r="F152" s="88">
        <v>0</v>
      </c>
      <c r="G152" s="88">
        <v>-11421782.5</v>
      </c>
      <c r="H152" s="88">
        <v>-8006443.5</v>
      </c>
      <c r="I152" s="88">
        <v>-8750712.5</v>
      </c>
      <c r="J152" s="88">
        <v>-10379674.5</v>
      </c>
      <c r="K152" s="88">
        <v>-10505865.5</v>
      </c>
      <c r="L152" s="88">
        <v>-12486092.5</v>
      </c>
      <c r="M152" s="88">
        <v>-11922712.5</v>
      </c>
      <c r="N152" s="88">
        <v>-11251565.5</v>
      </c>
      <c r="O152" s="88">
        <v>-18361371.5</v>
      </c>
      <c r="P152" s="88">
        <v>-7232582.5</v>
      </c>
      <c r="Q152" s="88">
        <v>-6289229.5</v>
      </c>
      <c r="R152" s="88">
        <v>-7479498.5</v>
      </c>
      <c r="S152" s="88">
        <f t="shared" si="2"/>
        <v>-124087531</v>
      </c>
    </row>
    <row r="153" spans="1:19" x14ac:dyDescent="0.3">
      <c r="A153" s="195">
        <v>411</v>
      </c>
      <c r="B153" s="177" t="s">
        <v>162</v>
      </c>
      <c r="C153" s="177" t="s">
        <v>163</v>
      </c>
      <c r="D153" s="201" t="s">
        <v>442</v>
      </c>
      <c r="E153" s="88" t="s">
        <v>443</v>
      </c>
      <c r="F153" s="88">
        <v>0</v>
      </c>
      <c r="G153" s="88">
        <v>0</v>
      </c>
      <c r="H153" s="88">
        <v>0</v>
      </c>
      <c r="I153" s="88">
        <v>0</v>
      </c>
      <c r="J153" s="88">
        <v>0</v>
      </c>
      <c r="K153" s="88">
        <v>0</v>
      </c>
      <c r="L153" s="88">
        <v>0</v>
      </c>
      <c r="M153" s="88">
        <v>0</v>
      </c>
      <c r="N153" s="88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f t="shared" si="2"/>
        <v>0</v>
      </c>
    </row>
    <row r="154" spans="1:19" x14ac:dyDescent="0.3">
      <c r="A154" s="195">
        <v>411</v>
      </c>
      <c r="B154" s="177" t="s">
        <v>162</v>
      </c>
      <c r="C154" s="177" t="s">
        <v>163</v>
      </c>
      <c r="D154" s="201" t="s">
        <v>444</v>
      </c>
      <c r="E154" s="88" t="s">
        <v>445</v>
      </c>
      <c r="F154" s="88">
        <v>0</v>
      </c>
      <c r="G154" s="88">
        <v>-685043.5</v>
      </c>
      <c r="H154" s="88">
        <v>-685043.5</v>
      </c>
      <c r="I154" s="88">
        <v>-685043.5</v>
      </c>
      <c r="J154" s="88">
        <v>-685043.5</v>
      </c>
      <c r="K154" s="88">
        <v>-685043.5</v>
      </c>
      <c r="L154" s="88">
        <v>-685043.5</v>
      </c>
      <c r="M154" s="88">
        <v>-685043.5</v>
      </c>
      <c r="N154" s="88">
        <v>-685043.5</v>
      </c>
      <c r="O154" s="88">
        <v>-685043.5</v>
      </c>
      <c r="P154" s="88">
        <v>-685043.5</v>
      </c>
      <c r="Q154" s="88">
        <v>-685043.5</v>
      </c>
      <c r="R154" s="88">
        <v>-685043.5</v>
      </c>
      <c r="S154" s="88">
        <f t="shared" si="2"/>
        <v>-8220522</v>
      </c>
    </row>
    <row r="155" spans="1:19" x14ac:dyDescent="0.3">
      <c r="A155" s="195">
        <v>411</v>
      </c>
      <c r="B155" s="177" t="s">
        <v>162</v>
      </c>
      <c r="C155" s="177" t="s">
        <v>163</v>
      </c>
      <c r="D155" s="201" t="s">
        <v>446</v>
      </c>
      <c r="E155" s="88" t="s">
        <v>447</v>
      </c>
      <c r="F155" s="88">
        <v>0</v>
      </c>
      <c r="G155" s="88">
        <v>-1</v>
      </c>
      <c r="H155" s="88">
        <v>-1</v>
      </c>
      <c r="I155" s="88">
        <v>-1</v>
      </c>
      <c r="J155" s="88">
        <v>-1</v>
      </c>
      <c r="K155" s="88">
        <v>-1</v>
      </c>
      <c r="L155" s="88">
        <v>-1</v>
      </c>
      <c r="M155" s="88">
        <v>-1</v>
      </c>
      <c r="N155" s="88">
        <v>-1</v>
      </c>
      <c r="O155" s="88">
        <v>-1</v>
      </c>
      <c r="P155" s="88">
        <v>-1</v>
      </c>
      <c r="Q155" s="88">
        <v>-1</v>
      </c>
      <c r="R155" s="88">
        <v>-1</v>
      </c>
      <c r="S155" s="88">
        <f t="shared" si="2"/>
        <v>-12</v>
      </c>
    </row>
    <row r="156" spans="1:19" x14ac:dyDescent="0.3">
      <c r="A156" s="195">
        <v>411</v>
      </c>
      <c r="B156" s="177" t="s">
        <v>162</v>
      </c>
      <c r="C156" s="177" t="s">
        <v>163</v>
      </c>
      <c r="D156" s="201" t="s">
        <v>448</v>
      </c>
      <c r="E156" s="88" t="s">
        <v>449</v>
      </c>
      <c r="F156" s="88">
        <v>0</v>
      </c>
      <c r="G156" s="88">
        <v>0</v>
      </c>
      <c r="H156" s="88">
        <v>0</v>
      </c>
      <c r="I156" s="88">
        <v>0</v>
      </c>
      <c r="J156" s="88">
        <v>0</v>
      </c>
      <c r="K156" s="88">
        <v>0</v>
      </c>
      <c r="L156" s="88">
        <v>0</v>
      </c>
      <c r="M156" s="88">
        <v>0</v>
      </c>
      <c r="N156" s="88">
        <v>0</v>
      </c>
      <c r="O156" s="88">
        <v>0</v>
      </c>
      <c r="P156" s="88">
        <v>0</v>
      </c>
      <c r="Q156" s="88">
        <v>0</v>
      </c>
      <c r="R156" s="88">
        <v>0</v>
      </c>
      <c r="S156" s="88">
        <f t="shared" si="2"/>
        <v>0</v>
      </c>
    </row>
    <row r="157" spans="1:19" x14ac:dyDescent="0.3">
      <c r="A157" s="195">
        <v>411</v>
      </c>
      <c r="B157" s="177" t="s">
        <v>162</v>
      </c>
      <c r="C157" s="177" t="s">
        <v>163</v>
      </c>
      <c r="D157" s="201" t="s">
        <v>450</v>
      </c>
      <c r="E157" s="88" t="s">
        <v>451</v>
      </c>
      <c r="F157" s="88">
        <v>0</v>
      </c>
      <c r="G157" s="88">
        <v>0</v>
      </c>
      <c r="H157" s="88">
        <v>0</v>
      </c>
      <c r="I157" s="88">
        <v>0</v>
      </c>
      <c r="J157" s="88">
        <v>0</v>
      </c>
      <c r="K157" s="88">
        <v>0</v>
      </c>
      <c r="L157" s="88">
        <v>0</v>
      </c>
      <c r="M157" s="88">
        <v>0</v>
      </c>
      <c r="N157" s="88">
        <v>0</v>
      </c>
      <c r="O157" s="88">
        <v>0</v>
      </c>
      <c r="P157" s="88">
        <v>0</v>
      </c>
      <c r="Q157" s="88">
        <v>0</v>
      </c>
      <c r="R157" s="88">
        <v>0</v>
      </c>
      <c r="S157" s="88">
        <f t="shared" si="2"/>
        <v>0</v>
      </c>
    </row>
    <row r="158" spans="1:19" x14ac:dyDescent="0.3">
      <c r="A158" s="195">
        <v>411</v>
      </c>
      <c r="B158" s="177" t="s">
        <v>162</v>
      </c>
      <c r="C158" s="177" t="s">
        <v>163</v>
      </c>
      <c r="D158" s="201" t="s">
        <v>452</v>
      </c>
      <c r="E158" s="88" t="s">
        <v>453</v>
      </c>
      <c r="F158" s="88">
        <v>0</v>
      </c>
      <c r="G158" s="88">
        <v>303440</v>
      </c>
      <c r="H158" s="88">
        <v>283864</v>
      </c>
      <c r="I158" s="88">
        <v>303440</v>
      </c>
      <c r="J158" s="88">
        <v>293652</v>
      </c>
      <c r="K158" s="88">
        <v>303440</v>
      </c>
      <c r="L158" s="88">
        <v>293652</v>
      </c>
      <c r="M158" s="88">
        <v>303440</v>
      </c>
      <c r="N158" s="88">
        <v>303440</v>
      </c>
      <c r="O158" s="88">
        <v>293652</v>
      </c>
      <c r="P158" s="88">
        <v>303440</v>
      </c>
      <c r="Q158" s="88">
        <v>293652</v>
      </c>
      <c r="R158" s="88">
        <v>303442</v>
      </c>
      <c r="S158" s="88">
        <f t="shared" si="2"/>
        <v>3582554</v>
      </c>
    </row>
    <row r="159" spans="1:19" x14ac:dyDescent="0.3">
      <c r="A159" s="195">
        <v>411</v>
      </c>
      <c r="B159" s="177" t="s">
        <v>162</v>
      </c>
      <c r="C159" s="177" t="s">
        <v>163</v>
      </c>
      <c r="D159" s="201" t="s">
        <v>454</v>
      </c>
      <c r="E159" s="88" t="s">
        <v>455</v>
      </c>
      <c r="F159" s="88">
        <v>0</v>
      </c>
      <c r="G159" s="88">
        <v>0</v>
      </c>
      <c r="H159" s="88">
        <v>0</v>
      </c>
      <c r="I159" s="88">
        <v>0</v>
      </c>
      <c r="J159" s="88">
        <v>0</v>
      </c>
      <c r="K159" s="88">
        <v>0</v>
      </c>
      <c r="L159" s="88">
        <v>0</v>
      </c>
      <c r="M159" s="88">
        <v>0</v>
      </c>
      <c r="N159" s="88">
        <v>0</v>
      </c>
      <c r="O159" s="88">
        <v>0</v>
      </c>
      <c r="P159" s="88">
        <v>0</v>
      </c>
      <c r="Q159" s="88">
        <v>0</v>
      </c>
      <c r="R159" s="88">
        <v>0</v>
      </c>
      <c r="S159" s="88">
        <f t="shared" si="2"/>
        <v>0</v>
      </c>
    </row>
    <row r="160" spans="1:19" x14ac:dyDescent="0.3">
      <c r="A160" s="195">
        <v>412</v>
      </c>
      <c r="B160" s="177" t="s">
        <v>162</v>
      </c>
      <c r="C160" s="177" t="s">
        <v>163</v>
      </c>
      <c r="D160" s="201" t="s">
        <v>456</v>
      </c>
      <c r="E160" s="88" t="s">
        <v>457</v>
      </c>
      <c r="F160" s="88">
        <v>0</v>
      </c>
      <c r="G160" s="88">
        <v>0</v>
      </c>
      <c r="H160" s="88">
        <v>0</v>
      </c>
      <c r="I160" s="88">
        <v>0</v>
      </c>
      <c r="J160" s="88">
        <v>0</v>
      </c>
      <c r="K160" s="88">
        <v>0</v>
      </c>
      <c r="L160" s="88">
        <v>0</v>
      </c>
      <c r="M160" s="88">
        <v>0</v>
      </c>
      <c r="N160" s="88">
        <v>0</v>
      </c>
      <c r="O160" s="88">
        <v>0</v>
      </c>
      <c r="P160" s="88">
        <v>0</v>
      </c>
      <c r="Q160" s="88">
        <v>0</v>
      </c>
      <c r="R160" s="88">
        <v>0</v>
      </c>
      <c r="S160" s="88">
        <f t="shared" si="2"/>
        <v>0</v>
      </c>
    </row>
    <row r="161" spans="1:19" x14ac:dyDescent="0.3">
      <c r="A161" s="195">
        <v>413</v>
      </c>
      <c r="B161" s="177" t="s">
        <v>162</v>
      </c>
      <c r="C161" s="177" t="s">
        <v>163</v>
      </c>
      <c r="D161" s="201" t="s">
        <v>458</v>
      </c>
      <c r="E161" s="88" t="s">
        <v>459</v>
      </c>
      <c r="F161" s="88">
        <v>0</v>
      </c>
      <c r="G161" s="88">
        <v>0</v>
      </c>
      <c r="H161" s="88">
        <v>0</v>
      </c>
      <c r="I161" s="88">
        <v>0</v>
      </c>
      <c r="J161" s="88">
        <v>0</v>
      </c>
      <c r="K161" s="88">
        <v>0</v>
      </c>
      <c r="L161" s="88">
        <v>0</v>
      </c>
      <c r="M161" s="88">
        <v>0</v>
      </c>
      <c r="N161" s="88">
        <v>0</v>
      </c>
      <c r="O161" s="88">
        <v>0</v>
      </c>
      <c r="P161" s="88">
        <v>0</v>
      </c>
      <c r="Q161" s="88">
        <v>0</v>
      </c>
      <c r="R161" s="88">
        <v>0</v>
      </c>
      <c r="S161" s="88">
        <f t="shared" si="2"/>
        <v>0</v>
      </c>
    </row>
    <row r="162" spans="1:19" x14ac:dyDescent="0.3">
      <c r="A162" s="195">
        <v>414</v>
      </c>
      <c r="B162" s="177" t="s">
        <v>162</v>
      </c>
      <c r="C162" s="177" t="s">
        <v>163</v>
      </c>
      <c r="D162" s="201" t="s">
        <v>460</v>
      </c>
      <c r="E162" s="88" t="s">
        <v>461</v>
      </c>
      <c r="F162" s="88">
        <v>0</v>
      </c>
      <c r="G162" s="88">
        <v>0</v>
      </c>
      <c r="H162" s="88">
        <v>0</v>
      </c>
      <c r="I162" s="88">
        <v>0</v>
      </c>
      <c r="J162" s="88">
        <v>0</v>
      </c>
      <c r="K162" s="88">
        <v>0</v>
      </c>
      <c r="L162" s="88">
        <v>0</v>
      </c>
      <c r="M162" s="88">
        <v>0</v>
      </c>
      <c r="N162" s="88">
        <v>0</v>
      </c>
      <c r="O162" s="88">
        <v>0</v>
      </c>
      <c r="P162" s="88">
        <v>0</v>
      </c>
      <c r="Q162" s="88">
        <v>0</v>
      </c>
      <c r="R162" s="88">
        <v>0</v>
      </c>
      <c r="S162" s="88">
        <f t="shared" si="2"/>
        <v>0</v>
      </c>
    </row>
    <row r="163" spans="1:19" x14ac:dyDescent="0.3">
      <c r="A163" s="195">
        <v>415</v>
      </c>
      <c r="B163" s="177" t="s">
        <v>162</v>
      </c>
      <c r="C163" s="177" t="s">
        <v>163</v>
      </c>
      <c r="D163" s="201" t="s">
        <v>462</v>
      </c>
      <c r="E163" s="88" t="s">
        <v>463</v>
      </c>
      <c r="F163" s="88">
        <v>0</v>
      </c>
      <c r="G163" s="88">
        <v>497000</v>
      </c>
      <c r="H163" s="88">
        <v>522600</v>
      </c>
      <c r="I163" s="88">
        <v>498200</v>
      </c>
      <c r="J163" s="88">
        <v>524800</v>
      </c>
      <c r="K163" s="88">
        <v>491500</v>
      </c>
      <c r="L163" s="88">
        <v>493100</v>
      </c>
      <c r="M163" s="88">
        <v>3282737</v>
      </c>
      <c r="N163" s="88">
        <v>2279763</v>
      </c>
      <c r="O163" s="88">
        <v>508900</v>
      </c>
      <c r="P163" s="88">
        <v>559000</v>
      </c>
      <c r="Q163" s="88">
        <v>509100</v>
      </c>
      <c r="R163" s="88">
        <v>544200</v>
      </c>
      <c r="S163" s="88">
        <f t="shared" si="2"/>
        <v>10710900</v>
      </c>
    </row>
    <row r="164" spans="1:19" x14ac:dyDescent="0.3">
      <c r="A164" s="195">
        <v>416</v>
      </c>
      <c r="B164" s="177" t="s">
        <v>162</v>
      </c>
      <c r="C164" s="177" t="s">
        <v>163</v>
      </c>
      <c r="D164" s="201" t="s">
        <v>464</v>
      </c>
      <c r="E164" s="88" t="s">
        <v>465</v>
      </c>
      <c r="F164" s="88">
        <v>0</v>
      </c>
      <c r="G164" s="88">
        <v>343908.11036430002</v>
      </c>
      <c r="H164" s="88">
        <v>337604.71400460001</v>
      </c>
      <c r="I164" s="88">
        <v>351327.9540046</v>
      </c>
      <c r="J164" s="88">
        <v>387983.10840949998</v>
      </c>
      <c r="K164" s="88">
        <v>361328.6853824</v>
      </c>
      <c r="L164" s="88">
        <v>353619.578629</v>
      </c>
      <c r="M164" s="88">
        <v>366019.3273601</v>
      </c>
      <c r="N164" s="88">
        <v>394233.38990289997</v>
      </c>
      <c r="O164" s="88">
        <v>364183.02244570001</v>
      </c>
      <c r="P164" s="88">
        <v>370235.11736009998</v>
      </c>
      <c r="Q164" s="88">
        <v>365816.29244569998</v>
      </c>
      <c r="R164" s="88">
        <v>374206.7299029</v>
      </c>
      <c r="S164" s="88">
        <f t="shared" si="2"/>
        <v>4370466.0302118007</v>
      </c>
    </row>
    <row r="165" spans="1:19" x14ac:dyDescent="0.3">
      <c r="A165" s="195">
        <v>417</v>
      </c>
      <c r="B165" s="177" t="s">
        <v>162</v>
      </c>
      <c r="C165" s="177" t="s">
        <v>163</v>
      </c>
      <c r="D165" s="201" t="s">
        <v>466</v>
      </c>
      <c r="E165" s="88" t="s">
        <v>467</v>
      </c>
      <c r="F165" s="88">
        <v>0</v>
      </c>
      <c r="G165" s="88">
        <v>0</v>
      </c>
      <c r="H165" s="88">
        <v>0</v>
      </c>
      <c r="I165" s="88">
        <v>0</v>
      </c>
      <c r="J165" s="88">
        <v>0</v>
      </c>
      <c r="K165" s="88">
        <v>0</v>
      </c>
      <c r="L165" s="88">
        <v>0</v>
      </c>
      <c r="M165" s="88">
        <v>0</v>
      </c>
      <c r="N165" s="88">
        <v>0</v>
      </c>
      <c r="O165" s="88">
        <v>0</v>
      </c>
      <c r="P165" s="88">
        <v>0</v>
      </c>
      <c r="Q165" s="88">
        <v>0</v>
      </c>
      <c r="R165" s="88">
        <v>0</v>
      </c>
      <c r="S165" s="88">
        <f t="shared" si="2"/>
        <v>0</v>
      </c>
    </row>
    <row r="166" spans="1:19" x14ac:dyDescent="0.3">
      <c r="A166" s="195">
        <v>417</v>
      </c>
      <c r="B166" s="177" t="s">
        <v>162</v>
      </c>
      <c r="C166" s="177" t="s">
        <v>163</v>
      </c>
      <c r="D166" s="201" t="s">
        <v>468</v>
      </c>
      <c r="E166" s="88" t="s">
        <v>469</v>
      </c>
      <c r="F166" s="88">
        <v>0</v>
      </c>
      <c r="G166" s="88">
        <v>0</v>
      </c>
      <c r="H166" s="88">
        <v>0</v>
      </c>
      <c r="I166" s="88">
        <v>0</v>
      </c>
      <c r="J166" s="88">
        <v>0</v>
      </c>
      <c r="K166" s="88">
        <v>0</v>
      </c>
      <c r="L166" s="88">
        <v>0</v>
      </c>
      <c r="M166" s="88">
        <v>0</v>
      </c>
      <c r="N166" s="88">
        <v>0</v>
      </c>
      <c r="O166" s="88">
        <v>0</v>
      </c>
      <c r="P166" s="88">
        <v>0</v>
      </c>
      <c r="Q166" s="88">
        <v>0</v>
      </c>
      <c r="R166" s="88">
        <v>0</v>
      </c>
      <c r="S166" s="88">
        <f t="shared" si="2"/>
        <v>0</v>
      </c>
    </row>
    <row r="167" spans="1:19" x14ac:dyDescent="0.3">
      <c r="A167" s="195">
        <v>418</v>
      </c>
      <c r="B167" s="177" t="s">
        <v>162</v>
      </c>
      <c r="C167" s="177" t="s">
        <v>163</v>
      </c>
      <c r="D167" s="201" t="s">
        <v>470</v>
      </c>
      <c r="E167" s="88" t="s">
        <v>471</v>
      </c>
      <c r="F167" s="88">
        <v>0</v>
      </c>
      <c r="G167" s="88">
        <v>0</v>
      </c>
      <c r="H167" s="88">
        <v>0</v>
      </c>
      <c r="I167" s="88">
        <v>0</v>
      </c>
      <c r="J167" s="88">
        <v>0</v>
      </c>
      <c r="K167" s="88">
        <v>0</v>
      </c>
      <c r="L167" s="88">
        <v>0</v>
      </c>
      <c r="M167" s="88">
        <v>0</v>
      </c>
      <c r="N167" s="88">
        <v>0</v>
      </c>
      <c r="O167" s="88">
        <v>0</v>
      </c>
      <c r="P167" s="88">
        <v>0</v>
      </c>
      <c r="Q167" s="88">
        <v>0</v>
      </c>
      <c r="R167" s="88">
        <v>0</v>
      </c>
      <c r="S167" s="88">
        <f t="shared" si="2"/>
        <v>0</v>
      </c>
    </row>
    <row r="168" spans="1:19" x14ac:dyDescent="0.3">
      <c r="A168" s="195">
        <v>418</v>
      </c>
      <c r="B168" s="177" t="s">
        <v>162</v>
      </c>
      <c r="C168" s="177" t="s">
        <v>163</v>
      </c>
      <c r="D168" s="201" t="s">
        <v>472</v>
      </c>
      <c r="E168" s="88" t="s">
        <v>473</v>
      </c>
      <c r="F168" s="88">
        <v>0</v>
      </c>
      <c r="G168" s="88">
        <v>0</v>
      </c>
      <c r="H168" s="88">
        <v>0</v>
      </c>
      <c r="I168" s="88">
        <v>0</v>
      </c>
      <c r="J168" s="88">
        <v>0</v>
      </c>
      <c r="K168" s="88">
        <v>0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f t="shared" si="2"/>
        <v>0</v>
      </c>
    </row>
    <row r="169" spans="1:19" x14ac:dyDescent="0.3">
      <c r="A169" s="195">
        <v>419</v>
      </c>
      <c r="B169" s="177" t="s">
        <v>162</v>
      </c>
      <c r="C169" s="177" t="s">
        <v>163</v>
      </c>
      <c r="D169" s="201" t="s">
        <v>474</v>
      </c>
      <c r="E169" s="88" t="s">
        <v>475</v>
      </c>
      <c r="F169" s="88">
        <v>0</v>
      </c>
      <c r="G169" s="88">
        <v>557146.61333329999</v>
      </c>
      <c r="H169" s="88">
        <v>557146.61333329999</v>
      </c>
      <c r="I169" s="88">
        <v>557146.61333329999</v>
      </c>
      <c r="J169" s="88">
        <v>547896.61333329999</v>
      </c>
      <c r="K169" s="88">
        <v>547896.61333329999</v>
      </c>
      <c r="L169" s="88">
        <v>547896.61333329999</v>
      </c>
      <c r="M169" s="88">
        <v>535563.28</v>
      </c>
      <c r="N169" s="88">
        <v>535563.28</v>
      </c>
      <c r="O169" s="88">
        <v>396813.28</v>
      </c>
      <c r="P169" s="88">
        <v>396813.28</v>
      </c>
      <c r="Q169" s="88">
        <v>396813.28</v>
      </c>
      <c r="R169" s="88">
        <v>396813.29</v>
      </c>
      <c r="S169" s="88">
        <f t="shared" si="2"/>
        <v>5973509.3699998008</v>
      </c>
    </row>
    <row r="170" spans="1:19" x14ac:dyDescent="0.3">
      <c r="A170" s="195">
        <v>419</v>
      </c>
      <c r="B170" s="177" t="s">
        <v>162</v>
      </c>
      <c r="C170" s="177" t="s">
        <v>163</v>
      </c>
      <c r="D170" s="201" t="s">
        <v>476</v>
      </c>
      <c r="E170" s="88" t="s">
        <v>477</v>
      </c>
      <c r="F170" s="88">
        <v>0</v>
      </c>
      <c r="G170" s="88">
        <v>1609893.14</v>
      </c>
      <c r="H170" s="88">
        <v>1738674.37</v>
      </c>
      <c r="I170" s="88">
        <v>1894619.87</v>
      </c>
      <c r="J170" s="88">
        <v>2081678.34</v>
      </c>
      <c r="K170" s="88">
        <v>2221183.56</v>
      </c>
      <c r="L170" s="88">
        <v>2434833.04</v>
      </c>
      <c r="M170" s="88">
        <v>2711773</v>
      </c>
      <c r="N170" s="88">
        <v>2924424.62</v>
      </c>
      <c r="O170" s="88">
        <v>3084407.46</v>
      </c>
      <c r="P170" s="88">
        <v>3249700.59</v>
      </c>
      <c r="Q170" s="88">
        <v>3467010.01</v>
      </c>
      <c r="R170" s="88">
        <v>3342061.76</v>
      </c>
      <c r="S170" s="88">
        <f t="shared" si="2"/>
        <v>30760259.759999998</v>
      </c>
    </row>
    <row r="171" spans="1:19" x14ac:dyDescent="0.3">
      <c r="A171" s="195">
        <v>420</v>
      </c>
      <c r="B171" s="177" t="s">
        <v>162</v>
      </c>
      <c r="C171" s="177" t="s">
        <v>163</v>
      </c>
      <c r="D171" s="201" t="s">
        <v>478</v>
      </c>
      <c r="E171" s="88" t="s">
        <v>479</v>
      </c>
      <c r="F171" s="88">
        <v>0</v>
      </c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f t="shared" si="2"/>
        <v>0</v>
      </c>
    </row>
    <row r="172" spans="1:19" x14ac:dyDescent="0.3">
      <c r="A172" s="195">
        <v>421</v>
      </c>
      <c r="B172" s="177" t="s">
        <v>162</v>
      </c>
      <c r="C172" s="177" t="s">
        <v>163</v>
      </c>
      <c r="D172" s="201" t="s">
        <v>480</v>
      </c>
      <c r="E172" s="88" t="s">
        <v>481</v>
      </c>
      <c r="F172" s="88">
        <v>0</v>
      </c>
      <c r="G172" s="88">
        <v>397583</v>
      </c>
      <c r="H172" s="88">
        <v>365737</v>
      </c>
      <c r="I172" s="88">
        <v>340309</v>
      </c>
      <c r="J172" s="88">
        <v>296971</v>
      </c>
      <c r="K172" s="88">
        <v>249287</v>
      </c>
      <c r="L172" s="88">
        <v>200690</v>
      </c>
      <c r="M172" s="88">
        <v>131189</v>
      </c>
      <c r="N172" s="88">
        <v>70970</v>
      </c>
      <c r="O172" s="88">
        <v>20121</v>
      </c>
      <c r="P172" s="88">
        <v>15676</v>
      </c>
      <c r="Q172" s="88">
        <v>11942</v>
      </c>
      <c r="R172" s="88">
        <v>9051</v>
      </c>
      <c r="S172" s="88">
        <f t="shared" si="2"/>
        <v>2109526</v>
      </c>
    </row>
    <row r="173" spans="1:19" x14ac:dyDescent="0.3">
      <c r="A173" s="195">
        <v>421</v>
      </c>
      <c r="B173" s="177" t="s">
        <v>162</v>
      </c>
      <c r="C173" s="177" t="s">
        <v>163</v>
      </c>
      <c r="D173" s="201" t="s">
        <v>482</v>
      </c>
      <c r="E173" s="88" t="s">
        <v>483</v>
      </c>
      <c r="F173" s="88">
        <v>0</v>
      </c>
      <c r="G173" s="88">
        <v>585.72</v>
      </c>
      <c r="H173" s="88">
        <v>585.72</v>
      </c>
      <c r="I173" s="88">
        <v>2000295.86</v>
      </c>
      <c r="J173" s="88">
        <v>295.86</v>
      </c>
      <c r="K173" s="88">
        <v>295.86</v>
      </c>
      <c r="L173" s="88">
        <v>295.86</v>
      </c>
      <c r="M173" s="88">
        <v>295.86</v>
      </c>
      <c r="N173" s="88">
        <v>295.86</v>
      </c>
      <c r="O173" s="88">
        <v>0</v>
      </c>
      <c r="P173" s="88">
        <v>0</v>
      </c>
      <c r="Q173" s="88">
        <v>0</v>
      </c>
      <c r="R173" s="88">
        <v>0</v>
      </c>
      <c r="S173" s="88">
        <f t="shared" si="2"/>
        <v>2002946.6000000006</v>
      </c>
    </row>
    <row r="174" spans="1:19" x14ac:dyDescent="0.3">
      <c r="A174" s="195">
        <v>421</v>
      </c>
      <c r="B174" s="177" t="s">
        <v>162</v>
      </c>
      <c r="C174" s="177" t="s">
        <v>163</v>
      </c>
      <c r="D174" s="201" t="s">
        <v>484</v>
      </c>
      <c r="E174" s="88" t="s">
        <v>485</v>
      </c>
      <c r="F174" s="88">
        <v>0</v>
      </c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f t="shared" si="2"/>
        <v>0</v>
      </c>
    </row>
    <row r="175" spans="1:19" x14ac:dyDescent="0.3">
      <c r="A175" s="195">
        <v>425</v>
      </c>
      <c r="B175" s="177" t="s">
        <v>162</v>
      </c>
      <c r="C175" s="177" t="s">
        <v>163</v>
      </c>
      <c r="D175" s="201" t="s">
        <v>486</v>
      </c>
      <c r="E175" s="88" t="s">
        <v>487</v>
      </c>
      <c r="F175" s="88">
        <v>0</v>
      </c>
      <c r="G175" s="88">
        <v>4246.62</v>
      </c>
      <c r="H175" s="88">
        <v>4246.62</v>
      </c>
      <c r="I175" s="88">
        <v>4246.62</v>
      </c>
      <c r="J175" s="88">
        <v>4246.62</v>
      </c>
      <c r="K175" s="88">
        <v>4246.62</v>
      </c>
      <c r="L175" s="88">
        <v>4246.62</v>
      </c>
      <c r="M175" s="88">
        <v>4246.62</v>
      </c>
      <c r="N175" s="88">
        <v>4246.62</v>
      </c>
      <c r="O175" s="88">
        <v>4246.62</v>
      </c>
      <c r="P175" s="88">
        <v>4246.62</v>
      </c>
      <c r="Q175" s="88">
        <v>4246.62</v>
      </c>
      <c r="R175" s="88">
        <v>4246.62</v>
      </c>
      <c r="S175" s="88">
        <f t="shared" si="2"/>
        <v>50959.44000000001</v>
      </c>
    </row>
    <row r="176" spans="1:19" x14ac:dyDescent="0.3">
      <c r="A176" s="195">
        <v>426</v>
      </c>
      <c r="B176" s="177" t="s">
        <v>162</v>
      </c>
      <c r="C176" s="177" t="s">
        <v>163</v>
      </c>
      <c r="D176" s="201" t="s">
        <v>488</v>
      </c>
      <c r="E176" s="88" t="s">
        <v>489</v>
      </c>
      <c r="F176" s="88">
        <v>0</v>
      </c>
      <c r="G176" s="88">
        <v>421083</v>
      </c>
      <c r="H176" s="88">
        <v>219333</v>
      </c>
      <c r="I176" s="88">
        <v>415417</v>
      </c>
      <c r="J176" s="88">
        <v>293933</v>
      </c>
      <c r="K176" s="88">
        <v>203583</v>
      </c>
      <c r="L176" s="88">
        <v>474183</v>
      </c>
      <c r="M176" s="88">
        <v>186583</v>
      </c>
      <c r="N176" s="88">
        <v>599233</v>
      </c>
      <c r="O176" s="88">
        <v>172583</v>
      </c>
      <c r="P176" s="88">
        <v>194783</v>
      </c>
      <c r="Q176" s="88">
        <v>111733</v>
      </c>
      <c r="R176" s="88">
        <v>307583</v>
      </c>
      <c r="S176" s="88">
        <f t="shared" si="2"/>
        <v>3600030</v>
      </c>
    </row>
    <row r="177" spans="1:19" x14ac:dyDescent="0.3">
      <c r="A177" s="195">
        <v>426</v>
      </c>
      <c r="B177" s="177" t="s">
        <v>162</v>
      </c>
      <c r="C177" s="177" t="s">
        <v>163</v>
      </c>
      <c r="D177" s="201" t="s">
        <v>490</v>
      </c>
      <c r="E177" s="88" t="s">
        <v>491</v>
      </c>
      <c r="F177" s="88">
        <v>0</v>
      </c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f t="shared" si="2"/>
        <v>0</v>
      </c>
    </row>
    <row r="178" spans="1:19" x14ac:dyDescent="0.3">
      <c r="A178" s="195">
        <v>426</v>
      </c>
      <c r="B178" s="177" t="s">
        <v>162</v>
      </c>
      <c r="C178" s="177" t="s">
        <v>163</v>
      </c>
      <c r="D178" s="201" t="s">
        <v>492</v>
      </c>
      <c r="E178" s="88" t="s">
        <v>493</v>
      </c>
      <c r="F178" s="88">
        <v>0</v>
      </c>
      <c r="G178" s="88">
        <v>0</v>
      </c>
      <c r="H178" s="88">
        <v>75000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f t="shared" si="2"/>
        <v>75000</v>
      </c>
    </row>
    <row r="179" spans="1:19" x14ac:dyDescent="0.3">
      <c r="A179" s="195">
        <v>426</v>
      </c>
      <c r="B179" s="177" t="s">
        <v>162</v>
      </c>
      <c r="C179" s="177" t="s">
        <v>163</v>
      </c>
      <c r="D179" s="201" t="s">
        <v>494</v>
      </c>
      <c r="E179" s="88" t="s">
        <v>495</v>
      </c>
      <c r="F179" s="88">
        <v>0</v>
      </c>
      <c r="G179" s="88">
        <v>123485</v>
      </c>
      <c r="H179" s="88">
        <v>100</v>
      </c>
      <c r="I179" s="88">
        <v>500</v>
      </c>
      <c r="J179" s="88">
        <v>0</v>
      </c>
      <c r="K179" s="88">
        <v>100</v>
      </c>
      <c r="L179" s="88">
        <v>0</v>
      </c>
      <c r="M179" s="88">
        <v>100</v>
      </c>
      <c r="N179" s="88">
        <v>0</v>
      </c>
      <c r="O179" s="88">
        <v>100</v>
      </c>
      <c r="P179" s="88">
        <v>0</v>
      </c>
      <c r="Q179" s="88">
        <v>100</v>
      </c>
      <c r="R179" s="88">
        <v>0</v>
      </c>
      <c r="S179" s="88">
        <f t="shared" si="2"/>
        <v>124485</v>
      </c>
    </row>
    <row r="180" spans="1:19" x14ac:dyDescent="0.3">
      <c r="A180" s="195">
        <v>426</v>
      </c>
      <c r="B180" s="177" t="s">
        <v>162</v>
      </c>
      <c r="C180" s="177" t="s">
        <v>163</v>
      </c>
      <c r="D180" s="201" t="s">
        <v>496</v>
      </c>
      <c r="E180" s="88" t="s">
        <v>497</v>
      </c>
      <c r="F180" s="88">
        <v>0</v>
      </c>
      <c r="G180" s="88">
        <v>-6537.2643337999998</v>
      </c>
      <c r="H180" s="88">
        <v>-6685.5021333000004</v>
      </c>
      <c r="I180" s="88">
        <v>-6500.1868992999998</v>
      </c>
      <c r="J180" s="88">
        <v>-6417.2434706000004</v>
      </c>
      <c r="K180" s="88">
        <v>-6537.2643337999998</v>
      </c>
      <c r="L180" s="88">
        <v>-6759.6211952000003</v>
      </c>
      <c r="M180" s="88">
        <v>-6537.2643337999998</v>
      </c>
      <c r="N180" s="88">
        <v>-6611.3832339999999</v>
      </c>
      <c r="O180" s="88">
        <v>-6685.5021333000004</v>
      </c>
      <c r="P180" s="88">
        <v>-6334.3000407999998</v>
      </c>
      <c r="Q180" s="88">
        <v>-6500.1868992999998</v>
      </c>
      <c r="R180" s="88">
        <v>-6417.2434706000004</v>
      </c>
      <c r="S180" s="88">
        <f t="shared" si="2"/>
        <v>-78522.9624778</v>
      </c>
    </row>
    <row r="181" spans="1:19" x14ac:dyDescent="0.3">
      <c r="A181" s="195">
        <v>427</v>
      </c>
      <c r="B181" s="177" t="s">
        <v>162</v>
      </c>
      <c r="C181" s="177" t="s">
        <v>163</v>
      </c>
      <c r="D181" s="201" t="s">
        <v>498</v>
      </c>
      <c r="E181" s="88" t="s">
        <v>499</v>
      </c>
      <c r="F181" s="88">
        <v>0</v>
      </c>
      <c r="G181" s="88">
        <v>13489236</v>
      </c>
      <c r="H181" s="88">
        <v>15394791.6666667</v>
      </c>
      <c r="I181" s="88">
        <v>15394791.6666667</v>
      </c>
      <c r="J181" s="88">
        <v>15394791.6666667</v>
      </c>
      <c r="K181" s="88">
        <v>15394791.6666667</v>
      </c>
      <c r="L181" s="88">
        <v>15394791.6666667</v>
      </c>
      <c r="M181" s="88">
        <v>14813541.6666667</v>
      </c>
      <c r="N181" s="88">
        <v>14426041.6666667</v>
      </c>
      <c r="O181" s="88">
        <v>14426041.6666667</v>
      </c>
      <c r="P181" s="88">
        <v>14426041.6666667</v>
      </c>
      <c r="Q181" s="88">
        <v>14426041.6666667</v>
      </c>
      <c r="R181" s="88">
        <v>14426041.6666667</v>
      </c>
      <c r="S181" s="88">
        <f t="shared" si="2"/>
        <v>177406944.33333367</v>
      </c>
    </row>
    <row r="182" spans="1:19" x14ac:dyDescent="0.3">
      <c r="A182" s="195">
        <v>428</v>
      </c>
      <c r="B182" s="177" t="s">
        <v>162</v>
      </c>
      <c r="C182" s="177" t="s">
        <v>163</v>
      </c>
      <c r="D182" s="201" t="s">
        <v>500</v>
      </c>
      <c r="E182" s="88" t="s">
        <v>501</v>
      </c>
      <c r="F182" s="88">
        <v>0</v>
      </c>
      <c r="G182" s="88">
        <v>249680.13</v>
      </c>
      <c r="H182" s="88">
        <v>333013.46000000002</v>
      </c>
      <c r="I182" s="88">
        <v>333013.46000000002</v>
      </c>
      <c r="J182" s="88">
        <v>333013.46000000002</v>
      </c>
      <c r="K182" s="88">
        <v>333013.46000000002</v>
      </c>
      <c r="L182" s="88">
        <v>333013.46000000002</v>
      </c>
      <c r="M182" s="88">
        <v>328247.71000000002</v>
      </c>
      <c r="N182" s="88">
        <v>264967.75</v>
      </c>
      <c r="O182" s="88">
        <v>264967.75</v>
      </c>
      <c r="P182" s="88">
        <v>264967.75</v>
      </c>
      <c r="Q182" s="88">
        <v>264967.75</v>
      </c>
      <c r="R182" s="88">
        <v>264967.75</v>
      </c>
      <c r="S182" s="88">
        <f t="shared" si="2"/>
        <v>3567833.89</v>
      </c>
    </row>
    <row r="183" spans="1:19" x14ac:dyDescent="0.3">
      <c r="A183" s="195">
        <v>428</v>
      </c>
      <c r="B183" s="177" t="s">
        <v>162</v>
      </c>
      <c r="C183" s="177" t="s">
        <v>163</v>
      </c>
      <c r="D183" s="201" t="s">
        <v>502</v>
      </c>
      <c r="E183" s="88" t="s">
        <v>503</v>
      </c>
      <c r="F183" s="88">
        <v>0</v>
      </c>
      <c r="G183" s="88">
        <v>31846.57</v>
      </c>
      <c r="H183" s="88">
        <v>31846.57</v>
      </c>
      <c r="I183" s="88">
        <v>31846.57</v>
      </c>
      <c r="J183" s="88">
        <v>31846.57</v>
      </c>
      <c r="K183" s="88">
        <v>31846.57</v>
      </c>
      <c r="L183" s="88">
        <v>31846.57</v>
      </c>
      <c r="M183" s="88">
        <v>31846.57</v>
      </c>
      <c r="N183" s="88">
        <v>31846.57</v>
      </c>
      <c r="O183" s="88">
        <v>31846.57</v>
      </c>
      <c r="P183" s="88">
        <v>31846.57</v>
      </c>
      <c r="Q183" s="88">
        <v>31846.57</v>
      </c>
      <c r="R183" s="88">
        <v>31846.57</v>
      </c>
      <c r="S183" s="88">
        <f t="shared" si="2"/>
        <v>382158.84</v>
      </c>
    </row>
    <row r="184" spans="1:19" x14ac:dyDescent="0.3">
      <c r="A184" s="195">
        <v>429</v>
      </c>
      <c r="B184" s="177" t="s">
        <v>162</v>
      </c>
      <c r="C184" s="177" t="s">
        <v>163</v>
      </c>
      <c r="D184" s="201" t="s">
        <v>504</v>
      </c>
      <c r="E184" s="88" t="s">
        <v>505</v>
      </c>
      <c r="F184" s="88">
        <v>0</v>
      </c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f t="shared" si="2"/>
        <v>0</v>
      </c>
    </row>
    <row r="185" spans="1:19" x14ac:dyDescent="0.3">
      <c r="A185" s="195">
        <v>429</v>
      </c>
      <c r="B185" s="177" t="s">
        <v>162</v>
      </c>
      <c r="C185" s="177" t="s">
        <v>163</v>
      </c>
      <c r="D185" s="201" t="s">
        <v>506</v>
      </c>
      <c r="E185" s="88" t="s">
        <v>507</v>
      </c>
      <c r="F185" s="88">
        <v>0</v>
      </c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f t="shared" si="2"/>
        <v>0</v>
      </c>
    </row>
    <row r="186" spans="1:19" x14ac:dyDescent="0.3">
      <c r="A186" s="195">
        <v>430</v>
      </c>
      <c r="B186" s="177" t="s">
        <v>162</v>
      </c>
      <c r="C186" s="177" t="s">
        <v>163</v>
      </c>
      <c r="D186" s="201" t="s">
        <v>508</v>
      </c>
      <c r="E186" s="88" t="s">
        <v>509</v>
      </c>
      <c r="F186" s="88">
        <v>0</v>
      </c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f t="shared" si="2"/>
        <v>0</v>
      </c>
    </row>
    <row r="187" spans="1:19" x14ac:dyDescent="0.3">
      <c r="A187" s="195">
        <v>431</v>
      </c>
      <c r="B187" s="177" t="s">
        <v>162</v>
      </c>
      <c r="C187" s="177" t="s">
        <v>163</v>
      </c>
      <c r="D187" s="201" t="s">
        <v>510</v>
      </c>
      <c r="E187" s="88" t="s">
        <v>511</v>
      </c>
      <c r="F187" s="88">
        <v>0</v>
      </c>
      <c r="G187" s="88">
        <v>3596424.6677277</v>
      </c>
      <c r="H187" s="88">
        <v>1057691.9778736001</v>
      </c>
      <c r="I187" s="88">
        <v>821121.10139540001</v>
      </c>
      <c r="J187" s="88">
        <v>770678.30178760004</v>
      </c>
      <c r="K187" s="88">
        <v>628085.3349136</v>
      </c>
      <c r="L187" s="88">
        <v>587386.93840079999</v>
      </c>
      <c r="M187" s="88">
        <v>1219080.9940428</v>
      </c>
      <c r="N187" s="88">
        <v>1871903.1633786</v>
      </c>
      <c r="O187" s="88">
        <v>2028971.8149369999</v>
      </c>
      <c r="P187" s="88">
        <v>1830752.2855668999</v>
      </c>
      <c r="Q187" s="88">
        <v>2201805.5460335999</v>
      </c>
      <c r="R187" s="88">
        <v>2725922.5533253001</v>
      </c>
      <c r="S187" s="88">
        <f t="shared" si="2"/>
        <v>19339824.679382902</v>
      </c>
    </row>
    <row r="188" spans="1:19" x14ac:dyDescent="0.3">
      <c r="A188" s="195">
        <v>432</v>
      </c>
      <c r="B188" s="177" t="s">
        <v>162</v>
      </c>
      <c r="C188" s="177" t="s">
        <v>163</v>
      </c>
      <c r="D188" s="201" t="s">
        <v>512</v>
      </c>
      <c r="E188" s="88" t="s">
        <v>513</v>
      </c>
      <c r="F188" s="88">
        <v>0</v>
      </c>
      <c r="G188" s="88">
        <v>-524635.29</v>
      </c>
      <c r="H188" s="88">
        <v>-566602.79</v>
      </c>
      <c r="I188" s="88">
        <v>-617422.6</v>
      </c>
      <c r="J188" s="88">
        <v>-678381.57</v>
      </c>
      <c r="K188" s="88">
        <v>-723843.8</v>
      </c>
      <c r="L188" s="88">
        <v>-793468.36</v>
      </c>
      <c r="M188" s="88">
        <v>-883718.11</v>
      </c>
      <c r="N188" s="88">
        <v>-953017.46</v>
      </c>
      <c r="O188" s="88">
        <v>-1005152.94</v>
      </c>
      <c r="P188" s="88">
        <v>-1059018.99</v>
      </c>
      <c r="Q188" s="88">
        <v>-1129836.23</v>
      </c>
      <c r="R188" s="88">
        <v>-1089117.94</v>
      </c>
      <c r="S188" s="88">
        <f t="shared" si="2"/>
        <v>-10024216.08</v>
      </c>
    </row>
    <row r="189" spans="1:19" x14ac:dyDescent="0.3">
      <c r="A189" s="195">
        <v>433</v>
      </c>
      <c r="B189" s="177" t="s">
        <v>162</v>
      </c>
      <c r="C189" s="177" t="s">
        <v>163</v>
      </c>
      <c r="D189" s="201" t="s">
        <v>514</v>
      </c>
      <c r="E189" s="88" t="s">
        <v>515</v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f t="shared" si="2"/>
        <v>0</v>
      </c>
    </row>
    <row r="190" spans="1:19" x14ac:dyDescent="0.3">
      <c r="A190" s="195">
        <v>434</v>
      </c>
      <c r="B190" s="177" t="s">
        <v>162</v>
      </c>
      <c r="C190" s="177" t="s">
        <v>163</v>
      </c>
      <c r="D190" s="201" t="s">
        <v>516</v>
      </c>
      <c r="E190" s="88" t="s">
        <v>517</v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f t="shared" si="2"/>
        <v>0</v>
      </c>
    </row>
    <row r="191" spans="1:19" x14ac:dyDescent="0.3">
      <c r="A191" s="195">
        <v>435</v>
      </c>
      <c r="B191" s="177" t="s">
        <v>162</v>
      </c>
      <c r="C191" s="177" t="s">
        <v>163</v>
      </c>
      <c r="D191" s="201" t="s">
        <v>518</v>
      </c>
      <c r="E191" s="88" t="s">
        <v>519</v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f t="shared" si="2"/>
        <v>0</v>
      </c>
    </row>
    <row r="192" spans="1:19" x14ac:dyDescent="0.3">
      <c r="A192" s="195">
        <v>438</v>
      </c>
      <c r="B192" s="177" t="s">
        <v>162</v>
      </c>
      <c r="C192" s="177" t="s">
        <v>163</v>
      </c>
      <c r="D192" s="201" t="s">
        <v>520</v>
      </c>
      <c r="E192" s="88" t="s">
        <v>521</v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f t="shared" si="2"/>
        <v>0</v>
      </c>
    </row>
    <row r="193" spans="1:19" x14ac:dyDescent="0.3">
      <c r="A193" s="195">
        <v>440</v>
      </c>
      <c r="B193" s="177" t="s">
        <v>162</v>
      </c>
      <c r="C193" s="177" t="s">
        <v>163</v>
      </c>
      <c r="D193" s="201" t="s">
        <v>522</v>
      </c>
      <c r="E193" s="88" t="s">
        <v>523</v>
      </c>
      <c r="F193" s="88">
        <v>0</v>
      </c>
      <c r="G193" s="88">
        <v>117868453.55</v>
      </c>
      <c r="H193" s="88">
        <v>107138424.37</v>
      </c>
      <c r="I193" s="88">
        <v>100468879.8</v>
      </c>
      <c r="J193" s="88">
        <v>106319235.92</v>
      </c>
      <c r="K193" s="88">
        <v>122584291.95</v>
      </c>
      <c r="L193" s="88">
        <v>149255897.08000001</v>
      </c>
      <c r="M193" s="88">
        <v>159496007.18000001</v>
      </c>
      <c r="N193" s="88">
        <v>157707322.81999999</v>
      </c>
      <c r="O193" s="88">
        <v>163207619.46000001</v>
      </c>
      <c r="P193" s="88">
        <v>140386936.62</v>
      </c>
      <c r="Q193" s="88">
        <v>113814653.48999999</v>
      </c>
      <c r="R193" s="88">
        <v>107607766.91</v>
      </c>
      <c r="S193" s="88">
        <f t="shared" si="2"/>
        <v>1545855489.1500001</v>
      </c>
    </row>
    <row r="194" spans="1:19" x14ac:dyDescent="0.3">
      <c r="A194" s="195">
        <v>442</v>
      </c>
      <c r="B194" s="177" t="s">
        <v>162</v>
      </c>
      <c r="C194" s="177" t="s">
        <v>163</v>
      </c>
      <c r="D194" s="201" t="s">
        <v>524</v>
      </c>
      <c r="E194" s="88" t="s">
        <v>525</v>
      </c>
      <c r="F194" s="88">
        <v>0</v>
      </c>
      <c r="G194" s="88">
        <v>66709989.960000001</v>
      </c>
      <c r="H194" s="88">
        <v>63825980.75</v>
      </c>
      <c r="I194" s="88">
        <v>64708326.850000001</v>
      </c>
      <c r="J194" s="88">
        <v>67657671.620000005</v>
      </c>
      <c r="K194" s="88">
        <v>70759342.870000005</v>
      </c>
      <c r="L194" s="88">
        <v>75513297.659999996</v>
      </c>
      <c r="M194" s="88">
        <v>77950463.349999994</v>
      </c>
      <c r="N194" s="88">
        <v>77788095.590000004</v>
      </c>
      <c r="O194" s="88">
        <v>78372768.159999996</v>
      </c>
      <c r="P194" s="88">
        <v>74620978.260000005</v>
      </c>
      <c r="Q194" s="88">
        <v>69378444.5</v>
      </c>
      <c r="R194" s="88">
        <v>66586439.07</v>
      </c>
      <c r="S194" s="88">
        <f t="shared" si="2"/>
        <v>853871798.6400001</v>
      </c>
    </row>
    <row r="195" spans="1:19" x14ac:dyDescent="0.3">
      <c r="A195" s="195">
        <v>444</v>
      </c>
      <c r="B195" s="177" t="s">
        <v>162</v>
      </c>
      <c r="C195" s="177" t="s">
        <v>163</v>
      </c>
      <c r="D195" s="201" t="s">
        <v>526</v>
      </c>
      <c r="E195" s="88" t="s">
        <v>527</v>
      </c>
      <c r="F195" s="88">
        <v>0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f t="shared" si="2"/>
        <v>0</v>
      </c>
    </row>
    <row r="196" spans="1:19" x14ac:dyDescent="0.3">
      <c r="A196" s="195">
        <v>445</v>
      </c>
      <c r="B196" s="177" t="s">
        <v>162</v>
      </c>
      <c r="C196" s="177" t="s">
        <v>163</v>
      </c>
      <c r="D196" s="201" t="s">
        <v>528</v>
      </c>
      <c r="E196" s="88" t="s">
        <v>529</v>
      </c>
      <c r="F196" s="88">
        <v>0</v>
      </c>
      <c r="G196" s="88">
        <v>17403602.629999999</v>
      </c>
      <c r="H196" s="88">
        <v>17350479.25</v>
      </c>
      <c r="I196" s="88">
        <v>17367163.350000001</v>
      </c>
      <c r="J196" s="88">
        <v>17812781.170000002</v>
      </c>
      <c r="K196" s="88">
        <v>18619267.030000001</v>
      </c>
      <c r="L196" s="88">
        <v>19676974.52</v>
      </c>
      <c r="M196" s="88">
        <v>19849714.690000001</v>
      </c>
      <c r="N196" s="88">
        <v>20007604.960000001</v>
      </c>
      <c r="O196" s="88">
        <v>20258545.670000002</v>
      </c>
      <c r="P196" s="88">
        <v>19738715.940000001</v>
      </c>
      <c r="Q196" s="88">
        <v>18255155.879999999</v>
      </c>
      <c r="R196" s="88">
        <v>17593371.629999999</v>
      </c>
      <c r="S196" s="88">
        <f t="shared" si="2"/>
        <v>223933376.71999997</v>
      </c>
    </row>
    <row r="197" spans="1:19" x14ac:dyDescent="0.3">
      <c r="A197" s="195">
        <v>446</v>
      </c>
      <c r="B197" s="177" t="s">
        <v>162</v>
      </c>
      <c r="C197" s="177" t="s">
        <v>163</v>
      </c>
      <c r="D197" s="201" t="s">
        <v>530</v>
      </c>
      <c r="E197" s="88" t="s">
        <v>531</v>
      </c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f t="shared" si="2"/>
        <v>0</v>
      </c>
    </row>
    <row r="198" spans="1:19" x14ac:dyDescent="0.3">
      <c r="A198" s="195">
        <v>447</v>
      </c>
      <c r="B198" s="177" t="s">
        <v>162</v>
      </c>
      <c r="C198" s="177" t="s">
        <v>163</v>
      </c>
      <c r="D198" s="201" t="s">
        <v>532</v>
      </c>
      <c r="E198" s="88" t="s">
        <v>533</v>
      </c>
      <c r="F198" s="88">
        <v>0</v>
      </c>
      <c r="G198" s="88">
        <v>181596</v>
      </c>
      <c r="H198" s="88">
        <v>192368.29999969999</v>
      </c>
      <c r="I198" s="88">
        <v>165290.6</v>
      </c>
      <c r="J198" s="88">
        <v>123808.8</v>
      </c>
      <c r="K198" s="88">
        <v>146305.39999969999</v>
      </c>
      <c r="L198" s="88">
        <v>119026.6</v>
      </c>
      <c r="M198" s="88">
        <v>131752</v>
      </c>
      <c r="N198" s="88">
        <v>135780.6</v>
      </c>
      <c r="O198" s="88">
        <v>171824.8</v>
      </c>
      <c r="P198" s="88">
        <v>140586.0000003</v>
      </c>
      <c r="Q198" s="88">
        <v>180073</v>
      </c>
      <c r="R198" s="88">
        <v>155627.9999996</v>
      </c>
      <c r="S198" s="88">
        <f t="shared" si="2"/>
        <v>1844040.0999993002</v>
      </c>
    </row>
    <row r="199" spans="1:19" x14ac:dyDescent="0.3">
      <c r="A199" s="195">
        <v>448</v>
      </c>
      <c r="B199" s="177" t="s">
        <v>162</v>
      </c>
      <c r="C199" s="177" t="s">
        <v>163</v>
      </c>
      <c r="D199" s="201" t="s">
        <v>534</v>
      </c>
      <c r="E199" s="88" t="s">
        <v>535</v>
      </c>
      <c r="F199" s="88">
        <v>0</v>
      </c>
      <c r="G199" s="88">
        <v>0</v>
      </c>
      <c r="H199" s="88">
        <v>0</v>
      </c>
      <c r="I199" s="88">
        <v>0</v>
      </c>
      <c r="J199" s="88">
        <v>0</v>
      </c>
      <c r="K199" s="88">
        <v>0</v>
      </c>
      <c r="L199" s="88">
        <v>0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f t="shared" si="2"/>
        <v>0</v>
      </c>
    </row>
    <row r="200" spans="1:19" x14ac:dyDescent="0.3">
      <c r="A200" s="195">
        <v>449</v>
      </c>
      <c r="B200" s="177" t="s">
        <v>162</v>
      </c>
      <c r="C200" s="177" t="s">
        <v>163</v>
      </c>
      <c r="D200" s="201" t="s">
        <v>536</v>
      </c>
      <c r="E200" s="88" t="s">
        <v>537</v>
      </c>
      <c r="F200" s="88">
        <v>0</v>
      </c>
      <c r="G200" s="88">
        <v>0</v>
      </c>
      <c r="H200" s="88">
        <v>0</v>
      </c>
      <c r="I200" s="88">
        <v>0</v>
      </c>
      <c r="J200" s="88">
        <v>0</v>
      </c>
      <c r="K200" s="88">
        <v>0</v>
      </c>
      <c r="L200" s="88">
        <v>0</v>
      </c>
      <c r="M200" s="88">
        <v>0</v>
      </c>
      <c r="N200" s="88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f t="shared" si="2"/>
        <v>0</v>
      </c>
    </row>
    <row r="201" spans="1:19" x14ac:dyDescent="0.3">
      <c r="A201" s="195">
        <v>450</v>
      </c>
      <c r="B201" s="177" t="s">
        <v>162</v>
      </c>
      <c r="C201" s="177" t="s">
        <v>163</v>
      </c>
      <c r="D201" s="201" t="s">
        <v>538</v>
      </c>
      <c r="E201" s="88" t="s">
        <v>539</v>
      </c>
      <c r="F201" s="88">
        <v>0</v>
      </c>
      <c r="G201" s="88">
        <v>0</v>
      </c>
      <c r="H201" s="88">
        <v>0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f t="shared" si="2"/>
        <v>0</v>
      </c>
    </row>
    <row r="202" spans="1:19" x14ac:dyDescent="0.3">
      <c r="A202" s="195">
        <v>451</v>
      </c>
      <c r="B202" s="177" t="s">
        <v>162</v>
      </c>
      <c r="C202" s="177" t="s">
        <v>163</v>
      </c>
      <c r="D202" s="201" t="s">
        <v>540</v>
      </c>
      <c r="E202" s="88" t="s">
        <v>541</v>
      </c>
      <c r="F202" s="88">
        <v>0</v>
      </c>
      <c r="G202" s="88">
        <v>1562621.9764167001</v>
      </c>
      <c r="H202" s="88">
        <v>1564251.7784167</v>
      </c>
      <c r="I202" s="88">
        <v>1651386.3129167</v>
      </c>
      <c r="J202" s="88">
        <v>1562838.3151666999</v>
      </c>
      <c r="K202" s="88">
        <v>1625774.3864167</v>
      </c>
      <c r="L202" s="88">
        <v>1646775.5956667</v>
      </c>
      <c r="M202" s="88">
        <v>1556460.1806667</v>
      </c>
      <c r="N202" s="88">
        <v>1563302.8866667</v>
      </c>
      <c r="O202" s="88">
        <v>1572896.0616667001</v>
      </c>
      <c r="P202" s="88">
        <v>1573264.2116667</v>
      </c>
      <c r="Q202" s="88">
        <v>1573637.3866667</v>
      </c>
      <c r="R202" s="88">
        <v>1574011.6116667001</v>
      </c>
      <c r="S202" s="88">
        <f t="shared" si="2"/>
        <v>19027220.704000402</v>
      </c>
    </row>
    <row r="203" spans="1:19" x14ac:dyDescent="0.3">
      <c r="A203" s="195">
        <v>453</v>
      </c>
      <c r="B203" s="177" t="s">
        <v>162</v>
      </c>
      <c r="C203" s="177" t="s">
        <v>163</v>
      </c>
      <c r="D203" s="201" t="s">
        <v>542</v>
      </c>
      <c r="E203" s="88" t="s">
        <v>543</v>
      </c>
      <c r="F203" s="88">
        <v>0</v>
      </c>
      <c r="G203" s="88">
        <v>0</v>
      </c>
      <c r="H203" s="88">
        <v>0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f t="shared" si="2"/>
        <v>0</v>
      </c>
    </row>
    <row r="204" spans="1:19" x14ac:dyDescent="0.3">
      <c r="A204" s="195">
        <v>454</v>
      </c>
      <c r="B204" s="177" t="s">
        <v>162</v>
      </c>
      <c r="C204" s="177" t="s">
        <v>163</v>
      </c>
      <c r="D204" s="201" t="s">
        <v>544</v>
      </c>
      <c r="E204" s="88" t="s">
        <v>545</v>
      </c>
      <c r="F204" s="88">
        <v>0</v>
      </c>
      <c r="G204" s="88">
        <v>1233333.7326288</v>
      </c>
      <c r="H204" s="88">
        <v>1638474.8283595</v>
      </c>
      <c r="I204" s="88">
        <v>1222579.2637028999</v>
      </c>
      <c r="J204" s="88">
        <v>1241948.2221315999</v>
      </c>
      <c r="K204" s="88">
        <v>1203849.0832970999</v>
      </c>
      <c r="L204" s="88">
        <v>1205771.157017</v>
      </c>
      <c r="M204" s="88">
        <v>1209470.7122521</v>
      </c>
      <c r="N204" s="88">
        <v>1288556.7998998</v>
      </c>
      <c r="O204" s="88">
        <v>1218860.7149216</v>
      </c>
      <c r="P204" s="88">
        <v>1237661.4261676001</v>
      </c>
      <c r="Q204" s="88">
        <v>1222498.9609168</v>
      </c>
      <c r="R204" s="88">
        <v>1232452.8385920001</v>
      </c>
      <c r="S204" s="88">
        <f t="shared" si="2"/>
        <v>15155457.7398868</v>
      </c>
    </row>
    <row r="205" spans="1:19" x14ac:dyDescent="0.3">
      <c r="A205" s="195">
        <v>455</v>
      </c>
      <c r="B205" s="177" t="s">
        <v>162</v>
      </c>
      <c r="C205" s="177" t="s">
        <v>163</v>
      </c>
      <c r="D205" s="201" t="s">
        <v>546</v>
      </c>
      <c r="E205" s="88" t="s">
        <v>547</v>
      </c>
      <c r="F205" s="88">
        <v>0</v>
      </c>
      <c r="G205" s="88">
        <v>0</v>
      </c>
      <c r="H205" s="88">
        <v>0</v>
      </c>
      <c r="I205" s="88">
        <v>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f t="shared" si="2"/>
        <v>0</v>
      </c>
    </row>
    <row r="206" spans="1:19" x14ac:dyDescent="0.3">
      <c r="A206" s="195">
        <v>456</v>
      </c>
      <c r="B206" s="177" t="s">
        <v>162</v>
      </c>
      <c r="C206" s="177" t="s">
        <v>163</v>
      </c>
      <c r="D206" s="201" t="s">
        <v>548</v>
      </c>
      <c r="E206" s="88" t="s">
        <v>549</v>
      </c>
      <c r="F206" s="88">
        <v>0</v>
      </c>
      <c r="G206" s="88">
        <v>-2071728.6781138</v>
      </c>
      <c r="H206" s="88">
        <v>-4723547.1810342995</v>
      </c>
      <c r="I206" s="88">
        <v>4897327.0925529003</v>
      </c>
      <c r="J206" s="88">
        <v>4790729.7404512996</v>
      </c>
      <c r="K206" s="88">
        <v>10537735.3853868</v>
      </c>
      <c r="L206" s="88">
        <v>3882943.4750097999</v>
      </c>
      <c r="M206" s="88">
        <v>2844893.6684686998</v>
      </c>
      <c r="N206" s="88">
        <v>5337992.6813907996</v>
      </c>
      <c r="O206" s="88">
        <v>-8286159.0530928997</v>
      </c>
      <c r="P206" s="88">
        <v>-4209102.3125676</v>
      </c>
      <c r="Q206" s="88">
        <v>-8450124.7856315002</v>
      </c>
      <c r="R206" s="88">
        <v>1254156.0974474</v>
      </c>
      <c r="S206" s="88">
        <f t="shared" si="2"/>
        <v>5805116.1302675987</v>
      </c>
    </row>
    <row r="207" spans="1:19" x14ac:dyDescent="0.3">
      <c r="A207" s="195">
        <v>456</v>
      </c>
      <c r="B207" s="177" t="s">
        <v>162</v>
      </c>
      <c r="C207" s="177" t="s">
        <v>163</v>
      </c>
      <c r="D207" s="201" t="s">
        <v>550</v>
      </c>
      <c r="E207" s="88" t="s">
        <v>551</v>
      </c>
      <c r="F207" s="88">
        <v>0</v>
      </c>
      <c r="G207" s="88">
        <v>715644.94780219998</v>
      </c>
      <c r="H207" s="88">
        <v>715644.94780219998</v>
      </c>
      <c r="I207" s="88">
        <v>115644.9501099</v>
      </c>
      <c r="J207" s="88">
        <v>715644.94780219998</v>
      </c>
      <c r="K207" s="88">
        <v>715644.94780219998</v>
      </c>
      <c r="L207" s="88">
        <v>679467.75</v>
      </c>
      <c r="M207" s="88">
        <v>679467.75</v>
      </c>
      <c r="N207" s="88">
        <v>679467.75</v>
      </c>
      <c r="O207" s="88">
        <v>679467.75</v>
      </c>
      <c r="P207" s="88">
        <v>715644.94780219998</v>
      </c>
      <c r="Q207" s="88">
        <v>715644.94780219998</v>
      </c>
      <c r="R207" s="88">
        <v>715644.94780219998</v>
      </c>
      <c r="S207" s="88">
        <f t="shared" ref="S207:S270" si="3">SUM(F207:R207)</f>
        <v>7843030.5847252999</v>
      </c>
    </row>
    <row r="208" spans="1:19" x14ac:dyDescent="0.3">
      <c r="A208" s="195">
        <v>457</v>
      </c>
      <c r="B208" s="177" t="s">
        <v>162</v>
      </c>
      <c r="C208" s="177" t="s">
        <v>163</v>
      </c>
      <c r="D208" s="201" t="s">
        <v>552</v>
      </c>
      <c r="E208" s="88" t="s">
        <v>553</v>
      </c>
      <c r="F208" s="88">
        <v>0</v>
      </c>
      <c r="G208" s="88">
        <v>0</v>
      </c>
      <c r="H208" s="88">
        <v>0</v>
      </c>
      <c r="I208" s="88">
        <v>0</v>
      </c>
      <c r="J208" s="88">
        <v>0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f t="shared" si="3"/>
        <v>0</v>
      </c>
    </row>
    <row r="209" spans="1:19" x14ac:dyDescent="0.3">
      <c r="A209" s="195">
        <v>457</v>
      </c>
      <c r="B209" s="177" t="s">
        <v>162</v>
      </c>
      <c r="C209" s="177" t="s">
        <v>163</v>
      </c>
      <c r="D209" s="201" t="s">
        <v>554</v>
      </c>
      <c r="E209" s="88" t="s">
        <v>555</v>
      </c>
      <c r="F209" s="88">
        <v>0</v>
      </c>
      <c r="G209" s="88">
        <v>0</v>
      </c>
      <c r="H209" s="88">
        <v>0</v>
      </c>
      <c r="I209" s="88">
        <v>0</v>
      </c>
      <c r="J209" s="88">
        <v>0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f t="shared" si="3"/>
        <v>0</v>
      </c>
    </row>
    <row r="210" spans="1:19" x14ac:dyDescent="0.3">
      <c r="A210" s="195">
        <v>458</v>
      </c>
      <c r="B210" s="177" t="s">
        <v>162</v>
      </c>
      <c r="C210" s="177" t="s">
        <v>163</v>
      </c>
      <c r="D210" s="201" t="s">
        <v>556</v>
      </c>
      <c r="E210" s="88" t="s">
        <v>557</v>
      </c>
      <c r="F210" s="88">
        <v>0</v>
      </c>
      <c r="G210" s="88">
        <v>0</v>
      </c>
      <c r="H210" s="88">
        <v>0</v>
      </c>
      <c r="I210" s="88">
        <v>0</v>
      </c>
      <c r="J210" s="88">
        <v>0</v>
      </c>
      <c r="K210" s="88">
        <v>0</v>
      </c>
      <c r="L210" s="88">
        <v>0</v>
      </c>
      <c r="M210" s="88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f t="shared" si="3"/>
        <v>0</v>
      </c>
    </row>
    <row r="211" spans="1:19" x14ac:dyDescent="0.3">
      <c r="A211" s="195">
        <v>480</v>
      </c>
      <c r="B211" s="177" t="s">
        <v>162</v>
      </c>
      <c r="C211" s="177" t="s">
        <v>163</v>
      </c>
      <c r="D211" s="201" t="s">
        <v>558</v>
      </c>
      <c r="E211" s="88" t="s">
        <v>559</v>
      </c>
      <c r="F211" s="88">
        <v>0</v>
      </c>
      <c r="G211" s="88">
        <v>0</v>
      </c>
      <c r="H211" s="88">
        <v>0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f t="shared" si="3"/>
        <v>0</v>
      </c>
    </row>
    <row r="212" spans="1:19" x14ac:dyDescent="0.3">
      <c r="A212" s="195">
        <v>481</v>
      </c>
      <c r="B212" s="177" t="s">
        <v>162</v>
      </c>
      <c r="C212" s="177" t="s">
        <v>163</v>
      </c>
      <c r="D212" s="201" t="s">
        <v>560</v>
      </c>
      <c r="E212" s="88" t="s">
        <v>561</v>
      </c>
      <c r="F212" s="88">
        <v>0</v>
      </c>
      <c r="G212" s="88">
        <v>0</v>
      </c>
      <c r="H212" s="88">
        <v>0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f t="shared" si="3"/>
        <v>0</v>
      </c>
    </row>
    <row r="213" spans="1:19" x14ac:dyDescent="0.3">
      <c r="A213" s="195">
        <v>482</v>
      </c>
      <c r="B213" s="177" t="s">
        <v>162</v>
      </c>
      <c r="C213" s="177" t="s">
        <v>163</v>
      </c>
      <c r="D213" s="201" t="s">
        <v>562</v>
      </c>
      <c r="E213" s="88" t="s">
        <v>563</v>
      </c>
      <c r="F213" s="88">
        <v>0</v>
      </c>
      <c r="G213" s="88">
        <v>0</v>
      </c>
      <c r="H213" s="88">
        <v>0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f t="shared" si="3"/>
        <v>0</v>
      </c>
    </row>
    <row r="214" spans="1:19" x14ac:dyDescent="0.3">
      <c r="A214" s="195">
        <v>483</v>
      </c>
      <c r="B214" s="177" t="s">
        <v>162</v>
      </c>
      <c r="C214" s="177" t="s">
        <v>163</v>
      </c>
      <c r="D214" s="201" t="s">
        <v>564</v>
      </c>
      <c r="E214" s="88" t="s">
        <v>565</v>
      </c>
      <c r="F214" s="88">
        <v>0</v>
      </c>
      <c r="G214" s="88">
        <v>0</v>
      </c>
      <c r="H214" s="88">
        <v>0</v>
      </c>
      <c r="I214" s="88">
        <v>0</v>
      </c>
      <c r="J214" s="88">
        <v>0</v>
      </c>
      <c r="K214" s="88">
        <v>0</v>
      </c>
      <c r="L214" s="88">
        <v>0</v>
      </c>
      <c r="M214" s="88">
        <v>0</v>
      </c>
      <c r="N214" s="88">
        <v>0</v>
      </c>
      <c r="O214" s="88">
        <v>0</v>
      </c>
      <c r="P214" s="88">
        <v>0</v>
      </c>
      <c r="Q214" s="88">
        <v>0</v>
      </c>
      <c r="R214" s="88">
        <v>0</v>
      </c>
      <c r="S214" s="88">
        <f t="shared" si="3"/>
        <v>0</v>
      </c>
    </row>
    <row r="215" spans="1:19" x14ac:dyDescent="0.3">
      <c r="A215" s="195">
        <v>484</v>
      </c>
      <c r="B215" s="177" t="s">
        <v>162</v>
      </c>
      <c r="C215" s="177" t="s">
        <v>163</v>
      </c>
      <c r="D215" s="201" t="s">
        <v>566</v>
      </c>
      <c r="E215" s="88" t="s">
        <v>567</v>
      </c>
      <c r="F215" s="88">
        <v>0</v>
      </c>
      <c r="G215" s="88">
        <v>0</v>
      </c>
      <c r="H215" s="88">
        <v>0</v>
      </c>
      <c r="I215" s="88">
        <v>0</v>
      </c>
      <c r="J215" s="88">
        <v>0</v>
      </c>
      <c r="K215" s="88">
        <v>0</v>
      </c>
      <c r="L215" s="88">
        <v>0</v>
      </c>
      <c r="M215" s="88">
        <v>0</v>
      </c>
      <c r="N215" s="88">
        <v>0</v>
      </c>
      <c r="O215" s="88">
        <v>0</v>
      </c>
      <c r="P215" s="88">
        <v>0</v>
      </c>
      <c r="Q215" s="88">
        <v>0</v>
      </c>
      <c r="R215" s="88">
        <v>0</v>
      </c>
      <c r="S215" s="88">
        <f t="shared" si="3"/>
        <v>0</v>
      </c>
    </row>
    <row r="216" spans="1:19" x14ac:dyDescent="0.3">
      <c r="A216" s="195">
        <v>485</v>
      </c>
      <c r="B216" s="177" t="s">
        <v>162</v>
      </c>
      <c r="C216" s="177" t="s">
        <v>163</v>
      </c>
      <c r="D216" s="201" t="s">
        <v>568</v>
      </c>
      <c r="E216" s="88" t="s">
        <v>569</v>
      </c>
      <c r="F216" s="88">
        <v>0</v>
      </c>
      <c r="G216" s="88">
        <v>0</v>
      </c>
      <c r="H216" s="88">
        <v>0</v>
      </c>
      <c r="I216" s="88">
        <v>0</v>
      </c>
      <c r="J216" s="88">
        <v>0</v>
      </c>
      <c r="K216" s="88">
        <v>0</v>
      </c>
      <c r="L216" s="88">
        <v>0</v>
      </c>
      <c r="M216" s="88">
        <v>0</v>
      </c>
      <c r="N216" s="88">
        <v>0</v>
      </c>
      <c r="O216" s="88">
        <v>0</v>
      </c>
      <c r="P216" s="88">
        <v>0</v>
      </c>
      <c r="Q216" s="88">
        <v>0</v>
      </c>
      <c r="R216" s="88">
        <v>0</v>
      </c>
      <c r="S216" s="88">
        <f t="shared" si="3"/>
        <v>0</v>
      </c>
    </row>
    <row r="217" spans="1:19" x14ac:dyDescent="0.3">
      <c r="A217" s="195">
        <v>487</v>
      </c>
      <c r="B217" s="177" t="s">
        <v>162</v>
      </c>
      <c r="C217" s="177" t="s">
        <v>163</v>
      </c>
      <c r="D217" s="201" t="s">
        <v>570</v>
      </c>
      <c r="E217" s="88" t="s">
        <v>571</v>
      </c>
      <c r="F217" s="88">
        <v>0</v>
      </c>
      <c r="G217" s="88">
        <v>0</v>
      </c>
      <c r="H217" s="88">
        <v>0</v>
      </c>
      <c r="I217" s="88">
        <v>0</v>
      </c>
      <c r="J217" s="88">
        <v>0</v>
      </c>
      <c r="K217" s="88">
        <v>0</v>
      </c>
      <c r="L217" s="88">
        <v>0</v>
      </c>
      <c r="M217" s="88">
        <v>0</v>
      </c>
      <c r="N217" s="88">
        <v>0</v>
      </c>
      <c r="O217" s="88">
        <v>0</v>
      </c>
      <c r="P217" s="88">
        <v>0</v>
      </c>
      <c r="Q217" s="88">
        <v>0</v>
      </c>
      <c r="R217" s="88">
        <v>0</v>
      </c>
      <c r="S217" s="88">
        <f t="shared" si="3"/>
        <v>0</v>
      </c>
    </row>
    <row r="218" spans="1:19" x14ac:dyDescent="0.3">
      <c r="A218" s="195">
        <v>488</v>
      </c>
      <c r="B218" s="177" t="s">
        <v>162</v>
      </c>
      <c r="C218" s="177" t="s">
        <v>163</v>
      </c>
      <c r="D218" s="201" t="s">
        <v>572</v>
      </c>
      <c r="E218" s="88" t="s">
        <v>573</v>
      </c>
      <c r="F218" s="88">
        <v>0</v>
      </c>
      <c r="G218" s="88">
        <v>0</v>
      </c>
      <c r="H218" s="88">
        <v>0</v>
      </c>
      <c r="I218" s="88">
        <v>0</v>
      </c>
      <c r="J218" s="88">
        <v>0</v>
      </c>
      <c r="K218" s="88">
        <v>0</v>
      </c>
      <c r="L218" s="88">
        <v>0</v>
      </c>
      <c r="M218" s="88">
        <v>0</v>
      </c>
      <c r="N218" s="88">
        <v>0</v>
      </c>
      <c r="O218" s="88">
        <v>0</v>
      </c>
      <c r="P218" s="88">
        <v>0</v>
      </c>
      <c r="Q218" s="88">
        <v>0</v>
      </c>
      <c r="R218" s="88">
        <v>0</v>
      </c>
      <c r="S218" s="88">
        <f t="shared" si="3"/>
        <v>0</v>
      </c>
    </row>
    <row r="219" spans="1:19" x14ac:dyDescent="0.3">
      <c r="A219" s="195">
        <v>489</v>
      </c>
      <c r="B219" s="177" t="s">
        <v>162</v>
      </c>
      <c r="C219" s="177" t="s">
        <v>163</v>
      </c>
      <c r="D219" s="201" t="s">
        <v>574</v>
      </c>
      <c r="E219" s="88" t="s">
        <v>575</v>
      </c>
      <c r="F219" s="88">
        <v>0</v>
      </c>
      <c r="G219" s="88">
        <v>0</v>
      </c>
      <c r="H219" s="88">
        <v>0</v>
      </c>
      <c r="I219" s="88">
        <v>0</v>
      </c>
      <c r="J219" s="88">
        <v>0</v>
      </c>
      <c r="K219" s="88">
        <v>0</v>
      </c>
      <c r="L219" s="88">
        <v>0</v>
      </c>
      <c r="M219" s="88">
        <v>0</v>
      </c>
      <c r="N219" s="88">
        <v>0</v>
      </c>
      <c r="O219" s="88">
        <v>0</v>
      </c>
      <c r="P219" s="88">
        <v>0</v>
      </c>
      <c r="Q219" s="88">
        <v>0</v>
      </c>
      <c r="R219" s="88">
        <v>0</v>
      </c>
      <c r="S219" s="88">
        <f t="shared" si="3"/>
        <v>0</v>
      </c>
    </row>
    <row r="220" spans="1:19" x14ac:dyDescent="0.3">
      <c r="A220" s="195">
        <v>489</v>
      </c>
      <c r="B220" s="177" t="s">
        <v>162</v>
      </c>
      <c r="C220" s="177" t="s">
        <v>163</v>
      </c>
      <c r="D220" s="201" t="s">
        <v>576</v>
      </c>
      <c r="E220" s="88" t="s">
        <v>577</v>
      </c>
      <c r="F220" s="88">
        <v>0</v>
      </c>
      <c r="G220" s="88">
        <v>0</v>
      </c>
      <c r="H220" s="88">
        <v>0</v>
      </c>
      <c r="I220" s="88">
        <v>0</v>
      </c>
      <c r="J220" s="88">
        <v>0</v>
      </c>
      <c r="K220" s="88">
        <v>0</v>
      </c>
      <c r="L220" s="88">
        <v>0</v>
      </c>
      <c r="M220" s="88">
        <v>0</v>
      </c>
      <c r="N220" s="88">
        <v>0</v>
      </c>
      <c r="O220" s="88">
        <v>0</v>
      </c>
      <c r="P220" s="88">
        <v>0</v>
      </c>
      <c r="Q220" s="88">
        <v>0</v>
      </c>
      <c r="R220" s="88">
        <v>0</v>
      </c>
      <c r="S220" s="88">
        <f t="shared" si="3"/>
        <v>0</v>
      </c>
    </row>
    <row r="221" spans="1:19" x14ac:dyDescent="0.3">
      <c r="A221" s="195">
        <v>489</v>
      </c>
      <c r="B221" s="177" t="s">
        <v>162</v>
      </c>
      <c r="C221" s="177" t="s">
        <v>163</v>
      </c>
      <c r="D221" s="201" t="s">
        <v>578</v>
      </c>
      <c r="E221" s="88" t="s">
        <v>579</v>
      </c>
      <c r="F221" s="88">
        <v>0</v>
      </c>
      <c r="G221" s="88">
        <v>0</v>
      </c>
      <c r="H221" s="88">
        <v>0</v>
      </c>
      <c r="I221" s="88">
        <v>0</v>
      </c>
      <c r="J221" s="88">
        <v>0</v>
      </c>
      <c r="K221" s="88">
        <v>0</v>
      </c>
      <c r="L221" s="88">
        <v>0</v>
      </c>
      <c r="M221" s="88">
        <v>0</v>
      </c>
      <c r="N221" s="88">
        <v>0</v>
      </c>
      <c r="O221" s="88">
        <v>0</v>
      </c>
      <c r="P221" s="88">
        <v>0</v>
      </c>
      <c r="Q221" s="88">
        <v>0</v>
      </c>
      <c r="R221" s="88">
        <v>0</v>
      </c>
      <c r="S221" s="88">
        <f t="shared" si="3"/>
        <v>0</v>
      </c>
    </row>
    <row r="222" spans="1:19" x14ac:dyDescent="0.3">
      <c r="A222" s="195">
        <v>489</v>
      </c>
      <c r="B222" s="177" t="s">
        <v>162</v>
      </c>
      <c r="C222" s="177" t="s">
        <v>163</v>
      </c>
      <c r="D222" s="201" t="s">
        <v>580</v>
      </c>
      <c r="E222" s="88" t="s">
        <v>581</v>
      </c>
      <c r="F222" s="88">
        <v>0</v>
      </c>
      <c r="G222" s="88">
        <v>0</v>
      </c>
      <c r="H222" s="88">
        <v>0</v>
      </c>
      <c r="I222" s="88">
        <v>0</v>
      </c>
      <c r="J222" s="88">
        <v>0</v>
      </c>
      <c r="K222" s="88">
        <v>0</v>
      </c>
      <c r="L222" s="88">
        <v>0</v>
      </c>
      <c r="M222" s="88">
        <v>0</v>
      </c>
      <c r="N222" s="88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f t="shared" si="3"/>
        <v>0</v>
      </c>
    </row>
    <row r="223" spans="1:19" x14ac:dyDescent="0.3">
      <c r="A223" s="195">
        <v>490</v>
      </c>
      <c r="B223" s="177" t="s">
        <v>162</v>
      </c>
      <c r="C223" s="177" t="s">
        <v>163</v>
      </c>
      <c r="D223" s="201" t="s">
        <v>582</v>
      </c>
      <c r="E223" s="88" t="s">
        <v>583</v>
      </c>
      <c r="F223" s="88">
        <v>0</v>
      </c>
      <c r="G223" s="88">
        <v>0</v>
      </c>
      <c r="H223" s="88">
        <v>0</v>
      </c>
      <c r="I223" s="88">
        <v>0</v>
      </c>
      <c r="J223" s="88">
        <v>0</v>
      </c>
      <c r="K223" s="88">
        <v>0</v>
      </c>
      <c r="L223" s="88">
        <v>0</v>
      </c>
      <c r="M223" s="88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f t="shared" si="3"/>
        <v>0</v>
      </c>
    </row>
    <row r="224" spans="1:19" x14ac:dyDescent="0.3">
      <c r="A224" s="195">
        <v>491</v>
      </c>
      <c r="B224" s="177" t="s">
        <v>162</v>
      </c>
      <c r="C224" s="177" t="s">
        <v>163</v>
      </c>
      <c r="D224" s="201" t="s">
        <v>584</v>
      </c>
      <c r="E224" s="88" t="s">
        <v>585</v>
      </c>
      <c r="F224" s="88">
        <v>0</v>
      </c>
      <c r="G224" s="88">
        <v>0</v>
      </c>
      <c r="H224" s="88"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f t="shared" si="3"/>
        <v>0</v>
      </c>
    </row>
    <row r="225" spans="1:19" x14ac:dyDescent="0.3">
      <c r="A225" s="195">
        <v>492</v>
      </c>
      <c r="B225" s="177" t="s">
        <v>162</v>
      </c>
      <c r="C225" s="177" t="s">
        <v>163</v>
      </c>
      <c r="D225" s="201" t="s">
        <v>586</v>
      </c>
      <c r="E225" s="88" t="s">
        <v>587</v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8">
        <v>0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f t="shared" si="3"/>
        <v>0</v>
      </c>
    </row>
    <row r="226" spans="1:19" x14ac:dyDescent="0.3">
      <c r="A226" s="195">
        <v>493</v>
      </c>
      <c r="B226" s="177" t="s">
        <v>162</v>
      </c>
      <c r="C226" s="177" t="s">
        <v>163</v>
      </c>
      <c r="D226" s="201" t="s">
        <v>588</v>
      </c>
      <c r="E226" s="88" t="s">
        <v>589</v>
      </c>
      <c r="F226" s="88">
        <v>0</v>
      </c>
      <c r="G226" s="88">
        <v>0</v>
      </c>
      <c r="H226" s="88">
        <v>0</v>
      </c>
      <c r="I226" s="88">
        <v>0</v>
      </c>
      <c r="J226" s="88">
        <v>0</v>
      </c>
      <c r="K226" s="88">
        <v>0</v>
      </c>
      <c r="L226" s="88">
        <v>0</v>
      </c>
      <c r="M226" s="88">
        <v>0</v>
      </c>
      <c r="N226" s="88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f t="shared" si="3"/>
        <v>0</v>
      </c>
    </row>
    <row r="227" spans="1:19" x14ac:dyDescent="0.3">
      <c r="A227" s="195">
        <v>494</v>
      </c>
      <c r="B227" s="177" t="s">
        <v>162</v>
      </c>
      <c r="C227" s="177" t="s">
        <v>163</v>
      </c>
      <c r="D227" s="201" t="s">
        <v>590</v>
      </c>
      <c r="E227" s="88" t="s">
        <v>591</v>
      </c>
      <c r="F227" s="88">
        <v>0</v>
      </c>
      <c r="G227" s="88">
        <v>0</v>
      </c>
      <c r="H227" s="88">
        <v>0</v>
      </c>
      <c r="I227" s="88">
        <v>0</v>
      </c>
      <c r="J227" s="88">
        <v>0</v>
      </c>
      <c r="K227" s="88">
        <v>0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f t="shared" si="3"/>
        <v>0</v>
      </c>
    </row>
    <row r="228" spans="1:19" x14ac:dyDescent="0.3">
      <c r="A228" s="195">
        <v>495</v>
      </c>
      <c r="B228" s="177" t="s">
        <v>162</v>
      </c>
      <c r="C228" s="177" t="s">
        <v>163</v>
      </c>
      <c r="D228" s="201" t="s">
        <v>592</v>
      </c>
      <c r="E228" s="88" t="s">
        <v>593</v>
      </c>
      <c r="F228" s="88">
        <v>0</v>
      </c>
      <c r="G228" s="88">
        <v>0</v>
      </c>
      <c r="H228" s="88">
        <v>0</v>
      </c>
      <c r="I228" s="88">
        <v>0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f t="shared" si="3"/>
        <v>0</v>
      </c>
    </row>
    <row r="229" spans="1:19" x14ac:dyDescent="0.3">
      <c r="A229" s="195">
        <v>496</v>
      </c>
      <c r="B229" s="177" t="s">
        <v>162</v>
      </c>
      <c r="C229" s="177" t="s">
        <v>163</v>
      </c>
      <c r="D229" s="201" t="s">
        <v>594</v>
      </c>
      <c r="E229" s="88" t="s">
        <v>595</v>
      </c>
      <c r="F229" s="88">
        <v>0</v>
      </c>
      <c r="G229" s="88">
        <v>0</v>
      </c>
      <c r="H229" s="88">
        <v>0</v>
      </c>
      <c r="I229" s="88">
        <v>0</v>
      </c>
      <c r="J229" s="88">
        <v>0</v>
      </c>
      <c r="K229" s="88">
        <v>0</v>
      </c>
      <c r="L229" s="88">
        <v>0</v>
      </c>
      <c r="M229" s="88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f t="shared" si="3"/>
        <v>0</v>
      </c>
    </row>
    <row r="230" spans="1:19" x14ac:dyDescent="0.3">
      <c r="A230" s="195">
        <v>500</v>
      </c>
      <c r="B230" s="177" t="s">
        <v>162</v>
      </c>
      <c r="C230" s="177" t="s">
        <v>163</v>
      </c>
      <c r="D230" s="201" t="s">
        <v>596</v>
      </c>
      <c r="E230" s="88" t="s">
        <v>597</v>
      </c>
      <c r="F230" s="88">
        <v>0</v>
      </c>
      <c r="G230" s="88">
        <v>422441.86651060003</v>
      </c>
      <c r="H230" s="88">
        <v>393147.27804389998</v>
      </c>
      <c r="I230" s="88">
        <v>402510.73694859998</v>
      </c>
      <c r="J230" s="88">
        <v>431903.00693610002</v>
      </c>
      <c r="K230" s="88">
        <v>452118.74124180002</v>
      </c>
      <c r="L230" s="88">
        <v>404325.02949609997</v>
      </c>
      <c r="M230" s="88">
        <v>464167.95472480002</v>
      </c>
      <c r="N230" s="88">
        <v>449212.05058739998</v>
      </c>
      <c r="O230" s="88">
        <v>430780.60005230003</v>
      </c>
      <c r="P230" s="88">
        <v>470532.9769912</v>
      </c>
      <c r="Q230" s="88">
        <v>434052.09936709999</v>
      </c>
      <c r="R230" s="88">
        <v>460983.86916449998</v>
      </c>
      <c r="S230" s="88">
        <f t="shared" si="3"/>
        <v>5216176.2100644</v>
      </c>
    </row>
    <row r="231" spans="1:19" x14ac:dyDescent="0.3">
      <c r="A231" s="195">
        <v>501</v>
      </c>
      <c r="B231" s="177" t="s">
        <v>162</v>
      </c>
      <c r="C231" s="177" t="s">
        <v>163</v>
      </c>
      <c r="D231" s="201" t="s">
        <v>598</v>
      </c>
      <c r="E231" s="88" t="s">
        <v>599</v>
      </c>
      <c r="F231" s="88">
        <v>0</v>
      </c>
      <c r="G231" s="88">
        <v>1322285.8241822999</v>
      </c>
      <c r="H231" s="88">
        <v>464530.5363031</v>
      </c>
      <c r="I231" s="88">
        <v>575904.53630309994</v>
      </c>
      <c r="J231" s="88">
        <v>55243.753352500004</v>
      </c>
      <c r="K231" s="88">
        <v>897036.39729210001</v>
      </c>
      <c r="L231" s="88">
        <v>587618.4651728</v>
      </c>
      <c r="M231" s="88">
        <v>216108.68384690001</v>
      </c>
      <c r="N231" s="88">
        <v>583275.03990730003</v>
      </c>
      <c r="O231" s="88">
        <v>417176.39596769999</v>
      </c>
      <c r="P231" s="88">
        <v>873150.9704017</v>
      </c>
      <c r="Q231" s="88">
        <v>3459605.6825224999</v>
      </c>
      <c r="R231" s="88">
        <v>9339957.7592364997</v>
      </c>
      <c r="S231" s="88">
        <f t="shared" si="3"/>
        <v>18791894.044488497</v>
      </c>
    </row>
    <row r="232" spans="1:19" x14ac:dyDescent="0.3">
      <c r="A232" s="195">
        <v>502</v>
      </c>
      <c r="B232" s="177" t="s">
        <v>162</v>
      </c>
      <c r="C232" s="177" t="s">
        <v>163</v>
      </c>
      <c r="D232" s="201" t="s">
        <v>600</v>
      </c>
      <c r="E232" s="88" t="s">
        <v>601</v>
      </c>
      <c r="F232" s="88">
        <v>0</v>
      </c>
      <c r="G232" s="88">
        <v>503285.65146000002</v>
      </c>
      <c r="H232" s="88">
        <v>417761.6699105</v>
      </c>
      <c r="I232" s="88">
        <v>539858.42566469999</v>
      </c>
      <c r="J232" s="88">
        <v>544835.09622990002</v>
      </c>
      <c r="K232" s="88">
        <v>579475.1473675</v>
      </c>
      <c r="L232" s="88">
        <v>475554.91828769998</v>
      </c>
      <c r="M232" s="88">
        <v>606574.22630920005</v>
      </c>
      <c r="N232" s="88">
        <v>571934.17517159996</v>
      </c>
      <c r="O232" s="88">
        <v>537294.12398699997</v>
      </c>
      <c r="P232" s="88">
        <v>613673.30525139999</v>
      </c>
      <c r="Q232" s="88">
        <v>544393.20292920002</v>
      </c>
      <c r="R232" s="88">
        <v>607028.64882300003</v>
      </c>
      <c r="S232" s="88">
        <f t="shared" si="3"/>
        <v>6541668.5913916994</v>
      </c>
    </row>
    <row r="233" spans="1:19" x14ac:dyDescent="0.3">
      <c r="A233" s="195">
        <v>503</v>
      </c>
      <c r="B233" s="177" t="s">
        <v>162</v>
      </c>
      <c r="C233" s="177" t="s">
        <v>163</v>
      </c>
      <c r="D233" s="201" t="s">
        <v>602</v>
      </c>
      <c r="E233" s="88" t="s">
        <v>603</v>
      </c>
      <c r="F233" s="88">
        <v>0</v>
      </c>
      <c r="G233" s="88">
        <v>0</v>
      </c>
      <c r="H233" s="88">
        <v>0</v>
      </c>
      <c r="I233" s="88">
        <v>0</v>
      </c>
      <c r="J233" s="88">
        <v>0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88">
        <v>0</v>
      </c>
      <c r="Q233" s="88">
        <v>0</v>
      </c>
      <c r="R233" s="88">
        <v>0</v>
      </c>
      <c r="S233" s="88">
        <f t="shared" si="3"/>
        <v>0</v>
      </c>
    </row>
    <row r="234" spans="1:19" x14ac:dyDescent="0.3">
      <c r="A234" s="195">
        <v>504</v>
      </c>
      <c r="B234" s="177" t="s">
        <v>162</v>
      </c>
      <c r="C234" s="177" t="s">
        <v>163</v>
      </c>
      <c r="D234" s="201" t="s">
        <v>604</v>
      </c>
      <c r="E234" s="88" t="s">
        <v>605</v>
      </c>
      <c r="F234" s="88">
        <v>0</v>
      </c>
      <c r="G234" s="88">
        <v>0</v>
      </c>
      <c r="H234" s="88">
        <v>0</v>
      </c>
      <c r="I234" s="88">
        <v>0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88">
        <v>0</v>
      </c>
      <c r="Q234" s="88">
        <v>0</v>
      </c>
      <c r="R234" s="88">
        <v>0</v>
      </c>
      <c r="S234" s="88">
        <f t="shared" si="3"/>
        <v>0</v>
      </c>
    </row>
    <row r="235" spans="1:19" x14ac:dyDescent="0.3">
      <c r="A235" s="195">
        <v>505</v>
      </c>
      <c r="B235" s="177" t="s">
        <v>162</v>
      </c>
      <c r="C235" s="177" t="s">
        <v>163</v>
      </c>
      <c r="D235" s="201" t="s">
        <v>606</v>
      </c>
      <c r="E235" s="88" t="s">
        <v>607</v>
      </c>
      <c r="F235" s="88">
        <v>0</v>
      </c>
      <c r="G235" s="88">
        <v>183661.20934669999</v>
      </c>
      <c r="H235" s="88">
        <v>183661.20934669999</v>
      </c>
      <c r="I235" s="88">
        <v>183661.20934669999</v>
      </c>
      <c r="J235" s="88">
        <v>186089.0011582</v>
      </c>
      <c r="K235" s="88">
        <v>186089.0011582</v>
      </c>
      <c r="L235" s="88">
        <v>186089.0011582</v>
      </c>
      <c r="M235" s="88">
        <v>187302.89706389999</v>
      </c>
      <c r="N235" s="88">
        <v>187302.89706389999</v>
      </c>
      <c r="O235" s="88">
        <v>187302.89706389999</v>
      </c>
      <c r="P235" s="88">
        <v>188516.79296950001</v>
      </c>
      <c r="Q235" s="88">
        <v>188516.79296950001</v>
      </c>
      <c r="R235" s="88">
        <v>194586.27249820001</v>
      </c>
      <c r="S235" s="88">
        <f t="shared" si="3"/>
        <v>2242779.1811436</v>
      </c>
    </row>
    <row r="236" spans="1:19" x14ac:dyDescent="0.3">
      <c r="A236" s="195">
        <v>506</v>
      </c>
      <c r="B236" s="177" t="s">
        <v>162</v>
      </c>
      <c r="C236" s="177" t="s">
        <v>163</v>
      </c>
      <c r="D236" s="201" t="s">
        <v>608</v>
      </c>
      <c r="E236" s="88" t="s">
        <v>609</v>
      </c>
      <c r="F236" s="88">
        <v>0</v>
      </c>
      <c r="G236" s="88">
        <v>437939.45760259998</v>
      </c>
      <c r="H236" s="88">
        <v>375752.53996660002</v>
      </c>
      <c r="I236" s="88">
        <v>381668.5251186</v>
      </c>
      <c r="J236" s="88">
        <v>402920.20608690003</v>
      </c>
      <c r="K236" s="88">
        <v>406109.52589559997</v>
      </c>
      <c r="L236" s="88">
        <v>396101.25263150001</v>
      </c>
      <c r="M236" s="88">
        <v>424313.98639610002</v>
      </c>
      <c r="N236" s="88">
        <v>420977.89773600001</v>
      </c>
      <c r="O236" s="88">
        <v>417641.80907610001</v>
      </c>
      <c r="P236" s="88">
        <v>442671.88705610001</v>
      </c>
      <c r="Q236" s="88">
        <v>435986.36712110002</v>
      </c>
      <c r="R236" s="88">
        <v>474851.42959090002</v>
      </c>
      <c r="S236" s="88">
        <f t="shared" si="3"/>
        <v>5016934.8842781009</v>
      </c>
    </row>
    <row r="237" spans="1:19" x14ac:dyDescent="0.3">
      <c r="A237" s="195">
        <v>507</v>
      </c>
      <c r="B237" s="177" t="s">
        <v>162</v>
      </c>
      <c r="C237" s="177" t="s">
        <v>163</v>
      </c>
      <c r="D237" s="201" t="s">
        <v>610</v>
      </c>
      <c r="E237" s="88" t="s">
        <v>611</v>
      </c>
      <c r="F237" s="88">
        <v>0</v>
      </c>
      <c r="G237" s="88">
        <v>2000</v>
      </c>
      <c r="H237" s="88">
        <v>2000</v>
      </c>
      <c r="I237" s="88">
        <v>2000</v>
      </c>
      <c r="J237" s="88">
        <v>2000</v>
      </c>
      <c r="K237" s="88">
        <v>2000</v>
      </c>
      <c r="L237" s="88">
        <v>2000</v>
      </c>
      <c r="M237" s="88">
        <v>2000</v>
      </c>
      <c r="N237" s="88">
        <v>2000</v>
      </c>
      <c r="O237" s="88">
        <v>2000</v>
      </c>
      <c r="P237" s="88">
        <v>2000</v>
      </c>
      <c r="Q237" s="88">
        <v>2000</v>
      </c>
      <c r="R237" s="88">
        <v>2000</v>
      </c>
      <c r="S237" s="88">
        <f t="shared" si="3"/>
        <v>24000</v>
      </c>
    </row>
    <row r="238" spans="1:19" x14ac:dyDescent="0.3">
      <c r="A238" s="195">
        <v>509</v>
      </c>
      <c r="B238" s="177" t="s">
        <v>162</v>
      </c>
      <c r="C238" s="177" t="s">
        <v>163</v>
      </c>
      <c r="D238" s="201" t="s">
        <v>612</v>
      </c>
      <c r="E238" s="88" t="s">
        <v>613</v>
      </c>
      <c r="F238" s="88">
        <v>0</v>
      </c>
      <c r="G238" s="88">
        <v>1410</v>
      </c>
      <c r="H238" s="88">
        <v>1325</v>
      </c>
      <c r="I238" s="88">
        <v>1416</v>
      </c>
      <c r="J238" s="88">
        <v>1365</v>
      </c>
      <c r="K238" s="88">
        <v>1416</v>
      </c>
      <c r="L238" s="88">
        <v>757</v>
      </c>
      <c r="M238" s="88">
        <v>-5</v>
      </c>
      <c r="N238" s="88">
        <v>0</v>
      </c>
      <c r="O238" s="88">
        <v>2350</v>
      </c>
      <c r="P238" s="88">
        <v>-5</v>
      </c>
      <c r="Q238" s="88">
        <v>0</v>
      </c>
      <c r="R238" s="88">
        <v>0</v>
      </c>
      <c r="S238" s="88">
        <f t="shared" si="3"/>
        <v>10029</v>
      </c>
    </row>
    <row r="239" spans="1:19" x14ac:dyDescent="0.3">
      <c r="A239" s="195">
        <v>510</v>
      </c>
      <c r="B239" s="177" t="s">
        <v>162</v>
      </c>
      <c r="C239" s="177" t="s">
        <v>163</v>
      </c>
      <c r="D239" s="201" t="s">
        <v>614</v>
      </c>
      <c r="E239" s="88" t="s">
        <v>615</v>
      </c>
      <c r="F239" s="88">
        <v>0</v>
      </c>
      <c r="G239" s="88">
        <v>0</v>
      </c>
      <c r="H239" s="88">
        <v>0</v>
      </c>
      <c r="I239" s="88">
        <v>0</v>
      </c>
      <c r="J239" s="88">
        <v>0</v>
      </c>
      <c r="K239" s="88">
        <v>0</v>
      </c>
      <c r="L239" s="88">
        <v>0</v>
      </c>
      <c r="M239" s="88">
        <v>0</v>
      </c>
      <c r="N239" s="88">
        <v>0</v>
      </c>
      <c r="O239" s="88">
        <v>0</v>
      </c>
      <c r="P239" s="88">
        <v>0</v>
      </c>
      <c r="Q239" s="88">
        <v>0</v>
      </c>
      <c r="R239" s="88">
        <v>0</v>
      </c>
      <c r="S239" s="88">
        <f t="shared" si="3"/>
        <v>0</v>
      </c>
    </row>
    <row r="240" spans="1:19" x14ac:dyDescent="0.3">
      <c r="A240" s="195">
        <v>511</v>
      </c>
      <c r="B240" s="177" t="s">
        <v>162</v>
      </c>
      <c r="C240" s="177" t="s">
        <v>163</v>
      </c>
      <c r="D240" s="201" t="s">
        <v>616</v>
      </c>
      <c r="E240" s="88" t="s">
        <v>617</v>
      </c>
      <c r="F240" s="88">
        <v>0</v>
      </c>
      <c r="G240" s="88">
        <v>285894.0456438</v>
      </c>
      <c r="H240" s="88">
        <v>276424.31670069997</v>
      </c>
      <c r="I240" s="88">
        <v>276866.6587262</v>
      </c>
      <c r="J240" s="88">
        <v>307498.0946671</v>
      </c>
      <c r="K240" s="88">
        <v>308463.00445920002</v>
      </c>
      <c r="L240" s="88">
        <v>292771.61095629999</v>
      </c>
      <c r="M240" s="88">
        <v>316750.25367339997</v>
      </c>
      <c r="N240" s="88">
        <v>312885.72413300001</v>
      </c>
      <c r="O240" s="88">
        <v>310723.34130620002</v>
      </c>
      <c r="P240" s="88">
        <v>342033.63747050002</v>
      </c>
      <c r="Q240" s="88">
        <v>332335.06581830001</v>
      </c>
      <c r="R240" s="88">
        <v>395243.5260294</v>
      </c>
      <c r="S240" s="88">
        <f t="shared" si="3"/>
        <v>3757889.2795841</v>
      </c>
    </row>
    <row r="241" spans="1:19" x14ac:dyDescent="0.3">
      <c r="A241" s="195">
        <v>512</v>
      </c>
      <c r="B241" s="177" t="s">
        <v>162</v>
      </c>
      <c r="C241" s="177" t="s">
        <v>163</v>
      </c>
      <c r="D241" s="201" t="s">
        <v>618</v>
      </c>
      <c r="E241" s="88" t="s">
        <v>619</v>
      </c>
      <c r="F241" s="88">
        <v>0</v>
      </c>
      <c r="G241" s="88">
        <v>1281364.6684946001</v>
      </c>
      <c r="H241" s="88">
        <v>1258004.7444308</v>
      </c>
      <c r="I241" s="88">
        <v>1258004.7444308</v>
      </c>
      <c r="J241" s="88">
        <v>1384879.3672076</v>
      </c>
      <c r="K241" s="88">
        <v>1367551.8542223</v>
      </c>
      <c r="L241" s="88">
        <v>1386201.0539953001</v>
      </c>
      <c r="M241" s="88">
        <v>1455443.520889</v>
      </c>
      <c r="N241" s="88">
        <v>1452771.0338743001</v>
      </c>
      <c r="O241" s="88">
        <v>1450098.5468421001</v>
      </c>
      <c r="P241" s="88">
        <v>1483335.1875557001</v>
      </c>
      <c r="Q241" s="88">
        <v>1511323.5468421001</v>
      </c>
      <c r="R241" s="88">
        <v>1780810.8077707</v>
      </c>
      <c r="S241" s="88">
        <f t="shared" si="3"/>
        <v>17069789.076555301</v>
      </c>
    </row>
    <row r="242" spans="1:19" x14ac:dyDescent="0.3">
      <c r="A242" s="195">
        <v>513</v>
      </c>
      <c r="B242" s="177" t="s">
        <v>162</v>
      </c>
      <c r="C242" s="177" t="s">
        <v>163</v>
      </c>
      <c r="D242" s="201" t="s">
        <v>620</v>
      </c>
      <c r="E242" s="88" t="s">
        <v>621</v>
      </c>
      <c r="F242" s="88">
        <v>0</v>
      </c>
      <c r="G242" s="88">
        <v>175041.4114442</v>
      </c>
      <c r="H242" s="88">
        <v>174313.1731828</v>
      </c>
      <c r="I242" s="88">
        <v>174313.1731828</v>
      </c>
      <c r="J242" s="88">
        <v>174677.29231349999</v>
      </c>
      <c r="K242" s="88">
        <v>175041.4114442</v>
      </c>
      <c r="L242" s="88">
        <v>173949.05325699999</v>
      </c>
      <c r="M242" s="88">
        <v>175041.4114442</v>
      </c>
      <c r="N242" s="88">
        <v>174677.29231349999</v>
      </c>
      <c r="O242" s="88">
        <v>174313.1731828</v>
      </c>
      <c r="P242" s="88">
        <v>175041.4114442</v>
      </c>
      <c r="Q242" s="88">
        <v>174313.1731828</v>
      </c>
      <c r="R242" s="88">
        <v>174677.29231349999</v>
      </c>
      <c r="S242" s="88">
        <f t="shared" si="3"/>
        <v>2095399.2687055001</v>
      </c>
    </row>
    <row r="243" spans="1:19" x14ac:dyDescent="0.3">
      <c r="A243" s="195">
        <v>514</v>
      </c>
      <c r="B243" s="177" t="s">
        <v>162</v>
      </c>
      <c r="C243" s="177" t="s">
        <v>163</v>
      </c>
      <c r="D243" s="201" t="s">
        <v>622</v>
      </c>
      <c r="E243" s="88" t="s">
        <v>623</v>
      </c>
      <c r="F243" s="88">
        <v>0</v>
      </c>
      <c r="G243" s="88">
        <v>175041.4114442</v>
      </c>
      <c r="H243" s="88">
        <v>174313.1731828</v>
      </c>
      <c r="I243" s="88">
        <v>174313.1731828</v>
      </c>
      <c r="J243" s="88">
        <v>174677.29231349999</v>
      </c>
      <c r="K243" s="88">
        <v>175041.4114442</v>
      </c>
      <c r="L243" s="88">
        <v>173949.05325699999</v>
      </c>
      <c r="M243" s="88">
        <v>175041.4114442</v>
      </c>
      <c r="N243" s="88">
        <v>174677.29231349999</v>
      </c>
      <c r="O243" s="88">
        <v>174313.1731828</v>
      </c>
      <c r="P243" s="88">
        <v>175041.4114442</v>
      </c>
      <c r="Q243" s="88">
        <v>174313.1731828</v>
      </c>
      <c r="R243" s="88">
        <v>174677.29231349999</v>
      </c>
      <c r="S243" s="88">
        <f t="shared" si="3"/>
        <v>2095399.2687055001</v>
      </c>
    </row>
    <row r="244" spans="1:19" x14ac:dyDescent="0.3">
      <c r="A244" s="195">
        <v>517</v>
      </c>
      <c r="B244" s="177" t="s">
        <v>162</v>
      </c>
      <c r="C244" s="177" t="s">
        <v>163</v>
      </c>
      <c r="D244" s="201" t="s">
        <v>624</v>
      </c>
      <c r="E244" s="88" t="s">
        <v>625</v>
      </c>
      <c r="F244" s="88">
        <v>0</v>
      </c>
      <c r="G244" s="88">
        <v>0</v>
      </c>
      <c r="H244" s="88">
        <v>0</v>
      </c>
      <c r="I244" s="88">
        <v>0</v>
      </c>
      <c r="J244" s="88">
        <v>0</v>
      </c>
      <c r="K244" s="88">
        <v>0</v>
      </c>
      <c r="L244" s="88">
        <v>0</v>
      </c>
      <c r="M244" s="88">
        <v>0</v>
      </c>
      <c r="N244" s="88">
        <v>0</v>
      </c>
      <c r="O244" s="88">
        <v>0</v>
      </c>
      <c r="P244" s="88">
        <v>0</v>
      </c>
      <c r="Q244" s="88">
        <v>0</v>
      </c>
      <c r="R244" s="88">
        <v>0</v>
      </c>
      <c r="S244" s="88">
        <f t="shared" si="3"/>
        <v>0</v>
      </c>
    </row>
    <row r="245" spans="1:19" x14ac:dyDescent="0.3">
      <c r="A245" s="195">
        <v>518</v>
      </c>
      <c r="B245" s="177" t="s">
        <v>162</v>
      </c>
      <c r="C245" s="177" t="s">
        <v>163</v>
      </c>
      <c r="D245" s="201" t="s">
        <v>626</v>
      </c>
      <c r="E245" s="88" t="s">
        <v>627</v>
      </c>
      <c r="F245" s="88">
        <v>0</v>
      </c>
      <c r="G245" s="88">
        <v>0</v>
      </c>
      <c r="H245" s="88">
        <v>0</v>
      </c>
      <c r="I245" s="88">
        <v>0</v>
      </c>
      <c r="J245" s="88">
        <v>0</v>
      </c>
      <c r="K245" s="88">
        <v>0</v>
      </c>
      <c r="L245" s="88">
        <v>0</v>
      </c>
      <c r="M245" s="88">
        <v>0</v>
      </c>
      <c r="N245" s="88">
        <v>0</v>
      </c>
      <c r="O245" s="88">
        <v>0</v>
      </c>
      <c r="P245" s="88">
        <v>0</v>
      </c>
      <c r="Q245" s="88">
        <v>0</v>
      </c>
      <c r="R245" s="88">
        <v>0</v>
      </c>
      <c r="S245" s="88">
        <f t="shared" si="3"/>
        <v>0</v>
      </c>
    </row>
    <row r="246" spans="1:19" x14ac:dyDescent="0.3">
      <c r="A246" s="195">
        <v>519</v>
      </c>
      <c r="B246" s="177" t="s">
        <v>162</v>
      </c>
      <c r="C246" s="177" t="s">
        <v>163</v>
      </c>
      <c r="D246" s="201" t="s">
        <v>628</v>
      </c>
      <c r="E246" s="88" t="s">
        <v>629</v>
      </c>
      <c r="F246" s="88">
        <v>0</v>
      </c>
      <c r="G246" s="88">
        <v>0</v>
      </c>
      <c r="H246" s="88">
        <v>0</v>
      </c>
      <c r="I246" s="88">
        <v>0</v>
      </c>
      <c r="J246" s="88">
        <v>0</v>
      </c>
      <c r="K246" s="88">
        <v>0</v>
      </c>
      <c r="L246" s="88">
        <v>0</v>
      </c>
      <c r="M246" s="88">
        <v>0</v>
      </c>
      <c r="N246" s="88">
        <v>0</v>
      </c>
      <c r="O246" s="88">
        <v>0</v>
      </c>
      <c r="P246" s="88">
        <v>0</v>
      </c>
      <c r="Q246" s="88">
        <v>0</v>
      </c>
      <c r="R246" s="88">
        <v>0</v>
      </c>
      <c r="S246" s="88">
        <f t="shared" si="3"/>
        <v>0</v>
      </c>
    </row>
    <row r="247" spans="1:19" x14ac:dyDescent="0.3">
      <c r="A247" s="195">
        <v>520</v>
      </c>
      <c r="B247" s="177" t="s">
        <v>162</v>
      </c>
      <c r="C247" s="177" t="s">
        <v>163</v>
      </c>
      <c r="D247" s="201" t="s">
        <v>630</v>
      </c>
      <c r="E247" s="88" t="s">
        <v>631</v>
      </c>
      <c r="F247" s="88">
        <v>0</v>
      </c>
      <c r="G247" s="88">
        <v>0</v>
      </c>
      <c r="H247" s="88">
        <v>0</v>
      </c>
      <c r="I247" s="88">
        <v>0</v>
      </c>
      <c r="J247" s="88">
        <v>0</v>
      </c>
      <c r="K247" s="88">
        <v>0</v>
      </c>
      <c r="L247" s="88">
        <v>0</v>
      </c>
      <c r="M247" s="88">
        <v>0</v>
      </c>
      <c r="N247" s="88">
        <v>0</v>
      </c>
      <c r="O247" s="88">
        <v>0</v>
      </c>
      <c r="P247" s="88">
        <v>0</v>
      </c>
      <c r="Q247" s="88">
        <v>0</v>
      </c>
      <c r="R247" s="88">
        <v>0</v>
      </c>
      <c r="S247" s="88">
        <f t="shared" si="3"/>
        <v>0</v>
      </c>
    </row>
    <row r="248" spans="1:19" x14ac:dyDescent="0.3">
      <c r="A248" s="195">
        <v>521</v>
      </c>
      <c r="B248" s="177" t="s">
        <v>162</v>
      </c>
      <c r="C248" s="177" t="s">
        <v>163</v>
      </c>
      <c r="D248" s="201" t="s">
        <v>632</v>
      </c>
      <c r="E248" s="88" t="s">
        <v>633</v>
      </c>
      <c r="F248" s="88">
        <v>0</v>
      </c>
      <c r="G248" s="88">
        <v>0</v>
      </c>
      <c r="H248" s="88">
        <v>0</v>
      </c>
      <c r="I248" s="88">
        <v>0</v>
      </c>
      <c r="J248" s="88">
        <v>0</v>
      </c>
      <c r="K248" s="88">
        <v>0</v>
      </c>
      <c r="L248" s="88">
        <v>0</v>
      </c>
      <c r="M248" s="88">
        <v>0</v>
      </c>
      <c r="N248" s="88">
        <v>0</v>
      </c>
      <c r="O248" s="88">
        <v>0</v>
      </c>
      <c r="P248" s="88">
        <v>0</v>
      </c>
      <c r="Q248" s="88">
        <v>0</v>
      </c>
      <c r="R248" s="88">
        <v>0</v>
      </c>
      <c r="S248" s="88">
        <f t="shared" si="3"/>
        <v>0</v>
      </c>
    </row>
    <row r="249" spans="1:19" x14ac:dyDescent="0.3">
      <c r="A249" s="195">
        <v>522</v>
      </c>
      <c r="B249" s="177" t="s">
        <v>162</v>
      </c>
      <c r="C249" s="177" t="s">
        <v>163</v>
      </c>
      <c r="D249" s="201" t="s">
        <v>634</v>
      </c>
      <c r="E249" s="88" t="s">
        <v>635</v>
      </c>
      <c r="F249" s="88">
        <v>0</v>
      </c>
      <c r="G249" s="88">
        <v>0</v>
      </c>
      <c r="H249" s="88">
        <v>0</v>
      </c>
      <c r="I249" s="88">
        <v>0</v>
      </c>
      <c r="J249" s="88">
        <v>0</v>
      </c>
      <c r="K249" s="88">
        <v>0</v>
      </c>
      <c r="L249" s="88">
        <v>0</v>
      </c>
      <c r="M249" s="88">
        <v>0</v>
      </c>
      <c r="N249" s="88">
        <v>0</v>
      </c>
      <c r="O249" s="88">
        <v>0</v>
      </c>
      <c r="P249" s="88">
        <v>0</v>
      </c>
      <c r="Q249" s="88">
        <v>0</v>
      </c>
      <c r="R249" s="88">
        <v>0</v>
      </c>
      <c r="S249" s="88">
        <f t="shared" si="3"/>
        <v>0</v>
      </c>
    </row>
    <row r="250" spans="1:19" x14ac:dyDescent="0.3">
      <c r="A250" s="195">
        <v>523</v>
      </c>
      <c r="B250" s="177" t="s">
        <v>162</v>
      </c>
      <c r="C250" s="177" t="s">
        <v>163</v>
      </c>
      <c r="D250" s="201" t="s">
        <v>636</v>
      </c>
      <c r="E250" s="88" t="s">
        <v>637</v>
      </c>
      <c r="F250" s="88">
        <v>0</v>
      </c>
      <c r="G250" s="88">
        <v>0</v>
      </c>
      <c r="H250" s="88">
        <v>0</v>
      </c>
      <c r="I250" s="88">
        <v>0</v>
      </c>
      <c r="J250" s="88">
        <v>0</v>
      </c>
      <c r="K250" s="88">
        <v>0</v>
      </c>
      <c r="L250" s="88">
        <v>0</v>
      </c>
      <c r="M250" s="88">
        <v>0</v>
      </c>
      <c r="N250" s="88">
        <v>0</v>
      </c>
      <c r="O250" s="88">
        <v>0</v>
      </c>
      <c r="P250" s="88">
        <v>0</v>
      </c>
      <c r="Q250" s="88">
        <v>0</v>
      </c>
      <c r="R250" s="88">
        <v>0</v>
      </c>
      <c r="S250" s="88">
        <f t="shared" si="3"/>
        <v>0</v>
      </c>
    </row>
    <row r="251" spans="1:19" x14ac:dyDescent="0.3">
      <c r="A251" s="195">
        <v>524</v>
      </c>
      <c r="B251" s="177" t="s">
        <v>162</v>
      </c>
      <c r="C251" s="177" t="s">
        <v>163</v>
      </c>
      <c r="D251" s="201" t="s">
        <v>638</v>
      </c>
      <c r="E251" s="88" t="s">
        <v>639</v>
      </c>
      <c r="F251" s="88">
        <v>0</v>
      </c>
      <c r="G251" s="88">
        <v>0</v>
      </c>
      <c r="H251" s="88">
        <v>0</v>
      </c>
      <c r="I251" s="88">
        <v>0</v>
      </c>
      <c r="J251" s="88">
        <v>0</v>
      </c>
      <c r="K251" s="88">
        <v>0</v>
      </c>
      <c r="L251" s="88">
        <v>0</v>
      </c>
      <c r="M251" s="88">
        <v>0</v>
      </c>
      <c r="N251" s="88">
        <v>0</v>
      </c>
      <c r="O251" s="88">
        <v>0</v>
      </c>
      <c r="P251" s="88">
        <v>0</v>
      </c>
      <c r="Q251" s="88">
        <v>0</v>
      </c>
      <c r="R251" s="88">
        <v>0</v>
      </c>
      <c r="S251" s="88">
        <f t="shared" si="3"/>
        <v>0</v>
      </c>
    </row>
    <row r="252" spans="1:19" x14ac:dyDescent="0.3">
      <c r="A252" s="195">
        <v>525</v>
      </c>
      <c r="B252" s="177" t="s">
        <v>162</v>
      </c>
      <c r="C252" s="177" t="s">
        <v>163</v>
      </c>
      <c r="D252" s="201" t="s">
        <v>640</v>
      </c>
      <c r="E252" s="88" t="s">
        <v>641</v>
      </c>
      <c r="F252" s="88">
        <v>0</v>
      </c>
      <c r="G252" s="88">
        <v>0</v>
      </c>
      <c r="H252" s="88">
        <v>0</v>
      </c>
      <c r="I252" s="88">
        <v>0</v>
      </c>
      <c r="J252" s="88">
        <v>0</v>
      </c>
      <c r="K252" s="88">
        <v>0</v>
      </c>
      <c r="L252" s="88">
        <v>0</v>
      </c>
      <c r="M252" s="88">
        <v>0</v>
      </c>
      <c r="N252" s="88">
        <v>0</v>
      </c>
      <c r="O252" s="88">
        <v>0</v>
      </c>
      <c r="P252" s="88">
        <v>0</v>
      </c>
      <c r="Q252" s="88">
        <v>0</v>
      </c>
      <c r="R252" s="88">
        <v>0</v>
      </c>
      <c r="S252" s="88">
        <f t="shared" si="3"/>
        <v>0</v>
      </c>
    </row>
    <row r="253" spans="1:19" x14ac:dyDescent="0.3">
      <c r="A253" s="195">
        <v>528</v>
      </c>
      <c r="B253" s="177" t="s">
        <v>162</v>
      </c>
      <c r="C253" s="177" t="s">
        <v>163</v>
      </c>
      <c r="D253" s="201" t="s">
        <v>642</v>
      </c>
      <c r="E253" s="88" t="s">
        <v>643</v>
      </c>
      <c r="F253" s="88">
        <v>0</v>
      </c>
      <c r="G253" s="88">
        <v>0</v>
      </c>
      <c r="H253" s="88">
        <v>0</v>
      </c>
      <c r="I253" s="88">
        <v>0</v>
      </c>
      <c r="J253" s="88">
        <v>0</v>
      </c>
      <c r="K253" s="88">
        <v>0</v>
      </c>
      <c r="L253" s="88">
        <v>0</v>
      </c>
      <c r="M253" s="88">
        <v>0</v>
      </c>
      <c r="N253" s="88">
        <v>0</v>
      </c>
      <c r="O253" s="88">
        <v>0</v>
      </c>
      <c r="P253" s="88">
        <v>0</v>
      </c>
      <c r="Q253" s="88">
        <v>0</v>
      </c>
      <c r="R253" s="88">
        <v>0</v>
      </c>
      <c r="S253" s="88">
        <f t="shared" si="3"/>
        <v>0</v>
      </c>
    </row>
    <row r="254" spans="1:19" x14ac:dyDescent="0.3">
      <c r="A254" s="195">
        <v>529</v>
      </c>
      <c r="B254" s="177" t="s">
        <v>162</v>
      </c>
      <c r="C254" s="177" t="s">
        <v>163</v>
      </c>
      <c r="D254" s="201" t="s">
        <v>644</v>
      </c>
      <c r="E254" s="88" t="s">
        <v>645</v>
      </c>
      <c r="F254" s="88">
        <v>0</v>
      </c>
      <c r="G254" s="88">
        <v>0</v>
      </c>
      <c r="H254" s="88">
        <v>0</v>
      </c>
      <c r="I254" s="88">
        <v>0</v>
      </c>
      <c r="J254" s="88">
        <v>0</v>
      </c>
      <c r="K254" s="88">
        <v>0</v>
      </c>
      <c r="L254" s="88">
        <v>0</v>
      </c>
      <c r="M254" s="88">
        <v>0</v>
      </c>
      <c r="N254" s="88">
        <v>0</v>
      </c>
      <c r="O254" s="88">
        <v>0</v>
      </c>
      <c r="P254" s="88">
        <v>0</v>
      </c>
      <c r="Q254" s="88">
        <v>0</v>
      </c>
      <c r="R254" s="88">
        <v>0</v>
      </c>
      <c r="S254" s="88">
        <f t="shared" si="3"/>
        <v>0</v>
      </c>
    </row>
    <row r="255" spans="1:19" x14ac:dyDescent="0.3">
      <c r="A255" s="195">
        <v>530</v>
      </c>
      <c r="B255" s="177" t="s">
        <v>162</v>
      </c>
      <c r="C255" s="177" t="s">
        <v>163</v>
      </c>
      <c r="D255" s="201" t="s">
        <v>646</v>
      </c>
      <c r="E255" s="88" t="s">
        <v>647</v>
      </c>
      <c r="F255" s="88">
        <v>0</v>
      </c>
      <c r="G255" s="88">
        <v>0</v>
      </c>
      <c r="H255" s="88">
        <v>0</v>
      </c>
      <c r="I255" s="88">
        <v>0</v>
      </c>
      <c r="J255" s="88">
        <v>0</v>
      </c>
      <c r="K255" s="88">
        <v>0</v>
      </c>
      <c r="L255" s="88">
        <v>0</v>
      </c>
      <c r="M255" s="88">
        <v>0</v>
      </c>
      <c r="N255" s="88">
        <v>0</v>
      </c>
      <c r="O255" s="88">
        <v>0</v>
      </c>
      <c r="P255" s="88">
        <v>0</v>
      </c>
      <c r="Q255" s="88">
        <v>0</v>
      </c>
      <c r="R255" s="88">
        <v>0</v>
      </c>
      <c r="S255" s="88">
        <f t="shared" si="3"/>
        <v>0</v>
      </c>
    </row>
    <row r="256" spans="1:19" x14ac:dyDescent="0.3">
      <c r="A256" s="195">
        <v>531</v>
      </c>
      <c r="B256" s="177" t="s">
        <v>162</v>
      </c>
      <c r="C256" s="177" t="s">
        <v>163</v>
      </c>
      <c r="D256" s="201" t="s">
        <v>648</v>
      </c>
      <c r="E256" s="88" t="s">
        <v>649</v>
      </c>
      <c r="F256" s="88">
        <v>0</v>
      </c>
      <c r="G256" s="88">
        <v>0</v>
      </c>
      <c r="H256" s="88">
        <v>0</v>
      </c>
      <c r="I256" s="88">
        <v>0</v>
      </c>
      <c r="J256" s="88">
        <v>0</v>
      </c>
      <c r="K256" s="88">
        <v>0</v>
      </c>
      <c r="L256" s="88">
        <v>0</v>
      </c>
      <c r="M256" s="88">
        <v>0</v>
      </c>
      <c r="N256" s="88">
        <v>0</v>
      </c>
      <c r="O256" s="88">
        <v>0</v>
      </c>
      <c r="P256" s="88">
        <v>0</v>
      </c>
      <c r="Q256" s="88">
        <v>0</v>
      </c>
      <c r="R256" s="88">
        <v>0</v>
      </c>
      <c r="S256" s="88">
        <f t="shared" si="3"/>
        <v>0</v>
      </c>
    </row>
    <row r="257" spans="1:19" x14ac:dyDescent="0.3">
      <c r="A257" s="195">
        <v>532</v>
      </c>
      <c r="B257" s="177" t="s">
        <v>162</v>
      </c>
      <c r="C257" s="177" t="s">
        <v>163</v>
      </c>
      <c r="D257" s="201" t="s">
        <v>650</v>
      </c>
      <c r="E257" s="88" t="s">
        <v>651</v>
      </c>
      <c r="F257" s="88">
        <v>0</v>
      </c>
      <c r="G257" s="88">
        <v>0</v>
      </c>
      <c r="H257" s="88">
        <v>0</v>
      </c>
      <c r="I257" s="88">
        <v>0</v>
      </c>
      <c r="J257" s="88">
        <v>0</v>
      </c>
      <c r="K257" s="88">
        <v>0</v>
      </c>
      <c r="L257" s="88">
        <v>0</v>
      </c>
      <c r="M257" s="88">
        <v>0</v>
      </c>
      <c r="N257" s="88">
        <v>0</v>
      </c>
      <c r="O257" s="88">
        <v>0</v>
      </c>
      <c r="P257" s="88">
        <v>0</v>
      </c>
      <c r="Q257" s="88">
        <v>0</v>
      </c>
      <c r="R257" s="88">
        <v>0</v>
      </c>
      <c r="S257" s="88">
        <f t="shared" si="3"/>
        <v>0</v>
      </c>
    </row>
    <row r="258" spans="1:19" x14ac:dyDescent="0.3">
      <c r="A258" s="195">
        <v>535</v>
      </c>
      <c r="B258" s="177" t="s">
        <v>162</v>
      </c>
      <c r="C258" s="177" t="s">
        <v>163</v>
      </c>
      <c r="D258" s="201" t="s">
        <v>652</v>
      </c>
      <c r="E258" s="88" t="s">
        <v>653</v>
      </c>
      <c r="F258" s="88">
        <v>0</v>
      </c>
      <c r="G258" s="88">
        <v>0</v>
      </c>
      <c r="H258" s="88">
        <v>0</v>
      </c>
      <c r="I258" s="88">
        <v>0</v>
      </c>
      <c r="J258" s="88">
        <v>0</v>
      </c>
      <c r="K258" s="88">
        <v>0</v>
      </c>
      <c r="L258" s="88">
        <v>0</v>
      </c>
      <c r="M258" s="88">
        <v>0</v>
      </c>
      <c r="N258" s="88">
        <v>0</v>
      </c>
      <c r="O258" s="88">
        <v>0</v>
      </c>
      <c r="P258" s="88">
        <v>0</v>
      </c>
      <c r="Q258" s="88">
        <v>0</v>
      </c>
      <c r="R258" s="88">
        <v>0</v>
      </c>
      <c r="S258" s="88">
        <f t="shared" si="3"/>
        <v>0</v>
      </c>
    </row>
    <row r="259" spans="1:19" x14ac:dyDescent="0.3">
      <c r="A259" s="195">
        <v>536</v>
      </c>
      <c r="B259" s="177" t="s">
        <v>162</v>
      </c>
      <c r="C259" s="177" t="s">
        <v>163</v>
      </c>
      <c r="D259" s="201" t="s">
        <v>654</v>
      </c>
      <c r="E259" s="88" t="s">
        <v>655</v>
      </c>
      <c r="F259" s="88">
        <v>0</v>
      </c>
      <c r="G259" s="88">
        <v>0</v>
      </c>
      <c r="H259" s="88">
        <v>0</v>
      </c>
      <c r="I259" s="88">
        <v>0</v>
      </c>
      <c r="J259" s="88">
        <v>0</v>
      </c>
      <c r="K259" s="88">
        <v>0</v>
      </c>
      <c r="L259" s="88">
        <v>0</v>
      </c>
      <c r="M259" s="88">
        <v>0</v>
      </c>
      <c r="N259" s="88">
        <v>0</v>
      </c>
      <c r="O259" s="88">
        <v>0</v>
      </c>
      <c r="P259" s="88">
        <v>0</v>
      </c>
      <c r="Q259" s="88">
        <v>0</v>
      </c>
      <c r="R259" s="88">
        <v>0</v>
      </c>
      <c r="S259" s="88">
        <f t="shared" si="3"/>
        <v>0</v>
      </c>
    </row>
    <row r="260" spans="1:19" x14ac:dyDescent="0.3">
      <c r="A260" s="195">
        <v>537</v>
      </c>
      <c r="B260" s="177" t="s">
        <v>162</v>
      </c>
      <c r="C260" s="177" t="s">
        <v>163</v>
      </c>
      <c r="D260" s="201" t="s">
        <v>656</v>
      </c>
      <c r="E260" s="88" t="s">
        <v>657</v>
      </c>
      <c r="F260" s="88">
        <v>0</v>
      </c>
      <c r="G260" s="88">
        <v>0</v>
      </c>
      <c r="H260" s="88">
        <v>0</v>
      </c>
      <c r="I260" s="88">
        <v>0</v>
      </c>
      <c r="J260" s="88">
        <v>0</v>
      </c>
      <c r="K260" s="88">
        <v>0</v>
      </c>
      <c r="L260" s="88">
        <v>0</v>
      </c>
      <c r="M260" s="88">
        <v>0</v>
      </c>
      <c r="N260" s="88">
        <v>0</v>
      </c>
      <c r="O260" s="88">
        <v>0</v>
      </c>
      <c r="P260" s="88">
        <v>0</v>
      </c>
      <c r="Q260" s="88">
        <v>0</v>
      </c>
      <c r="R260" s="88">
        <v>0</v>
      </c>
      <c r="S260" s="88">
        <f t="shared" si="3"/>
        <v>0</v>
      </c>
    </row>
    <row r="261" spans="1:19" x14ac:dyDescent="0.3">
      <c r="A261" s="195">
        <v>538</v>
      </c>
      <c r="B261" s="177" t="s">
        <v>162</v>
      </c>
      <c r="C261" s="177" t="s">
        <v>163</v>
      </c>
      <c r="D261" s="201" t="s">
        <v>658</v>
      </c>
      <c r="E261" s="88" t="s">
        <v>659</v>
      </c>
      <c r="F261" s="88">
        <v>0</v>
      </c>
      <c r="G261" s="88">
        <v>0</v>
      </c>
      <c r="H261" s="88">
        <v>0</v>
      </c>
      <c r="I261" s="88">
        <v>0</v>
      </c>
      <c r="J261" s="88">
        <v>0</v>
      </c>
      <c r="K261" s="88">
        <v>0</v>
      </c>
      <c r="L261" s="88">
        <v>0</v>
      </c>
      <c r="M261" s="88">
        <v>0</v>
      </c>
      <c r="N261" s="88">
        <v>0</v>
      </c>
      <c r="O261" s="88">
        <v>0</v>
      </c>
      <c r="P261" s="88">
        <v>0</v>
      </c>
      <c r="Q261" s="88">
        <v>0</v>
      </c>
      <c r="R261" s="88">
        <v>0</v>
      </c>
      <c r="S261" s="88">
        <f t="shared" si="3"/>
        <v>0</v>
      </c>
    </row>
    <row r="262" spans="1:19" x14ac:dyDescent="0.3">
      <c r="A262" s="195">
        <v>539</v>
      </c>
      <c r="B262" s="177" t="s">
        <v>162</v>
      </c>
      <c r="C262" s="177" t="s">
        <v>163</v>
      </c>
      <c r="D262" s="201" t="s">
        <v>660</v>
      </c>
      <c r="E262" s="88" t="s">
        <v>661</v>
      </c>
      <c r="F262" s="88">
        <v>0</v>
      </c>
      <c r="G262" s="88">
        <v>0</v>
      </c>
      <c r="H262" s="88">
        <v>0</v>
      </c>
      <c r="I262" s="88">
        <v>0</v>
      </c>
      <c r="J262" s="88">
        <v>0</v>
      </c>
      <c r="K262" s="88">
        <v>0</v>
      </c>
      <c r="L262" s="88">
        <v>0</v>
      </c>
      <c r="M262" s="88">
        <v>0</v>
      </c>
      <c r="N262" s="88">
        <v>0</v>
      </c>
      <c r="O262" s="88">
        <v>0</v>
      </c>
      <c r="P262" s="88">
        <v>0</v>
      </c>
      <c r="Q262" s="88">
        <v>0</v>
      </c>
      <c r="R262" s="88">
        <v>0</v>
      </c>
      <c r="S262" s="88">
        <f t="shared" si="3"/>
        <v>0</v>
      </c>
    </row>
    <row r="263" spans="1:19" x14ac:dyDescent="0.3">
      <c r="A263" s="195">
        <v>540</v>
      </c>
      <c r="B263" s="177" t="s">
        <v>162</v>
      </c>
      <c r="C263" s="177" t="s">
        <v>163</v>
      </c>
      <c r="D263" s="201" t="s">
        <v>662</v>
      </c>
      <c r="E263" s="88" t="s">
        <v>663</v>
      </c>
      <c r="F263" s="88">
        <v>0</v>
      </c>
      <c r="G263" s="88">
        <v>0</v>
      </c>
      <c r="H263" s="88">
        <v>0</v>
      </c>
      <c r="I263" s="88">
        <v>0</v>
      </c>
      <c r="J263" s="88">
        <v>0</v>
      </c>
      <c r="K263" s="88">
        <v>0</v>
      </c>
      <c r="L263" s="88">
        <v>0</v>
      </c>
      <c r="M263" s="88">
        <v>0</v>
      </c>
      <c r="N263" s="88">
        <v>0</v>
      </c>
      <c r="O263" s="88">
        <v>0</v>
      </c>
      <c r="P263" s="88">
        <v>0</v>
      </c>
      <c r="Q263" s="88">
        <v>0</v>
      </c>
      <c r="R263" s="88">
        <v>0</v>
      </c>
      <c r="S263" s="88">
        <f t="shared" si="3"/>
        <v>0</v>
      </c>
    </row>
    <row r="264" spans="1:19" x14ac:dyDescent="0.3">
      <c r="A264" s="195">
        <v>541</v>
      </c>
      <c r="B264" s="177" t="s">
        <v>162</v>
      </c>
      <c r="C264" s="177" t="s">
        <v>163</v>
      </c>
      <c r="D264" s="201" t="s">
        <v>664</v>
      </c>
      <c r="E264" s="88" t="s">
        <v>665</v>
      </c>
      <c r="F264" s="88">
        <v>0</v>
      </c>
      <c r="G264" s="88">
        <v>0</v>
      </c>
      <c r="H264" s="88">
        <v>0</v>
      </c>
      <c r="I264" s="88">
        <v>0</v>
      </c>
      <c r="J264" s="88">
        <v>0</v>
      </c>
      <c r="K264" s="88">
        <v>0</v>
      </c>
      <c r="L264" s="88">
        <v>0</v>
      </c>
      <c r="M264" s="88">
        <v>0</v>
      </c>
      <c r="N264" s="88">
        <v>0</v>
      </c>
      <c r="O264" s="88">
        <v>0</v>
      </c>
      <c r="P264" s="88">
        <v>0</v>
      </c>
      <c r="Q264" s="88">
        <v>0</v>
      </c>
      <c r="R264" s="88">
        <v>0</v>
      </c>
      <c r="S264" s="88">
        <f t="shared" si="3"/>
        <v>0</v>
      </c>
    </row>
    <row r="265" spans="1:19" x14ac:dyDescent="0.3">
      <c r="A265" s="195">
        <v>542</v>
      </c>
      <c r="B265" s="177" t="s">
        <v>162</v>
      </c>
      <c r="C265" s="177" t="s">
        <v>163</v>
      </c>
      <c r="D265" s="201" t="s">
        <v>666</v>
      </c>
      <c r="E265" s="88" t="s">
        <v>667</v>
      </c>
      <c r="F265" s="88">
        <v>0</v>
      </c>
      <c r="G265" s="88">
        <v>0</v>
      </c>
      <c r="H265" s="88">
        <v>0</v>
      </c>
      <c r="I265" s="88">
        <v>0</v>
      </c>
      <c r="J265" s="88">
        <v>0</v>
      </c>
      <c r="K265" s="88">
        <v>0</v>
      </c>
      <c r="L265" s="88">
        <v>0</v>
      </c>
      <c r="M265" s="88">
        <v>0</v>
      </c>
      <c r="N265" s="88">
        <v>0</v>
      </c>
      <c r="O265" s="88">
        <v>0</v>
      </c>
      <c r="P265" s="88">
        <v>0</v>
      </c>
      <c r="Q265" s="88">
        <v>0</v>
      </c>
      <c r="R265" s="88">
        <v>0</v>
      </c>
      <c r="S265" s="88">
        <f t="shared" si="3"/>
        <v>0</v>
      </c>
    </row>
    <row r="266" spans="1:19" x14ac:dyDescent="0.3">
      <c r="A266" s="195">
        <v>543</v>
      </c>
      <c r="B266" s="177" t="s">
        <v>162</v>
      </c>
      <c r="C266" s="177" t="s">
        <v>163</v>
      </c>
      <c r="D266" s="201" t="s">
        <v>668</v>
      </c>
      <c r="E266" s="88" t="s">
        <v>669</v>
      </c>
      <c r="F266" s="88">
        <v>0</v>
      </c>
      <c r="G266" s="88">
        <v>0</v>
      </c>
      <c r="H266" s="88">
        <v>0</v>
      </c>
      <c r="I266" s="88">
        <v>0</v>
      </c>
      <c r="J266" s="88">
        <v>0</v>
      </c>
      <c r="K266" s="88">
        <v>0</v>
      </c>
      <c r="L266" s="88">
        <v>0</v>
      </c>
      <c r="M266" s="88">
        <v>0</v>
      </c>
      <c r="N266" s="88">
        <v>0</v>
      </c>
      <c r="O266" s="88">
        <v>0</v>
      </c>
      <c r="P266" s="88">
        <v>0</v>
      </c>
      <c r="Q266" s="88">
        <v>0</v>
      </c>
      <c r="R266" s="88">
        <v>0</v>
      </c>
      <c r="S266" s="88">
        <f t="shared" si="3"/>
        <v>0</v>
      </c>
    </row>
    <row r="267" spans="1:19" x14ac:dyDescent="0.3">
      <c r="A267" s="195">
        <v>544</v>
      </c>
      <c r="B267" s="177" t="s">
        <v>162</v>
      </c>
      <c r="C267" s="177" t="s">
        <v>163</v>
      </c>
      <c r="D267" s="201" t="s">
        <v>670</v>
      </c>
      <c r="E267" s="88" t="s">
        <v>671</v>
      </c>
      <c r="F267" s="88">
        <v>0</v>
      </c>
      <c r="G267" s="88">
        <v>0</v>
      </c>
      <c r="H267" s="88">
        <v>0</v>
      </c>
      <c r="I267" s="88">
        <v>0</v>
      </c>
      <c r="J267" s="88">
        <v>0</v>
      </c>
      <c r="K267" s="88">
        <v>0</v>
      </c>
      <c r="L267" s="88">
        <v>0</v>
      </c>
      <c r="M267" s="88">
        <v>0</v>
      </c>
      <c r="N267" s="88">
        <v>0</v>
      </c>
      <c r="O267" s="88">
        <v>0</v>
      </c>
      <c r="P267" s="88">
        <v>0</v>
      </c>
      <c r="Q267" s="88">
        <v>0</v>
      </c>
      <c r="R267" s="88">
        <v>0</v>
      </c>
      <c r="S267" s="88">
        <f t="shared" si="3"/>
        <v>0</v>
      </c>
    </row>
    <row r="268" spans="1:19" x14ac:dyDescent="0.3">
      <c r="A268" s="195">
        <v>545</v>
      </c>
      <c r="B268" s="177" t="s">
        <v>162</v>
      </c>
      <c r="C268" s="177" t="s">
        <v>163</v>
      </c>
      <c r="D268" s="201" t="s">
        <v>672</v>
      </c>
      <c r="E268" s="88" t="s">
        <v>673</v>
      </c>
      <c r="F268" s="88">
        <v>0</v>
      </c>
      <c r="G268" s="88">
        <v>0</v>
      </c>
      <c r="H268" s="88">
        <v>0</v>
      </c>
      <c r="I268" s="88">
        <v>0</v>
      </c>
      <c r="J268" s="88">
        <v>0</v>
      </c>
      <c r="K268" s="88">
        <v>0</v>
      </c>
      <c r="L268" s="88">
        <v>0</v>
      </c>
      <c r="M268" s="88">
        <v>0</v>
      </c>
      <c r="N268" s="88">
        <v>0</v>
      </c>
      <c r="O268" s="88">
        <v>0</v>
      </c>
      <c r="P268" s="88">
        <v>0</v>
      </c>
      <c r="Q268" s="88">
        <v>0</v>
      </c>
      <c r="R268" s="88">
        <v>0</v>
      </c>
      <c r="S268" s="88">
        <f t="shared" si="3"/>
        <v>0</v>
      </c>
    </row>
    <row r="269" spans="1:19" x14ac:dyDescent="0.3">
      <c r="A269" s="195">
        <v>546</v>
      </c>
      <c r="B269" s="177" t="s">
        <v>162</v>
      </c>
      <c r="C269" s="177" t="s">
        <v>163</v>
      </c>
      <c r="D269" s="201" t="s">
        <v>674</v>
      </c>
      <c r="E269" s="88" t="s">
        <v>675</v>
      </c>
      <c r="F269" s="88">
        <v>0</v>
      </c>
      <c r="G269" s="88">
        <v>0</v>
      </c>
      <c r="H269" s="88">
        <v>0</v>
      </c>
      <c r="I269" s="88">
        <v>0</v>
      </c>
      <c r="J269" s="88">
        <v>0</v>
      </c>
      <c r="K269" s="88">
        <v>0</v>
      </c>
      <c r="L269" s="88">
        <v>0</v>
      </c>
      <c r="M269" s="88">
        <v>0</v>
      </c>
      <c r="N269" s="88">
        <v>0</v>
      </c>
      <c r="O269" s="88">
        <v>0</v>
      </c>
      <c r="P269" s="88">
        <v>0</v>
      </c>
      <c r="Q269" s="88">
        <v>0</v>
      </c>
      <c r="R269" s="88">
        <v>0</v>
      </c>
      <c r="S269" s="88">
        <f t="shared" si="3"/>
        <v>0</v>
      </c>
    </row>
    <row r="270" spans="1:19" x14ac:dyDescent="0.3">
      <c r="A270" s="195">
        <v>547</v>
      </c>
      <c r="B270" s="177" t="s">
        <v>162</v>
      </c>
      <c r="C270" s="177" t="s">
        <v>163</v>
      </c>
      <c r="D270" s="201" t="s">
        <v>676</v>
      </c>
      <c r="E270" s="88" t="s">
        <v>677</v>
      </c>
      <c r="F270" s="88">
        <v>0</v>
      </c>
      <c r="G270" s="88">
        <v>49401217</v>
      </c>
      <c r="H270" s="88">
        <v>43252487</v>
      </c>
      <c r="I270" s="88">
        <v>44350282</v>
      </c>
      <c r="J270" s="88">
        <v>43576972.571428597</v>
      </c>
      <c r="K270" s="88">
        <v>51672260.571428597</v>
      </c>
      <c r="L270" s="88">
        <v>58031891.571428597</v>
      </c>
      <c r="M270" s="88">
        <v>62291296.857142903</v>
      </c>
      <c r="N270" s="88">
        <v>62863417.857142903</v>
      </c>
      <c r="O270" s="88">
        <v>57636939.857142903</v>
      </c>
      <c r="P270" s="88">
        <v>54284835.142857097</v>
      </c>
      <c r="Q270" s="88">
        <v>44731326.142857097</v>
      </c>
      <c r="R270" s="88">
        <v>47233879.571428597</v>
      </c>
      <c r="S270" s="88">
        <f t="shared" si="3"/>
        <v>619326806.14285731</v>
      </c>
    </row>
    <row r="271" spans="1:19" x14ac:dyDescent="0.3">
      <c r="A271" s="195">
        <v>548</v>
      </c>
      <c r="B271" s="177" t="s">
        <v>162</v>
      </c>
      <c r="C271" s="177" t="s">
        <v>163</v>
      </c>
      <c r="D271" s="201" t="s">
        <v>678</v>
      </c>
      <c r="E271" s="88" t="s">
        <v>679</v>
      </c>
      <c r="F271" s="88">
        <v>0</v>
      </c>
      <c r="G271" s="88">
        <v>2513187.8034930001</v>
      </c>
      <c r="H271" s="88">
        <v>2247193.0010686</v>
      </c>
      <c r="I271" s="88">
        <v>2336123.2109600999</v>
      </c>
      <c r="J271" s="88">
        <v>2453145.9762951001</v>
      </c>
      <c r="K271" s="88">
        <v>2362786.3636015002</v>
      </c>
      <c r="L271" s="88">
        <v>2222188.6803378002</v>
      </c>
      <c r="M271" s="88">
        <v>2488918.0960861002</v>
      </c>
      <c r="N271" s="88">
        <v>2293041.0304924999</v>
      </c>
      <c r="O271" s="88">
        <v>2245956.5455077002</v>
      </c>
      <c r="P271" s="88">
        <v>2497770.6072771</v>
      </c>
      <c r="Q271" s="88">
        <v>2336851.3058174001</v>
      </c>
      <c r="R271" s="88">
        <v>2386257.5984383998</v>
      </c>
      <c r="S271" s="88">
        <f t="shared" ref="S271:S334" si="4">SUM(F271:R271)</f>
        <v>28383420.219375297</v>
      </c>
    </row>
    <row r="272" spans="1:19" x14ac:dyDescent="0.3">
      <c r="A272" s="195">
        <v>548</v>
      </c>
      <c r="B272" s="177" t="s">
        <v>162</v>
      </c>
      <c r="C272" s="177" t="s">
        <v>163</v>
      </c>
      <c r="D272" s="201" t="s">
        <v>680</v>
      </c>
      <c r="E272" s="88" t="s">
        <v>681</v>
      </c>
      <c r="F272" s="88">
        <v>0</v>
      </c>
      <c r="G272" s="88">
        <v>0</v>
      </c>
      <c r="H272" s="88">
        <v>0</v>
      </c>
      <c r="I272" s="88">
        <v>0</v>
      </c>
      <c r="J272" s="88">
        <v>0</v>
      </c>
      <c r="K272" s="88">
        <v>0</v>
      </c>
      <c r="L272" s="88">
        <v>0</v>
      </c>
      <c r="M272" s="88">
        <v>0</v>
      </c>
      <c r="N272" s="88">
        <v>0</v>
      </c>
      <c r="O272" s="88">
        <v>0</v>
      </c>
      <c r="P272" s="88">
        <v>0</v>
      </c>
      <c r="Q272" s="88">
        <v>0</v>
      </c>
      <c r="R272" s="88">
        <v>0</v>
      </c>
      <c r="S272" s="88">
        <f t="shared" si="4"/>
        <v>0</v>
      </c>
    </row>
    <row r="273" spans="1:19" x14ac:dyDescent="0.3">
      <c r="A273" s="195">
        <v>549</v>
      </c>
      <c r="B273" s="177" t="s">
        <v>162</v>
      </c>
      <c r="C273" s="177" t="s">
        <v>163</v>
      </c>
      <c r="D273" s="201" t="s">
        <v>682</v>
      </c>
      <c r="E273" s="88" t="s">
        <v>683</v>
      </c>
      <c r="F273" s="88">
        <v>0</v>
      </c>
      <c r="G273" s="88">
        <v>673201.69359240006</v>
      </c>
      <c r="H273" s="88">
        <v>696851.41144000005</v>
      </c>
      <c r="I273" s="88">
        <v>706937.1948234</v>
      </c>
      <c r="J273" s="88">
        <v>651937.07011570001</v>
      </c>
      <c r="K273" s="88">
        <v>789495.15441960003</v>
      </c>
      <c r="L273" s="88">
        <v>670765.64862959995</v>
      </c>
      <c r="M273" s="88">
        <v>1090119.9747500999</v>
      </c>
      <c r="N273" s="88">
        <v>650052.84791330004</v>
      </c>
      <c r="O273" s="88">
        <v>752241.45473300002</v>
      </c>
      <c r="P273" s="88">
        <v>793804.93909500004</v>
      </c>
      <c r="Q273" s="88">
        <v>831874.29099290003</v>
      </c>
      <c r="R273" s="88">
        <v>845740.13228350005</v>
      </c>
      <c r="S273" s="88">
        <f t="shared" si="4"/>
        <v>9153021.8127884995</v>
      </c>
    </row>
    <row r="274" spans="1:19" x14ac:dyDescent="0.3">
      <c r="A274" s="195">
        <v>550</v>
      </c>
      <c r="B274" s="177" t="s">
        <v>162</v>
      </c>
      <c r="C274" s="177" t="s">
        <v>163</v>
      </c>
      <c r="D274" s="201" t="s">
        <v>684</v>
      </c>
      <c r="E274" s="88" t="s">
        <v>685</v>
      </c>
      <c r="F274" s="88">
        <v>0</v>
      </c>
      <c r="G274" s="88">
        <v>0</v>
      </c>
      <c r="H274" s="88">
        <v>0</v>
      </c>
      <c r="I274" s="88">
        <v>0</v>
      </c>
      <c r="J274" s="88">
        <v>0</v>
      </c>
      <c r="K274" s="88">
        <v>0</v>
      </c>
      <c r="L274" s="88">
        <v>0</v>
      </c>
      <c r="M274" s="88">
        <v>0</v>
      </c>
      <c r="N274" s="88">
        <v>0</v>
      </c>
      <c r="O274" s="88">
        <v>0</v>
      </c>
      <c r="P274" s="88">
        <v>0</v>
      </c>
      <c r="Q274" s="88">
        <v>0</v>
      </c>
      <c r="R274" s="88">
        <v>0</v>
      </c>
      <c r="S274" s="88">
        <f t="shared" si="4"/>
        <v>0</v>
      </c>
    </row>
    <row r="275" spans="1:19" x14ac:dyDescent="0.3">
      <c r="A275" s="195">
        <v>551</v>
      </c>
      <c r="B275" s="177" t="s">
        <v>162</v>
      </c>
      <c r="C275" s="177" t="s">
        <v>163</v>
      </c>
      <c r="D275" s="201" t="s">
        <v>686</v>
      </c>
      <c r="E275" s="88" t="s">
        <v>687</v>
      </c>
      <c r="F275" s="88">
        <v>0</v>
      </c>
      <c r="G275" s="88">
        <v>0</v>
      </c>
      <c r="H275" s="88">
        <v>0</v>
      </c>
      <c r="I275" s="88">
        <v>0</v>
      </c>
      <c r="J275" s="88">
        <v>0</v>
      </c>
      <c r="K275" s="88">
        <v>0</v>
      </c>
      <c r="L275" s="88">
        <v>0</v>
      </c>
      <c r="M275" s="88">
        <v>0</v>
      </c>
      <c r="N275" s="88">
        <v>0</v>
      </c>
      <c r="O275" s="88">
        <v>0</v>
      </c>
      <c r="P275" s="88">
        <v>0</v>
      </c>
      <c r="Q275" s="88">
        <v>0</v>
      </c>
      <c r="R275" s="88">
        <v>0</v>
      </c>
      <c r="S275" s="88">
        <f t="shared" si="4"/>
        <v>0</v>
      </c>
    </row>
    <row r="276" spans="1:19" x14ac:dyDescent="0.3">
      <c r="A276" s="195">
        <v>552</v>
      </c>
      <c r="B276" s="177" t="s">
        <v>162</v>
      </c>
      <c r="C276" s="177" t="s">
        <v>163</v>
      </c>
      <c r="D276" s="201" t="s">
        <v>688</v>
      </c>
      <c r="E276" s="88" t="s">
        <v>689</v>
      </c>
      <c r="F276" s="88">
        <v>0</v>
      </c>
      <c r="G276" s="88">
        <v>123965.212736</v>
      </c>
      <c r="H276" s="88">
        <v>113185.6351594</v>
      </c>
      <c r="I276" s="88">
        <v>115048.3382878</v>
      </c>
      <c r="J276" s="88">
        <v>125084.91864620001</v>
      </c>
      <c r="K276" s="88">
        <v>128730.49006690001</v>
      </c>
      <c r="L276" s="88">
        <v>114568.5561032</v>
      </c>
      <c r="M276" s="88">
        <v>135445.54929960001</v>
      </c>
      <c r="N276" s="88">
        <v>129556.61572669999</v>
      </c>
      <c r="O276" s="88">
        <v>123667.6821541</v>
      </c>
      <c r="P276" s="88">
        <v>139159.33635659999</v>
      </c>
      <c r="Q276" s="88">
        <v>127058.53139020001</v>
      </c>
      <c r="R276" s="88">
        <v>133108.9338724</v>
      </c>
      <c r="S276" s="88">
        <f t="shared" si="4"/>
        <v>1508579.7997991</v>
      </c>
    </row>
    <row r="277" spans="1:19" x14ac:dyDescent="0.3">
      <c r="A277" s="195">
        <v>553</v>
      </c>
      <c r="B277" s="177" t="s">
        <v>162</v>
      </c>
      <c r="C277" s="177" t="s">
        <v>163</v>
      </c>
      <c r="D277" s="201" t="s">
        <v>690</v>
      </c>
      <c r="E277" s="88" t="s">
        <v>691</v>
      </c>
      <c r="F277" s="88">
        <v>0</v>
      </c>
      <c r="G277" s="88">
        <v>1595060.7795162001</v>
      </c>
      <c r="H277" s="88">
        <v>5332670.5313048996</v>
      </c>
      <c r="I277" s="88">
        <v>6282877.1630579</v>
      </c>
      <c r="J277" s="88">
        <v>1738473.7460392001</v>
      </c>
      <c r="K277" s="88">
        <v>1735029.1746789</v>
      </c>
      <c r="L277" s="88">
        <v>1728143.7323218</v>
      </c>
      <c r="M277" s="88">
        <v>1802794.0922266</v>
      </c>
      <c r="N277" s="88">
        <v>1782117.380987</v>
      </c>
      <c r="O277" s="88">
        <v>2325767.4151009</v>
      </c>
      <c r="P277" s="88">
        <v>2543245.8926982</v>
      </c>
      <c r="Q277" s="88">
        <v>2608926.74645</v>
      </c>
      <c r="R277" s="88">
        <v>1867433.1715480001</v>
      </c>
      <c r="S277" s="88">
        <f t="shared" si="4"/>
        <v>31342539.825929593</v>
      </c>
    </row>
    <row r="278" spans="1:19" x14ac:dyDescent="0.3">
      <c r="A278" s="195">
        <v>553</v>
      </c>
      <c r="B278" s="177" t="s">
        <v>162</v>
      </c>
      <c r="C278" s="177" t="s">
        <v>163</v>
      </c>
      <c r="D278" s="201" t="s">
        <v>692</v>
      </c>
      <c r="E278" s="88" t="s">
        <v>693</v>
      </c>
      <c r="F278" s="88">
        <v>0</v>
      </c>
      <c r="G278" s="88">
        <v>0</v>
      </c>
      <c r="H278" s="88">
        <v>0</v>
      </c>
      <c r="I278" s="88">
        <v>0</v>
      </c>
      <c r="J278" s="88">
        <v>0</v>
      </c>
      <c r="K278" s="88">
        <v>0</v>
      </c>
      <c r="L278" s="88">
        <v>0</v>
      </c>
      <c r="M278" s="88">
        <v>0</v>
      </c>
      <c r="N278" s="88">
        <v>0</v>
      </c>
      <c r="O278" s="88">
        <v>0</v>
      </c>
      <c r="P278" s="88">
        <v>0</v>
      </c>
      <c r="Q278" s="88">
        <v>0</v>
      </c>
      <c r="R278" s="88">
        <v>0</v>
      </c>
      <c r="S278" s="88">
        <f t="shared" si="4"/>
        <v>0</v>
      </c>
    </row>
    <row r="279" spans="1:19" x14ac:dyDescent="0.3">
      <c r="A279" s="195">
        <v>554</v>
      </c>
      <c r="B279" s="177" t="s">
        <v>162</v>
      </c>
      <c r="C279" s="177" t="s">
        <v>163</v>
      </c>
      <c r="D279" s="201" t="s">
        <v>694</v>
      </c>
      <c r="E279" s="88" t="s">
        <v>695</v>
      </c>
      <c r="F279" s="88">
        <v>0</v>
      </c>
      <c r="G279" s="88">
        <v>91093.321662100003</v>
      </c>
      <c r="H279" s="88">
        <v>111770.4274402</v>
      </c>
      <c r="I279" s="88">
        <v>154986.6147223</v>
      </c>
      <c r="J279" s="88">
        <v>91557.165967099994</v>
      </c>
      <c r="K279" s="88">
        <v>91093.321662100003</v>
      </c>
      <c r="L279" s="88">
        <v>90233.9797043</v>
      </c>
      <c r="M279" s="88">
        <v>91093.321662100003</v>
      </c>
      <c r="N279" s="88">
        <v>90806.874550399996</v>
      </c>
      <c r="O279" s="88">
        <v>90520.427440200001</v>
      </c>
      <c r="P279" s="88">
        <v>113127.71721440001</v>
      </c>
      <c r="Q279" s="88">
        <v>154986.6147223</v>
      </c>
      <c r="R279" s="88">
        <v>91557.165967099994</v>
      </c>
      <c r="S279" s="88">
        <f t="shared" si="4"/>
        <v>1262826.9527146001</v>
      </c>
    </row>
    <row r="280" spans="1:19" x14ac:dyDescent="0.3">
      <c r="A280" s="195">
        <v>555</v>
      </c>
      <c r="B280" s="177" t="s">
        <v>162</v>
      </c>
      <c r="C280" s="177" t="s">
        <v>163</v>
      </c>
      <c r="D280" s="201" t="s">
        <v>696</v>
      </c>
      <c r="E280" s="88" t="s">
        <v>697</v>
      </c>
      <c r="F280" s="88">
        <v>0</v>
      </c>
      <c r="G280" s="88">
        <v>3972327.2478429</v>
      </c>
      <c r="H280" s="88">
        <v>4100042.9461522</v>
      </c>
      <c r="I280" s="88">
        <v>1350259.4972095999</v>
      </c>
      <c r="J280" s="88">
        <v>1348156.9236709999</v>
      </c>
      <c r="K280" s="88">
        <v>1634485.1844202001</v>
      </c>
      <c r="L280" s="88">
        <v>686575.92626710003</v>
      </c>
      <c r="M280" s="88">
        <v>1032697.5637826</v>
      </c>
      <c r="N280" s="88">
        <v>137238.86247960001</v>
      </c>
      <c r="O280" s="88">
        <v>2884726.5675364002</v>
      </c>
      <c r="P280" s="88">
        <v>1942781.5899179999</v>
      </c>
      <c r="Q280" s="88">
        <v>1497848.7890695001</v>
      </c>
      <c r="R280" s="88">
        <v>441510.33011169999</v>
      </c>
      <c r="S280" s="88">
        <f t="shared" si="4"/>
        <v>21028651.428460799</v>
      </c>
    </row>
    <row r="281" spans="1:19" x14ac:dyDescent="0.3">
      <c r="A281" s="195">
        <v>556</v>
      </c>
      <c r="B281" s="177" t="s">
        <v>162</v>
      </c>
      <c r="C281" s="177" t="s">
        <v>163</v>
      </c>
      <c r="D281" s="201" t="s">
        <v>698</v>
      </c>
      <c r="E281" s="88" t="s">
        <v>699</v>
      </c>
      <c r="F281" s="88">
        <v>0</v>
      </c>
      <c r="G281" s="88">
        <v>87229.565948200005</v>
      </c>
      <c r="H281" s="88">
        <v>14037.390625</v>
      </c>
      <c r="I281" s="88">
        <v>14037.390625</v>
      </c>
      <c r="J281" s="88">
        <v>17829.978287099999</v>
      </c>
      <c r="K281" s="88">
        <v>21622.565948200001</v>
      </c>
      <c r="L281" s="88">
        <v>16349.7722701</v>
      </c>
      <c r="M281" s="88">
        <v>35526.353485599997</v>
      </c>
      <c r="N281" s="88">
        <v>21911.934100499999</v>
      </c>
      <c r="O281" s="88">
        <v>15419.988600799999</v>
      </c>
      <c r="P281" s="88">
        <v>24513.452465900002</v>
      </c>
      <c r="Q281" s="88">
        <v>15419.988600799999</v>
      </c>
      <c r="R281" s="88">
        <v>32446.013619000001</v>
      </c>
      <c r="S281" s="88">
        <f t="shared" si="4"/>
        <v>316344.39457619993</v>
      </c>
    </row>
    <row r="282" spans="1:19" x14ac:dyDescent="0.3">
      <c r="A282" s="195">
        <v>557</v>
      </c>
      <c r="B282" s="177" t="s">
        <v>162</v>
      </c>
      <c r="C282" s="177" t="s">
        <v>163</v>
      </c>
      <c r="D282" s="201" t="s">
        <v>700</v>
      </c>
      <c r="E282" s="88" t="s">
        <v>701</v>
      </c>
      <c r="F282" s="88">
        <v>0</v>
      </c>
      <c r="G282" s="88">
        <v>0</v>
      </c>
      <c r="H282" s="88">
        <v>0</v>
      </c>
      <c r="I282" s="88">
        <v>0</v>
      </c>
      <c r="J282" s="88">
        <v>0</v>
      </c>
      <c r="K282" s="88">
        <v>0</v>
      </c>
      <c r="L282" s="88">
        <v>0</v>
      </c>
      <c r="M282" s="88">
        <v>0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  <c r="S282" s="88">
        <f t="shared" si="4"/>
        <v>0</v>
      </c>
    </row>
    <row r="283" spans="1:19" x14ac:dyDescent="0.3">
      <c r="A283" s="195">
        <v>560</v>
      </c>
      <c r="B283" s="177" t="s">
        <v>162</v>
      </c>
      <c r="C283" s="177" t="s">
        <v>163</v>
      </c>
      <c r="D283" s="201" t="s">
        <v>702</v>
      </c>
      <c r="E283" s="88" t="s">
        <v>703</v>
      </c>
      <c r="F283" s="88">
        <v>0</v>
      </c>
      <c r="G283" s="88">
        <v>133572.49717049999</v>
      </c>
      <c r="H283" s="88">
        <v>59248.719721900001</v>
      </c>
      <c r="I283" s="88">
        <v>59913.280675900001</v>
      </c>
      <c r="J283" s="88">
        <v>63861.1034</v>
      </c>
      <c r="K283" s="88">
        <v>71527.463007700004</v>
      </c>
      <c r="L283" s="88">
        <v>69768.7007343</v>
      </c>
      <c r="M283" s="88">
        <v>68271.283704000001</v>
      </c>
      <c r="N283" s="88">
        <v>66910.582659799999</v>
      </c>
      <c r="O283" s="88">
        <v>64189.009232999997</v>
      </c>
      <c r="P283" s="88">
        <v>68277.028865100001</v>
      </c>
      <c r="Q283" s="88">
        <v>61598.363873000002</v>
      </c>
      <c r="R283" s="88">
        <v>64057.240669500003</v>
      </c>
      <c r="S283" s="88">
        <f t="shared" si="4"/>
        <v>851195.2737146999</v>
      </c>
    </row>
    <row r="284" spans="1:19" x14ac:dyDescent="0.3">
      <c r="A284" s="195">
        <v>561</v>
      </c>
      <c r="B284" s="177" t="s">
        <v>162</v>
      </c>
      <c r="C284" s="177" t="s">
        <v>163</v>
      </c>
      <c r="D284" s="201" t="s">
        <v>704</v>
      </c>
      <c r="E284" s="88" t="s">
        <v>705</v>
      </c>
      <c r="F284" s="88">
        <v>0</v>
      </c>
      <c r="G284" s="88">
        <v>0</v>
      </c>
      <c r="H284" s="88">
        <v>0</v>
      </c>
      <c r="I284" s="88">
        <v>0</v>
      </c>
      <c r="J284" s="88">
        <v>0</v>
      </c>
      <c r="K284" s="88">
        <v>0</v>
      </c>
      <c r="L284" s="88">
        <v>0</v>
      </c>
      <c r="M284" s="88">
        <v>0</v>
      </c>
      <c r="N284" s="88">
        <v>0</v>
      </c>
      <c r="O284" s="88">
        <v>0</v>
      </c>
      <c r="P284" s="88">
        <v>0</v>
      </c>
      <c r="Q284" s="88">
        <v>0</v>
      </c>
      <c r="R284" s="88">
        <v>0</v>
      </c>
      <c r="S284" s="88">
        <f t="shared" si="4"/>
        <v>0</v>
      </c>
    </row>
    <row r="285" spans="1:19" x14ac:dyDescent="0.3">
      <c r="A285" s="195">
        <v>561</v>
      </c>
      <c r="B285" s="177" t="s">
        <v>162</v>
      </c>
      <c r="C285" s="177" t="s">
        <v>163</v>
      </c>
      <c r="D285" s="201" t="s">
        <v>706</v>
      </c>
      <c r="E285" s="88" t="s">
        <v>707</v>
      </c>
      <c r="F285" s="88">
        <v>0</v>
      </c>
      <c r="G285" s="88">
        <v>0</v>
      </c>
      <c r="H285" s="88">
        <v>0</v>
      </c>
      <c r="I285" s="88">
        <v>0</v>
      </c>
      <c r="J285" s="88">
        <v>0</v>
      </c>
      <c r="K285" s="88">
        <v>0</v>
      </c>
      <c r="L285" s="88">
        <v>0</v>
      </c>
      <c r="M285" s="88">
        <v>0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  <c r="S285" s="88">
        <f t="shared" si="4"/>
        <v>0</v>
      </c>
    </row>
    <row r="286" spans="1:19" x14ac:dyDescent="0.3">
      <c r="A286" s="195">
        <v>561</v>
      </c>
      <c r="B286" s="177" t="s">
        <v>162</v>
      </c>
      <c r="C286" s="177" t="s">
        <v>163</v>
      </c>
      <c r="D286" s="201" t="s">
        <v>708</v>
      </c>
      <c r="E286" s="88" t="s">
        <v>709</v>
      </c>
      <c r="F286" s="88">
        <v>0</v>
      </c>
      <c r="G286" s="88">
        <v>210436.8738419</v>
      </c>
      <c r="H286" s="88">
        <v>136396.71830460001</v>
      </c>
      <c r="I286" s="88">
        <v>136396.71830460001</v>
      </c>
      <c r="J286" s="88">
        <v>142891.79607410001</v>
      </c>
      <c r="K286" s="88">
        <v>149386.8738419</v>
      </c>
      <c r="L286" s="88">
        <v>139059.09273539999</v>
      </c>
      <c r="M286" s="88">
        <v>170242.55514809999</v>
      </c>
      <c r="N286" s="88">
        <v>149014.72979410001</v>
      </c>
      <c r="O286" s="88">
        <v>138470.6152683</v>
      </c>
      <c r="P286" s="88">
        <v>153723.2036185</v>
      </c>
      <c r="Q286" s="88">
        <v>138470.6152683</v>
      </c>
      <c r="R286" s="88">
        <v>164815.84907180001</v>
      </c>
      <c r="S286" s="88">
        <f t="shared" si="4"/>
        <v>1829305.6412715998</v>
      </c>
    </row>
    <row r="287" spans="1:19" x14ac:dyDescent="0.3">
      <c r="A287" s="195">
        <v>561</v>
      </c>
      <c r="B287" s="177" t="s">
        <v>162</v>
      </c>
      <c r="C287" s="177" t="s">
        <v>163</v>
      </c>
      <c r="D287" s="201" t="s">
        <v>710</v>
      </c>
      <c r="E287" s="88" t="s">
        <v>711</v>
      </c>
      <c r="F287" s="88">
        <v>0</v>
      </c>
      <c r="G287" s="88">
        <v>104103.3233837</v>
      </c>
      <c r="H287" s="88">
        <v>79152.365114600005</v>
      </c>
      <c r="I287" s="88">
        <v>79152.365114600005</v>
      </c>
      <c r="J287" s="88">
        <v>83678.593986699998</v>
      </c>
      <c r="K287" s="88">
        <v>88204.822857799998</v>
      </c>
      <c r="L287" s="88">
        <v>79713.607683099995</v>
      </c>
      <c r="M287" s="88">
        <v>99791.312472399994</v>
      </c>
      <c r="N287" s="88">
        <v>87080.223831199997</v>
      </c>
      <c r="O287" s="88">
        <v>80304.530094400005</v>
      </c>
      <c r="P287" s="88">
        <v>90613.894955900003</v>
      </c>
      <c r="Q287" s="88">
        <v>80304.530094400005</v>
      </c>
      <c r="R287" s="88">
        <v>95858.623429900006</v>
      </c>
      <c r="S287" s="88">
        <f t="shared" si="4"/>
        <v>1047958.1930187002</v>
      </c>
    </row>
    <row r="288" spans="1:19" x14ac:dyDescent="0.3">
      <c r="A288" s="195">
        <v>561</v>
      </c>
      <c r="B288" s="177" t="s">
        <v>162</v>
      </c>
      <c r="C288" s="177" t="s">
        <v>163</v>
      </c>
      <c r="D288" s="201" t="s">
        <v>712</v>
      </c>
      <c r="E288" s="88" t="s">
        <v>713</v>
      </c>
      <c r="F288" s="88">
        <v>0</v>
      </c>
      <c r="G288" s="88">
        <v>0</v>
      </c>
      <c r="H288" s="88">
        <v>0</v>
      </c>
      <c r="I288" s="88">
        <v>0</v>
      </c>
      <c r="J288" s="88">
        <v>0</v>
      </c>
      <c r="K288" s="88">
        <v>0</v>
      </c>
      <c r="L288" s="88">
        <v>0</v>
      </c>
      <c r="M288" s="88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  <c r="S288" s="88">
        <f t="shared" si="4"/>
        <v>0</v>
      </c>
    </row>
    <row r="289" spans="1:19" x14ac:dyDescent="0.3">
      <c r="A289" s="195">
        <v>561</v>
      </c>
      <c r="B289" s="177" t="s">
        <v>162</v>
      </c>
      <c r="C289" s="177" t="s">
        <v>163</v>
      </c>
      <c r="D289" s="201" t="s">
        <v>714</v>
      </c>
      <c r="E289" s="88" t="s">
        <v>715</v>
      </c>
      <c r="F289" s="88">
        <v>0</v>
      </c>
      <c r="G289" s="88">
        <v>0</v>
      </c>
      <c r="H289" s="88">
        <v>0</v>
      </c>
      <c r="I289" s="88">
        <v>0</v>
      </c>
      <c r="J289" s="88">
        <v>0</v>
      </c>
      <c r="K289" s="88">
        <v>0</v>
      </c>
      <c r="L289" s="88">
        <v>0</v>
      </c>
      <c r="M289" s="88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0</v>
      </c>
      <c r="S289" s="88">
        <f t="shared" si="4"/>
        <v>0</v>
      </c>
    </row>
    <row r="290" spans="1:19" x14ac:dyDescent="0.3">
      <c r="A290" s="195">
        <v>561</v>
      </c>
      <c r="B290" s="177" t="s">
        <v>162</v>
      </c>
      <c r="C290" s="177" t="s">
        <v>163</v>
      </c>
      <c r="D290" s="201" t="s">
        <v>716</v>
      </c>
      <c r="E290" s="88" t="s">
        <v>717</v>
      </c>
      <c r="F290" s="88">
        <v>0</v>
      </c>
      <c r="G290" s="88">
        <v>0</v>
      </c>
      <c r="H290" s="88">
        <v>0</v>
      </c>
      <c r="I290" s="88">
        <v>0</v>
      </c>
      <c r="J290" s="88">
        <v>0</v>
      </c>
      <c r="K290" s="88">
        <v>0</v>
      </c>
      <c r="L290" s="88">
        <v>0</v>
      </c>
      <c r="M290" s="88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0</v>
      </c>
      <c r="S290" s="88">
        <f t="shared" si="4"/>
        <v>0</v>
      </c>
    </row>
    <row r="291" spans="1:19" x14ac:dyDescent="0.3">
      <c r="A291" s="195">
        <v>561</v>
      </c>
      <c r="B291" s="177" t="s">
        <v>162</v>
      </c>
      <c r="C291" s="177" t="s">
        <v>163</v>
      </c>
      <c r="D291" s="201" t="s">
        <v>718</v>
      </c>
      <c r="E291" s="88" t="s">
        <v>719</v>
      </c>
      <c r="F291" s="88">
        <v>0</v>
      </c>
      <c r="G291" s="88">
        <v>0</v>
      </c>
      <c r="H291" s="88">
        <v>0</v>
      </c>
      <c r="I291" s="88">
        <v>0</v>
      </c>
      <c r="J291" s="88">
        <v>0</v>
      </c>
      <c r="K291" s="88">
        <v>0</v>
      </c>
      <c r="L291" s="88">
        <v>0</v>
      </c>
      <c r="M291" s="88">
        <v>0</v>
      </c>
      <c r="N291" s="88">
        <v>0</v>
      </c>
      <c r="O291" s="88">
        <v>0</v>
      </c>
      <c r="P291" s="88">
        <v>0</v>
      </c>
      <c r="Q291" s="88">
        <v>0</v>
      </c>
      <c r="R291" s="88">
        <v>0</v>
      </c>
      <c r="S291" s="88">
        <f t="shared" si="4"/>
        <v>0</v>
      </c>
    </row>
    <row r="292" spans="1:19" x14ac:dyDescent="0.3">
      <c r="A292" s="195">
        <v>561</v>
      </c>
      <c r="B292" s="177" t="s">
        <v>162</v>
      </c>
      <c r="C292" s="177" t="s">
        <v>163</v>
      </c>
      <c r="D292" s="201" t="s">
        <v>720</v>
      </c>
      <c r="E292" s="88" t="s">
        <v>721</v>
      </c>
      <c r="F292" s="88">
        <v>0</v>
      </c>
      <c r="G292" s="88">
        <v>0</v>
      </c>
      <c r="H292" s="88">
        <v>0</v>
      </c>
      <c r="I292" s="88">
        <v>0</v>
      </c>
      <c r="J292" s="88">
        <v>0</v>
      </c>
      <c r="K292" s="88">
        <v>0</v>
      </c>
      <c r="L292" s="88">
        <v>0</v>
      </c>
      <c r="M292" s="88">
        <v>0</v>
      </c>
      <c r="N292" s="88">
        <v>0</v>
      </c>
      <c r="O292" s="88">
        <v>0</v>
      </c>
      <c r="P292" s="88">
        <v>0</v>
      </c>
      <c r="Q292" s="88">
        <v>0</v>
      </c>
      <c r="R292" s="88">
        <v>0</v>
      </c>
      <c r="S292" s="88">
        <f t="shared" si="4"/>
        <v>0</v>
      </c>
    </row>
    <row r="293" spans="1:19" x14ac:dyDescent="0.3">
      <c r="A293" s="195">
        <v>562</v>
      </c>
      <c r="B293" s="177" t="s">
        <v>162</v>
      </c>
      <c r="C293" s="177" t="s">
        <v>163</v>
      </c>
      <c r="D293" s="201" t="s">
        <v>722</v>
      </c>
      <c r="E293" s="88" t="s">
        <v>723</v>
      </c>
      <c r="F293" s="88">
        <v>0</v>
      </c>
      <c r="G293" s="88">
        <v>179108.46040889999</v>
      </c>
      <c r="H293" s="88">
        <v>168554.54393459999</v>
      </c>
      <c r="I293" s="88">
        <v>168574.871625</v>
      </c>
      <c r="J293" s="88">
        <v>176418.42179359999</v>
      </c>
      <c r="K293" s="88">
        <v>181835.56974850001</v>
      </c>
      <c r="L293" s="88">
        <v>165640.05180630001</v>
      </c>
      <c r="M293" s="88">
        <v>181883.72222620001</v>
      </c>
      <c r="N293" s="88">
        <v>176485.87866340001</v>
      </c>
      <c r="O293" s="88">
        <v>171080.26637259999</v>
      </c>
      <c r="P293" s="88">
        <v>181869.65440649999</v>
      </c>
      <c r="Q293" s="88">
        <v>171016.6335735</v>
      </c>
      <c r="R293" s="88">
        <v>176410.373712</v>
      </c>
      <c r="S293" s="88">
        <f t="shared" si="4"/>
        <v>2098878.4482710999</v>
      </c>
    </row>
    <row r="294" spans="1:19" x14ac:dyDescent="0.3">
      <c r="A294" s="195">
        <v>563</v>
      </c>
      <c r="B294" s="177" t="s">
        <v>162</v>
      </c>
      <c r="C294" s="177" t="s">
        <v>163</v>
      </c>
      <c r="D294" s="201" t="s">
        <v>724</v>
      </c>
      <c r="E294" s="88" t="s">
        <v>725</v>
      </c>
      <c r="F294" s="88">
        <v>0</v>
      </c>
      <c r="G294" s="88">
        <v>28529.584244199999</v>
      </c>
      <c r="H294" s="88">
        <v>28529.584244199999</v>
      </c>
      <c r="I294" s="88">
        <v>28529.584244199999</v>
      </c>
      <c r="J294" s="88">
        <v>28529.584244199999</v>
      </c>
      <c r="K294" s="88">
        <v>28529.584244199999</v>
      </c>
      <c r="L294" s="88">
        <v>149775.7246251</v>
      </c>
      <c r="M294" s="88">
        <v>28529.584244199999</v>
      </c>
      <c r="N294" s="88">
        <v>28529.584244199999</v>
      </c>
      <c r="O294" s="88">
        <v>28529.584244199999</v>
      </c>
      <c r="P294" s="88">
        <v>28529.584244199999</v>
      </c>
      <c r="Q294" s="88">
        <v>28529.584244199999</v>
      </c>
      <c r="R294" s="88">
        <v>28529.584244199999</v>
      </c>
      <c r="S294" s="88">
        <f t="shared" si="4"/>
        <v>463601.15131130011</v>
      </c>
    </row>
    <row r="295" spans="1:19" x14ac:dyDescent="0.3">
      <c r="A295" s="195">
        <v>564</v>
      </c>
      <c r="B295" s="177" t="s">
        <v>162</v>
      </c>
      <c r="C295" s="177" t="s">
        <v>163</v>
      </c>
      <c r="D295" s="201" t="s">
        <v>726</v>
      </c>
      <c r="E295" s="88" t="s">
        <v>727</v>
      </c>
      <c r="F295" s="88">
        <v>0</v>
      </c>
      <c r="G295" s="88">
        <v>0</v>
      </c>
      <c r="H295" s="88">
        <v>0</v>
      </c>
      <c r="I295" s="88">
        <v>0</v>
      </c>
      <c r="J295" s="88">
        <v>0</v>
      </c>
      <c r="K295" s="88">
        <v>0</v>
      </c>
      <c r="L295" s="88">
        <v>0</v>
      </c>
      <c r="M295" s="88">
        <v>0</v>
      </c>
      <c r="N295" s="88">
        <v>0</v>
      </c>
      <c r="O295" s="88">
        <v>0</v>
      </c>
      <c r="P295" s="88">
        <v>0</v>
      </c>
      <c r="Q295" s="88">
        <v>0</v>
      </c>
      <c r="R295" s="88">
        <v>0</v>
      </c>
      <c r="S295" s="88">
        <f t="shared" si="4"/>
        <v>0</v>
      </c>
    </row>
    <row r="296" spans="1:19" x14ac:dyDescent="0.3">
      <c r="A296" s="195">
        <v>565</v>
      </c>
      <c r="B296" s="177" t="s">
        <v>162</v>
      </c>
      <c r="C296" s="177" t="s">
        <v>163</v>
      </c>
      <c r="D296" s="201" t="s">
        <v>728</v>
      </c>
      <c r="E296" s="88" t="s">
        <v>729</v>
      </c>
      <c r="F296" s="88">
        <v>0</v>
      </c>
      <c r="G296" s="88">
        <v>0</v>
      </c>
      <c r="H296" s="88">
        <v>0</v>
      </c>
      <c r="I296" s="88">
        <v>0</v>
      </c>
      <c r="J296" s="88">
        <v>0</v>
      </c>
      <c r="K296" s="88">
        <v>0</v>
      </c>
      <c r="L296" s="88">
        <v>0</v>
      </c>
      <c r="M296" s="88">
        <v>0</v>
      </c>
      <c r="N296" s="88">
        <v>0</v>
      </c>
      <c r="O296" s="88">
        <v>0</v>
      </c>
      <c r="P296" s="88">
        <v>0</v>
      </c>
      <c r="Q296" s="88">
        <v>0</v>
      </c>
      <c r="R296" s="88">
        <v>0</v>
      </c>
      <c r="S296" s="88">
        <f t="shared" si="4"/>
        <v>0</v>
      </c>
    </row>
    <row r="297" spans="1:19" x14ac:dyDescent="0.3">
      <c r="A297" s="195">
        <v>566</v>
      </c>
      <c r="B297" s="177" t="s">
        <v>162</v>
      </c>
      <c r="C297" s="177" t="s">
        <v>163</v>
      </c>
      <c r="D297" s="201" t="s">
        <v>730</v>
      </c>
      <c r="E297" s="88" t="s">
        <v>731</v>
      </c>
      <c r="F297" s="88">
        <v>0</v>
      </c>
      <c r="G297" s="88">
        <v>155379.72349130001</v>
      </c>
      <c r="H297" s="88">
        <v>146440.77567490001</v>
      </c>
      <c r="I297" s="88">
        <v>182889.00560909999</v>
      </c>
      <c r="J297" s="88">
        <v>160846.61086650001</v>
      </c>
      <c r="K297" s="88">
        <v>157032.26881499999</v>
      </c>
      <c r="L297" s="88">
        <v>154045.8861761</v>
      </c>
      <c r="M297" s="88">
        <v>162934.7269525</v>
      </c>
      <c r="N297" s="88">
        <v>161532.43838050001</v>
      </c>
      <c r="O297" s="88">
        <v>149792.6178337</v>
      </c>
      <c r="P297" s="88">
        <v>163971.64861110001</v>
      </c>
      <c r="Q297" s="88">
        <v>151778.41017660001</v>
      </c>
      <c r="R297" s="88">
        <v>164317.3783943</v>
      </c>
      <c r="S297" s="88">
        <f t="shared" si="4"/>
        <v>1910961.4909816002</v>
      </c>
    </row>
    <row r="298" spans="1:19" x14ac:dyDescent="0.3">
      <c r="A298" s="195">
        <v>567</v>
      </c>
      <c r="B298" s="177" t="s">
        <v>162</v>
      </c>
      <c r="C298" s="177" t="s">
        <v>163</v>
      </c>
      <c r="D298" s="201" t="s">
        <v>732</v>
      </c>
      <c r="E298" s="88" t="s">
        <v>733</v>
      </c>
      <c r="F298" s="88">
        <v>0</v>
      </c>
      <c r="G298" s="88">
        <v>0</v>
      </c>
      <c r="H298" s="88">
        <v>0</v>
      </c>
      <c r="I298" s="88">
        <v>0</v>
      </c>
      <c r="J298" s="88">
        <v>0</v>
      </c>
      <c r="K298" s="88">
        <v>0</v>
      </c>
      <c r="L298" s="88">
        <v>0</v>
      </c>
      <c r="M298" s="88">
        <v>0</v>
      </c>
      <c r="N298" s="88">
        <v>0</v>
      </c>
      <c r="O298" s="88">
        <v>0</v>
      </c>
      <c r="P298" s="88">
        <v>0</v>
      </c>
      <c r="Q298" s="88">
        <v>0</v>
      </c>
      <c r="R298" s="88">
        <v>0</v>
      </c>
      <c r="S298" s="88">
        <f t="shared" si="4"/>
        <v>0</v>
      </c>
    </row>
    <row r="299" spans="1:19" x14ac:dyDescent="0.3">
      <c r="A299" s="195">
        <v>568</v>
      </c>
      <c r="B299" s="177" t="s">
        <v>162</v>
      </c>
      <c r="C299" s="177" t="s">
        <v>163</v>
      </c>
      <c r="D299" s="201" t="s">
        <v>734</v>
      </c>
      <c r="E299" s="88" t="s">
        <v>735</v>
      </c>
      <c r="F299" s="88">
        <v>0</v>
      </c>
      <c r="G299" s="88">
        <v>0</v>
      </c>
      <c r="H299" s="88">
        <v>0</v>
      </c>
      <c r="I299" s="88">
        <v>0</v>
      </c>
      <c r="J299" s="88">
        <v>0</v>
      </c>
      <c r="K299" s="88">
        <v>0</v>
      </c>
      <c r="L299" s="88">
        <v>0</v>
      </c>
      <c r="M299" s="88">
        <v>0</v>
      </c>
      <c r="N299" s="88">
        <v>0</v>
      </c>
      <c r="O299" s="88">
        <v>0</v>
      </c>
      <c r="P299" s="88">
        <v>0</v>
      </c>
      <c r="Q299" s="88">
        <v>0</v>
      </c>
      <c r="R299" s="88">
        <v>0</v>
      </c>
      <c r="S299" s="88">
        <f t="shared" si="4"/>
        <v>0</v>
      </c>
    </row>
    <row r="300" spans="1:19" x14ac:dyDescent="0.3">
      <c r="A300" s="195">
        <v>569</v>
      </c>
      <c r="B300" s="177" t="s">
        <v>162</v>
      </c>
      <c r="C300" s="177" t="s">
        <v>163</v>
      </c>
      <c r="D300" s="201" t="s">
        <v>736</v>
      </c>
      <c r="E300" s="88" t="s">
        <v>737</v>
      </c>
      <c r="F300" s="88">
        <v>0</v>
      </c>
      <c r="G300" s="88">
        <v>0</v>
      </c>
      <c r="H300" s="88">
        <v>0</v>
      </c>
      <c r="I300" s="88">
        <v>0</v>
      </c>
      <c r="J300" s="88">
        <v>0</v>
      </c>
      <c r="K300" s="88">
        <v>0</v>
      </c>
      <c r="L300" s="88">
        <v>0</v>
      </c>
      <c r="M300" s="88">
        <v>0</v>
      </c>
      <c r="N300" s="88">
        <v>0</v>
      </c>
      <c r="O300" s="88">
        <v>0</v>
      </c>
      <c r="P300" s="88">
        <v>0</v>
      </c>
      <c r="Q300" s="88">
        <v>0</v>
      </c>
      <c r="R300" s="88">
        <v>0</v>
      </c>
      <c r="S300" s="88">
        <f t="shared" si="4"/>
        <v>0</v>
      </c>
    </row>
    <row r="301" spans="1:19" x14ac:dyDescent="0.3">
      <c r="A301" s="195">
        <v>569</v>
      </c>
      <c r="B301" s="177" t="s">
        <v>162</v>
      </c>
      <c r="C301" s="177" t="s">
        <v>163</v>
      </c>
      <c r="D301" s="201" t="s">
        <v>738</v>
      </c>
      <c r="E301" s="88" t="s">
        <v>739</v>
      </c>
      <c r="F301" s="88">
        <v>0</v>
      </c>
      <c r="G301" s="88">
        <v>0</v>
      </c>
      <c r="H301" s="88">
        <v>0</v>
      </c>
      <c r="I301" s="88">
        <v>0</v>
      </c>
      <c r="J301" s="88">
        <v>0</v>
      </c>
      <c r="K301" s="88">
        <v>0</v>
      </c>
      <c r="L301" s="88">
        <v>0</v>
      </c>
      <c r="M301" s="88">
        <v>0</v>
      </c>
      <c r="N301" s="88">
        <v>0</v>
      </c>
      <c r="O301" s="88">
        <v>0</v>
      </c>
      <c r="P301" s="88">
        <v>0</v>
      </c>
      <c r="Q301" s="88">
        <v>0</v>
      </c>
      <c r="R301" s="88">
        <v>0</v>
      </c>
      <c r="S301" s="88">
        <f t="shared" si="4"/>
        <v>0</v>
      </c>
    </row>
    <row r="302" spans="1:19" x14ac:dyDescent="0.3">
      <c r="A302" s="195">
        <v>569</v>
      </c>
      <c r="B302" s="177" t="s">
        <v>162</v>
      </c>
      <c r="C302" s="177" t="s">
        <v>163</v>
      </c>
      <c r="D302" s="201" t="s">
        <v>740</v>
      </c>
      <c r="E302" s="88" t="s">
        <v>741</v>
      </c>
      <c r="F302" s="88">
        <v>0</v>
      </c>
      <c r="G302" s="88">
        <v>192646.27247180001</v>
      </c>
      <c r="H302" s="88">
        <v>147594.4805796</v>
      </c>
      <c r="I302" s="88">
        <v>142561.59338599999</v>
      </c>
      <c r="J302" s="88">
        <v>201066.698802</v>
      </c>
      <c r="K302" s="88">
        <v>149472.30164789999</v>
      </c>
      <c r="L302" s="88">
        <v>152455.087676</v>
      </c>
      <c r="M302" s="88">
        <v>200448.5987725</v>
      </c>
      <c r="N302" s="88">
        <v>168336.3023217</v>
      </c>
      <c r="O302" s="88">
        <v>159682.91034169999</v>
      </c>
      <c r="P302" s="88">
        <v>198518.07626110001</v>
      </c>
      <c r="Q302" s="88">
        <v>179798.7230728</v>
      </c>
      <c r="R302" s="88">
        <v>166582.85792549999</v>
      </c>
      <c r="S302" s="88">
        <f t="shared" si="4"/>
        <v>2059163.9032586003</v>
      </c>
    </row>
    <row r="303" spans="1:19" x14ac:dyDescent="0.3">
      <c r="A303" s="195">
        <v>569</v>
      </c>
      <c r="B303" s="177" t="s">
        <v>162</v>
      </c>
      <c r="C303" s="177" t="s">
        <v>163</v>
      </c>
      <c r="D303" s="201" t="s">
        <v>742</v>
      </c>
      <c r="E303" s="88" t="s">
        <v>743</v>
      </c>
      <c r="F303" s="88">
        <v>0</v>
      </c>
      <c r="G303" s="88">
        <v>1633.3333333</v>
      </c>
      <c r="H303" s="88">
        <v>1633.3333333</v>
      </c>
      <c r="I303" s="88">
        <v>1633.3333333</v>
      </c>
      <c r="J303" s="88">
        <v>1633.3333333</v>
      </c>
      <c r="K303" s="88">
        <v>2757.5333332999999</v>
      </c>
      <c r="L303" s="88">
        <v>1633.3333333</v>
      </c>
      <c r="M303" s="88">
        <v>1633.3333333</v>
      </c>
      <c r="N303" s="88">
        <v>3370.7333333000001</v>
      </c>
      <c r="O303" s="88">
        <v>1633.3333333</v>
      </c>
      <c r="P303" s="88">
        <v>1633.3333333</v>
      </c>
      <c r="Q303" s="88">
        <v>3370.7333333000001</v>
      </c>
      <c r="R303" s="88">
        <v>1633.3333333</v>
      </c>
      <c r="S303" s="88">
        <f t="shared" si="4"/>
        <v>24198.999999600001</v>
      </c>
    </row>
    <row r="304" spans="1:19" x14ac:dyDescent="0.3">
      <c r="A304" s="195">
        <v>569</v>
      </c>
      <c r="B304" s="177" t="s">
        <v>162</v>
      </c>
      <c r="C304" s="177" t="s">
        <v>163</v>
      </c>
      <c r="D304" s="201" t="s">
        <v>744</v>
      </c>
      <c r="E304" s="88" t="s">
        <v>745</v>
      </c>
      <c r="F304" s="88">
        <v>0</v>
      </c>
      <c r="G304" s="88">
        <v>0</v>
      </c>
      <c r="H304" s="88">
        <v>0</v>
      </c>
      <c r="I304" s="88">
        <v>0</v>
      </c>
      <c r="J304" s="88">
        <v>0</v>
      </c>
      <c r="K304" s="88">
        <v>0</v>
      </c>
      <c r="L304" s="88">
        <v>0</v>
      </c>
      <c r="M304" s="88">
        <v>0</v>
      </c>
      <c r="N304" s="88">
        <v>0</v>
      </c>
      <c r="O304" s="88">
        <v>0</v>
      </c>
      <c r="P304" s="88">
        <v>0</v>
      </c>
      <c r="Q304" s="88">
        <v>0</v>
      </c>
      <c r="R304" s="88">
        <v>0</v>
      </c>
      <c r="S304" s="88">
        <f t="shared" si="4"/>
        <v>0</v>
      </c>
    </row>
    <row r="305" spans="1:19" x14ac:dyDescent="0.3">
      <c r="A305" s="195">
        <v>570</v>
      </c>
      <c r="B305" s="177" t="s">
        <v>162</v>
      </c>
      <c r="C305" s="177" t="s">
        <v>163</v>
      </c>
      <c r="D305" s="201" t="s">
        <v>746</v>
      </c>
      <c r="E305" s="88" t="s">
        <v>747</v>
      </c>
      <c r="F305" s="88">
        <v>0</v>
      </c>
      <c r="G305" s="88">
        <v>91156.558760100001</v>
      </c>
      <c r="H305" s="88">
        <v>86095.957620400004</v>
      </c>
      <c r="I305" s="88">
        <v>86112.520923799995</v>
      </c>
      <c r="J305" s="88">
        <v>89985.177274700007</v>
      </c>
      <c r="K305" s="88">
        <v>92595.663734700007</v>
      </c>
      <c r="L305" s="88">
        <v>84809.777566000004</v>
      </c>
      <c r="M305" s="88">
        <v>92634.899086899997</v>
      </c>
      <c r="N305" s="88">
        <v>90040.142131600005</v>
      </c>
      <c r="O305" s="88">
        <v>87439.055103699997</v>
      </c>
      <c r="P305" s="88">
        <v>92623.436419000005</v>
      </c>
      <c r="Q305" s="88">
        <v>87387.206156300002</v>
      </c>
      <c r="R305" s="88">
        <v>89978.619578500002</v>
      </c>
      <c r="S305" s="88">
        <f t="shared" si="4"/>
        <v>1070859.0143557002</v>
      </c>
    </row>
    <row r="306" spans="1:19" x14ac:dyDescent="0.3">
      <c r="A306" s="195">
        <v>571</v>
      </c>
      <c r="B306" s="177" t="s">
        <v>162</v>
      </c>
      <c r="C306" s="177" t="s">
        <v>163</v>
      </c>
      <c r="D306" s="201" t="s">
        <v>748</v>
      </c>
      <c r="E306" s="88" t="s">
        <v>749</v>
      </c>
      <c r="F306" s="88">
        <v>0</v>
      </c>
      <c r="G306" s="88">
        <v>321193.81894530001</v>
      </c>
      <c r="H306" s="88">
        <v>309260.49727489997</v>
      </c>
      <c r="I306" s="88">
        <v>309849.28122230002</v>
      </c>
      <c r="J306" s="88">
        <v>318822.22377119999</v>
      </c>
      <c r="K306" s="88">
        <v>319709.20847359998</v>
      </c>
      <c r="L306" s="88">
        <v>320935.18943019997</v>
      </c>
      <c r="M306" s="88">
        <v>326474.5749836</v>
      </c>
      <c r="N306" s="88">
        <v>316906.48578230001</v>
      </c>
      <c r="O306" s="88">
        <v>314287.97100199998</v>
      </c>
      <c r="P306" s="88">
        <v>319433.71231039998</v>
      </c>
      <c r="Q306" s="88">
        <v>311131.80487639998</v>
      </c>
      <c r="R306" s="88">
        <v>324163.9777934</v>
      </c>
      <c r="S306" s="88">
        <f t="shared" si="4"/>
        <v>3812168.7458656002</v>
      </c>
    </row>
    <row r="307" spans="1:19" x14ac:dyDescent="0.3">
      <c r="A307" s="195">
        <v>572</v>
      </c>
      <c r="B307" s="177" t="s">
        <v>162</v>
      </c>
      <c r="C307" s="177" t="s">
        <v>163</v>
      </c>
      <c r="D307" s="201" t="s">
        <v>750</v>
      </c>
      <c r="E307" s="88" t="s">
        <v>751</v>
      </c>
      <c r="F307" s="88">
        <v>0</v>
      </c>
      <c r="G307" s="88">
        <v>0</v>
      </c>
      <c r="H307" s="88">
        <v>0</v>
      </c>
      <c r="I307" s="88">
        <v>0</v>
      </c>
      <c r="J307" s="88">
        <v>0</v>
      </c>
      <c r="K307" s="88">
        <v>0</v>
      </c>
      <c r="L307" s="88">
        <v>0</v>
      </c>
      <c r="M307" s="88">
        <v>0</v>
      </c>
      <c r="N307" s="88">
        <v>0</v>
      </c>
      <c r="O307" s="88">
        <v>0</v>
      </c>
      <c r="P307" s="88">
        <v>0</v>
      </c>
      <c r="Q307" s="88">
        <v>0</v>
      </c>
      <c r="R307" s="88">
        <v>0</v>
      </c>
      <c r="S307" s="88">
        <f t="shared" si="4"/>
        <v>0</v>
      </c>
    </row>
    <row r="308" spans="1:19" x14ac:dyDescent="0.3">
      <c r="A308" s="195">
        <v>573</v>
      </c>
      <c r="B308" s="177" t="s">
        <v>162</v>
      </c>
      <c r="C308" s="177" t="s">
        <v>163</v>
      </c>
      <c r="D308" s="201" t="s">
        <v>752</v>
      </c>
      <c r="E308" s="88" t="s">
        <v>753</v>
      </c>
      <c r="F308" s="88">
        <v>0</v>
      </c>
      <c r="G308" s="88">
        <v>0</v>
      </c>
      <c r="H308" s="88">
        <v>0</v>
      </c>
      <c r="I308" s="88">
        <v>0</v>
      </c>
      <c r="J308" s="88">
        <v>0</v>
      </c>
      <c r="K308" s="88">
        <v>0</v>
      </c>
      <c r="L308" s="88">
        <v>0</v>
      </c>
      <c r="M308" s="88">
        <v>0</v>
      </c>
      <c r="N308" s="88">
        <v>0</v>
      </c>
      <c r="O308" s="88">
        <v>0</v>
      </c>
      <c r="P308" s="88">
        <v>0</v>
      </c>
      <c r="Q308" s="88">
        <v>0</v>
      </c>
      <c r="R308" s="88">
        <v>0</v>
      </c>
      <c r="S308" s="88">
        <f t="shared" si="4"/>
        <v>0</v>
      </c>
    </row>
    <row r="309" spans="1:19" x14ac:dyDescent="0.3">
      <c r="A309" s="195">
        <v>575</v>
      </c>
      <c r="B309" s="177" t="s">
        <v>162</v>
      </c>
      <c r="C309" s="177" t="s">
        <v>163</v>
      </c>
      <c r="D309" s="201" t="s">
        <v>754</v>
      </c>
      <c r="E309" s="88" t="s">
        <v>755</v>
      </c>
      <c r="F309" s="88">
        <v>0</v>
      </c>
      <c r="G309" s="88">
        <v>0</v>
      </c>
      <c r="H309" s="88">
        <v>0</v>
      </c>
      <c r="I309" s="88">
        <v>0</v>
      </c>
      <c r="J309" s="88">
        <v>0</v>
      </c>
      <c r="K309" s="88">
        <v>0</v>
      </c>
      <c r="L309" s="88">
        <v>0</v>
      </c>
      <c r="M309" s="88">
        <v>0</v>
      </c>
      <c r="N309" s="88">
        <v>0</v>
      </c>
      <c r="O309" s="88">
        <v>0</v>
      </c>
      <c r="P309" s="88">
        <v>0</v>
      </c>
      <c r="Q309" s="88">
        <v>0</v>
      </c>
      <c r="R309" s="88">
        <v>0</v>
      </c>
      <c r="S309" s="88">
        <f t="shared" si="4"/>
        <v>0</v>
      </c>
    </row>
    <row r="310" spans="1:19" x14ac:dyDescent="0.3">
      <c r="A310" s="195">
        <v>575</v>
      </c>
      <c r="B310" s="177" t="s">
        <v>162</v>
      </c>
      <c r="C310" s="177" t="s">
        <v>163</v>
      </c>
      <c r="D310" s="201" t="s">
        <v>756</v>
      </c>
      <c r="E310" s="88" t="s">
        <v>757</v>
      </c>
      <c r="F310" s="88">
        <v>0</v>
      </c>
      <c r="G310" s="88">
        <v>0</v>
      </c>
      <c r="H310" s="88">
        <v>0</v>
      </c>
      <c r="I310" s="88">
        <v>0</v>
      </c>
      <c r="J310" s="88">
        <v>0</v>
      </c>
      <c r="K310" s="88">
        <v>0</v>
      </c>
      <c r="L310" s="88">
        <v>0</v>
      </c>
      <c r="M310" s="88">
        <v>0</v>
      </c>
      <c r="N310" s="88">
        <v>0</v>
      </c>
      <c r="O310" s="88">
        <v>0</v>
      </c>
      <c r="P310" s="88">
        <v>0</v>
      </c>
      <c r="Q310" s="88">
        <v>0</v>
      </c>
      <c r="R310" s="88">
        <v>0</v>
      </c>
      <c r="S310" s="88">
        <f t="shared" si="4"/>
        <v>0</v>
      </c>
    </row>
    <row r="311" spans="1:19" x14ac:dyDescent="0.3">
      <c r="A311" s="195">
        <v>575</v>
      </c>
      <c r="B311" s="177" t="s">
        <v>162</v>
      </c>
      <c r="C311" s="177" t="s">
        <v>163</v>
      </c>
      <c r="D311" s="201" t="s">
        <v>758</v>
      </c>
      <c r="E311" s="88" t="s">
        <v>759</v>
      </c>
      <c r="F311" s="88">
        <v>0</v>
      </c>
      <c r="G311" s="88">
        <v>0</v>
      </c>
      <c r="H311" s="88">
        <v>0</v>
      </c>
      <c r="I311" s="88">
        <v>0</v>
      </c>
      <c r="J311" s="88">
        <v>0</v>
      </c>
      <c r="K311" s="88">
        <v>0</v>
      </c>
      <c r="L311" s="88">
        <v>0</v>
      </c>
      <c r="M311" s="88">
        <v>0</v>
      </c>
      <c r="N311" s="88">
        <v>0</v>
      </c>
      <c r="O311" s="88">
        <v>0</v>
      </c>
      <c r="P311" s="88">
        <v>0</v>
      </c>
      <c r="Q311" s="88">
        <v>0</v>
      </c>
      <c r="R311" s="88">
        <v>0</v>
      </c>
      <c r="S311" s="88">
        <f t="shared" si="4"/>
        <v>0</v>
      </c>
    </row>
    <row r="312" spans="1:19" x14ac:dyDescent="0.3">
      <c r="A312" s="195">
        <v>575</v>
      </c>
      <c r="B312" s="177" t="s">
        <v>162</v>
      </c>
      <c r="C312" s="177" t="s">
        <v>163</v>
      </c>
      <c r="D312" s="201" t="s">
        <v>760</v>
      </c>
      <c r="E312" s="88" t="s">
        <v>761</v>
      </c>
      <c r="F312" s="88">
        <v>0</v>
      </c>
      <c r="G312" s="88">
        <v>0</v>
      </c>
      <c r="H312" s="88">
        <v>0</v>
      </c>
      <c r="I312" s="88">
        <v>0</v>
      </c>
      <c r="J312" s="88">
        <v>0</v>
      </c>
      <c r="K312" s="88">
        <v>0</v>
      </c>
      <c r="L312" s="88">
        <v>0</v>
      </c>
      <c r="M312" s="88">
        <v>0</v>
      </c>
      <c r="N312" s="88">
        <v>0</v>
      </c>
      <c r="O312" s="88">
        <v>0</v>
      </c>
      <c r="P312" s="88">
        <v>0</v>
      </c>
      <c r="Q312" s="88">
        <v>0</v>
      </c>
      <c r="R312" s="88">
        <v>0</v>
      </c>
      <c r="S312" s="88">
        <f t="shared" si="4"/>
        <v>0</v>
      </c>
    </row>
    <row r="313" spans="1:19" x14ac:dyDescent="0.3">
      <c r="A313" s="195">
        <v>575</v>
      </c>
      <c r="B313" s="177" t="s">
        <v>162</v>
      </c>
      <c r="C313" s="177" t="s">
        <v>163</v>
      </c>
      <c r="D313" s="201" t="s">
        <v>762</v>
      </c>
      <c r="E313" s="88" t="s">
        <v>763</v>
      </c>
      <c r="F313" s="88">
        <v>0</v>
      </c>
      <c r="G313" s="88">
        <v>0</v>
      </c>
      <c r="H313" s="88">
        <v>0</v>
      </c>
      <c r="I313" s="88">
        <v>0</v>
      </c>
      <c r="J313" s="88">
        <v>0</v>
      </c>
      <c r="K313" s="88">
        <v>0</v>
      </c>
      <c r="L313" s="88">
        <v>0</v>
      </c>
      <c r="M313" s="88">
        <v>0</v>
      </c>
      <c r="N313" s="88">
        <v>0</v>
      </c>
      <c r="O313" s="88">
        <v>0</v>
      </c>
      <c r="P313" s="88">
        <v>0</v>
      </c>
      <c r="Q313" s="88">
        <v>0</v>
      </c>
      <c r="R313" s="88">
        <v>0</v>
      </c>
      <c r="S313" s="88">
        <f t="shared" si="4"/>
        <v>0</v>
      </c>
    </row>
    <row r="314" spans="1:19" x14ac:dyDescent="0.3">
      <c r="A314" s="195">
        <v>575</v>
      </c>
      <c r="B314" s="177" t="s">
        <v>162</v>
      </c>
      <c r="C314" s="177" t="s">
        <v>163</v>
      </c>
      <c r="D314" s="201" t="s">
        <v>764</v>
      </c>
      <c r="E314" s="88" t="s">
        <v>765</v>
      </c>
      <c r="F314" s="88">
        <v>0</v>
      </c>
      <c r="G314" s="88">
        <v>0</v>
      </c>
      <c r="H314" s="88">
        <v>0</v>
      </c>
      <c r="I314" s="88">
        <v>0</v>
      </c>
      <c r="J314" s="88">
        <v>0</v>
      </c>
      <c r="K314" s="88">
        <v>0</v>
      </c>
      <c r="L314" s="88">
        <v>0</v>
      </c>
      <c r="M314" s="88">
        <v>0</v>
      </c>
      <c r="N314" s="88">
        <v>0</v>
      </c>
      <c r="O314" s="88">
        <v>0</v>
      </c>
      <c r="P314" s="88">
        <v>0</v>
      </c>
      <c r="Q314" s="88">
        <v>0</v>
      </c>
      <c r="R314" s="88">
        <v>0</v>
      </c>
      <c r="S314" s="88">
        <f t="shared" si="4"/>
        <v>0</v>
      </c>
    </row>
    <row r="315" spans="1:19" x14ac:dyDescent="0.3">
      <c r="A315" s="195">
        <v>575</v>
      </c>
      <c r="B315" s="177" t="s">
        <v>162</v>
      </c>
      <c r="C315" s="177" t="s">
        <v>163</v>
      </c>
      <c r="D315" s="201" t="s">
        <v>766</v>
      </c>
      <c r="E315" s="88" t="s">
        <v>767</v>
      </c>
      <c r="F315" s="88">
        <v>0</v>
      </c>
      <c r="G315" s="88">
        <v>0</v>
      </c>
      <c r="H315" s="88">
        <v>0</v>
      </c>
      <c r="I315" s="88">
        <v>0</v>
      </c>
      <c r="J315" s="88">
        <v>0</v>
      </c>
      <c r="K315" s="88">
        <v>0</v>
      </c>
      <c r="L315" s="88">
        <v>0</v>
      </c>
      <c r="M315" s="88">
        <v>0</v>
      </c>
      <c r="N315" s="88">
        <v>0</v>
      </c>
      <c r="O315" s="88">
        <v>0</v>
      </c>
      <c r="P315" s="88">
        <v>0</v>
      </c>
      <c r="Q315" s="88">
        <v>0</v>
      </c>
      <c r="R315" s="88">
        <v>0</v>
      </c>
      <c r="S315" s="88">
        <f t="shared" si="4"/>
        <v>0</v>
      </c>
    </row>
    <row r="316" spans="1:19" x14ac:dyDescent="0.3">
      <c r="A316" s="195">
        <v>575</v>
      </c>
      <c r="B316" s="177" t="s">
        <v>162</v>
      </c>
      <c r="C316" s="177" t="s">
        <v>163</v>
      </c>
      <c r="D316" s="201" t="s">
        <v>768</v>
      </c>
      <c r="E316" s="88" t="s">
        <v>769</v>
      </c>
      <c r="F316" s="88">
        <v>0</v>
      </c>
      <c r="G316" s="88">
        <v>0</v>
      </c>
      <c r="H316" s="88">
        <v>0</v>
      </c>
      <c r="I316" s="88">
        <v>0</v>
      </c>
      <c r="J316" s="88">
        <v>0</v>
      </c>
      <c r="K316" s="88">
        <v>0</v>
      </c>
      <c r="L316" s="88">
        <v>0</v>
      </c>
      <c r="M316" s="88">
        <v>0</v>
      </c>
      <c r="N316" s="88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f t="shared" si="4"/>
        <v>0</v>
      </c>
    </row>
    <row r="317" spans="1:19" x14ac:dyDescent="0.3">
      <c r="A317" s="195">
        <v>576</v>
      </c>
      <c r="B317" s="177" t="s">
        <v>162</v>
      </c>
      <c r="C317" s="177" t="s">
        <v>163</v>
      </c>
      <c r="D317" s="201" t="s">
        <v>770</v>
      </c>
      <c r="E317" s="88" t="s">
        <v>771</v>
      </c>
      <c r="F317" s="88">
        <v>0</v>
      </c>
      <c r="G317" s="88">
        <v>0</v>
      </c>
      <c r="H317" s="88">
        <v>0</v>
      </c>
      <c r="I317" s="88">
        <v>0</v>
      </c>
      <c r="J317" s="88">
        <v>0</v>
      </c>
      <c r="K317" s="88">
        <v>0</v>
      </c>
      <c r="L317" s="88">
        <v>0</v>
      </c>
      <c r="M317" s="88">
        <v>0</v>
      </c>
      <c r="N317" s="88">
        <v>0</v>
      </c>
      <c r="O317" s="88">
        <v>0</v>
      </c>
      <c r="P317" s="88">
        <v>0</v>
      </c>
      <c r="Q317" s="88">
        <v>0</v>
      </c>
      <c r="R317" s="88">
        <v>0</v>
      </c>
      <c r="S317" s="88">
        <f t="shared" si="4"/>
        <v>0</v>
      </c>
    </row>
    <row r="318" spans="1:19" x14ac:dyDescent="0.3">
      <c r="A318" s="195">
        <v>576</v>
      </c>
      <c r="B318" s="177" t="s">
        <v>162</v>
      </c>
      <c r="C318" s="177" t="s">
        <v>163</v>
      </c>
      <c r="D318" s="201" t="s">
        <v>772</v>
      </c>
      <c r="E318" s="88" t="s">
        <v>773</v>
      </c>
      <c r="F318" s="88">
        <v>0</v>
      </c>
      <c r="G318" s="88">
        <v>0</v>
      </c>
      <c r="H318" s="88">
        <v>0</v>
      </c>
      <c r="I318" s="88">
        <v>0</v>
      </c>
      <c r="J318" s="88">
        <v>0</v>
      </c>
      <c r="K318" s="88">
        <v>0</v>
      </c>
      <c r="L318" s="88">
        <v>0</v>
      </c>
      <c r="M318" s="88">
        <v>0</v>
      </c>
      <c r="N318" s="88">
        <v>0</v>
      </c>
      <c r="O318" s="88">
        <v>0</v>
      </c>
      <c r="P318" s="88">
        <v>0</v>
      </c>
      <c r="Q318" s="88">
        <v>0</v>
      </c>
      <c r="R318" s="88">
        <v>0</v>
      </c>
      <c r="S318" s="88">
        <f t="shared" si="4"/>
        <v>0</v>
      </c>
    </row>
    <row r="319" spans="1:19" x14ac:dyDescent="0.3">
      <c r="A319" s="195">
        <v>576</v>
      </c>
      <c r="B319" s="177" t="s">
        <v>162</v>
      </c>
      <c r="C319" s="177" t="s">
        <v>163</v>
      </c>
      <c r="D319" s="201" t="s">
        <v>774</v>
      </c>
      <c r="E319" s="88" t="s">
        <v>775</v>
      </c>
      <c r="F319" s="88">
        <v>0</v>
      </c>
      <c r="G319" s="88">
        <v>0</v>
      </c>
      <c r="H319" s="88">
        <v>0</v>
      </c>
      <c r="I319" s="88">
        <v>0</v>
      </c>
      <c r="J319" s="88">
        <v>0</v>
      </c>
      <c r="K319" s="88">
        <v>0</v>
      </c>
      <c r="L319" s="88">
        <v>0</v>
      </c>
      <c r="M319" s="88">
        <v>0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f t="shared" si="4"/>
        <v>0</v>
      </c>
    </row>
    <row r="320" spans="1:19" x14ac:dyDescent="0.3">
      <c r="A320" s="195">
        <v>576</v>
      </c>
      <c r="B320" s="177" t="s">
        <v>162</v>
      </c>
      <c r="C320" s="177" t="s">
        <v>163</v>
      </c>
      <c r="D320" s="201" t="s">
        <v>776</v>
      </c>
      <c r="E320" s="88" t="s">
        <v>777</v>
      </c>
      <c r="F320" s="88">
        <v>0</v>
      </c>
      <c r="G320" s="88">
        <v>0</v>
      </c>
      <c r="H320" s="88">
        <v>0</v>
      </c>
      <c r="I320" s="88">
        <v>0</v>
      </c>
      <c r="J320" s="88">
        <v>0</v>
      </c>
      <c r="K320" s="88">
        <v>0</v>
      </c>
      <c r="L320" s="88">
        <v>0</v>
      </c>
      <c r="M320" s="88">
        <v>0</v>
      </c>
      <c r="N320" s="88">
        <v>0</v>
      </c>
      <c r="O320" s="88">
        <v>0</v>
      </c>
      <c r="P320" s="88">
        <v>0</v>
      </c>
      <c r="Q320" s="88">
        <v>0</v>
      </c>
      <c r="R320" s="88">
        <v>0</v>
      </c>
      <c r="S320" s="88">
        <f t="shared" si="4"/>
        <v>0</v>
      </c>
    </row>
    <row r="321" spans="1:19" x14ac:dyDescent="0.3">
      <c r="A321" s="195">
        <v>576</v>
      </c>
      <c r="B321" s="177" t="s">
        <v>162</v>
      </c>
      <c r="C321" s="177" t="s">
        <v>163</v>
      </c>
      <c r="D321" s="201" t="s">
        <v>778</v>
      </c>
      <c r="E321" s="88" t="s">
        <v>779</v>
      </c>
      <c r="F321" s="88">
        <v>0</v>
      </c>
      <c r="G321" s="88">
        <v>0</v>
      </c>
      <c r="H321" s="88">
        <v>0</v>
      </c>
      <c r="I321" s="88">
        <v>0</v>
      </c>
      <c r="J321" s="88">
        <v>0</v>
      </c>
      <c r="K321" s="88">
        <v>0</v>
      </c>
      <c r="L321" s="88">
        <v>0</v>
      </c>
      <c r="M321" s="88">
        <v>0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  <c r="S321" s="88">
        <f t="shared" si="4"/>
        <v>0</v>
      </c>
    </row>
    <row r="322" spans="1:19" x14ac:dyDescent="0.3">
      <c r="A322" s="195">
        <v>580</v>
      </c>
      <c r="B322" s="177" t="s">
        <v>162</v>
      </c>
      <c r="C322" s="177" t="s">
        <v>163</v>
      </c>
      <c r="D322" s="201" t="s">
        <v>780</v>
      </c>
      <c r="E322" s="88" t="s">
        <v>781</v>
      </c>
      <c r="F322" s="88">
        <v>0</v>
      </c>
      <c r="G322" s="88">
        <v>125780.3098721</v>
      </c>
      <c r="H322" s="88">
        <v>116671.5621449</v>
      </c>
      <c r="I322" s="88">
        <v>117463.3509435</v>
      </c>
      <c r="J322" s="88">
        <v>121441.153853</v>
      </c>
      <c r="K322" s="88">
        <v>125515.6771521</v>
      </c>
      <c r="L322" s="88">
        <v>116006.926456</v>
      </c>
      <c r="M322" s="88">
        <v>126297.9724936</v>
      </c>
      <c r="N322" s="88">
        <v>123840.0945351</v>
      </c>
      <c r="O322" s="88">
        <v>120221.9120715</v>
      </c>
      <c r="P322" s="88">
        <v>123876.96513</v>
      </c>
      <c r="Q322" s="88">
        <v>116064.7771828</v>
      </c>
      <c r="R322" s="88">
        <v>119001.7203413</v>
      </c>
      <c r="S322" s="88">
        <f t="shared" si="4"/>
        <v>1452182.4221758998</v>
      </c>
    </row>
    <row r="323" spans="1:19" x14ac:dyDescent="0.3">
      <c r="A323" s="195">
        <v>581</v>
      </c>
      <c r="B323" s="177" t="s">
        <v>162</v>
      </c>
      <c r="C323" s="177" t="s">
        <v>163</v>
      </c>
      <c r="D323" s="201" t="s">
        <v>782</v>
      </c>
      <c r="E323" s="88" t="s">
        <v>783</v>
      </c>
      <c r="F323" s="88">
        <v>0</v>
      </c>
      <c r="G323" s="88">
        <v>82498.212986700004</v>
      </c>
      <c r="H323" s="88">
        <v>80452.267091400005</v>
      </c>
      <c r="I323" s="88">
        <v>86981.558735800005</v>
      </c>
      <c r="J323" s="88">
        <v>89260.850166599994</v>
      </c>
      <c r="K323" s="88">
        <v>92101.873232500002</v>
      </c>
      <c r="L323" s="88">
        <v>91412.114921</v>
      </c>
      <c r="M323" s="88">
        <v>104488.28487829999</v>
      </c>
      <c r="N323" s="88">
        <v>114786.4884952</v>
      </c>
      <c r="O323" s="88">
        <v>112158.57591840001</v>
      </c>
      <c r="P323" s="88">
        <v>113787.43155769999</v>
      </c>
      <c r="Q323" s="88">
        <v>96586.334247000006</v>
      </c>
      <c r="R323" s="88">
        <v>98404.624770299997</v>
      </c>
      <c r="S323" s="88">
        <f t="shared" si="4"/>
        <v>1162918.6170009</v>
      </c>
    </row>
    <row r="324" spans="1:19" x14ac:dyDescent="0.3">
      <c r="A324" s="195">
        <v>581</v>
      </c>
      <c r="B324" s="177" t="s">
        <v>162</v>
      </c>
      <c r="C324" s="177" t="s">
        <v>163</v>
      </c>
      <c r="D324" s="201" t="s">
        <v>784</v>
      </c>
      <c r="E324" s="88" t="s">
        <v>785</v>
      </c>
      <c r="F324" s="88">
        <v>0</v>
      </c>
      <c r="G324" s="88">
        <v>0</v>
      </c>
      <c r="H324" s="88">
        <v>0</v>
      </c>
      <c r="I324" s="88">
        <v>0</v>
      </c>
      <c r="J324" s="88">
        <v>0</v>
      </c>
      <c r="K324" s="88">
        <v>0</v>
      </c>
      <c r="L324" s="88">
        <v>0</v>
      </c>
      <c r="M324" s="88">
        <v>0</v>
      </c>
      <c r="N324" s="88">
        <v>0</v>
      </c>
      <c r="O324" s="88">
        <v>0</v>
      </c>
      <c r="P324" s="88">
        <v>0</v>
      </c>
      <c r="Q324" s="88">
        <v>0</v>
      </c>
      <c r="R324" s="88">
        <v>0</v>
      </c>
      <c r="S324" s="88">
        <f t="shared" si="4"/>
        <v>0</v>
      </c>
    </row>
    <row r="325" spans="1:19" x14ac:dyDescent="0.3">
      <c r="A325" s="195">
        <v>582</v>
      </c>
      <c r="B325" s="177" t="s">
        <v>162</v>
      </c>
      <c r="C325" s="177" t="s">
        <v>163</v>
      </c>
      <c r="D325" s="201" t="s">
        <v>786</v>
      </c>
      <c r="E325" s="88" t="s">
        <v>787</v>
      </c>
      <c r="F325" s="88">
        <v>0</v>
      </c>
      <c r="G325" s="88">
        <v>175266.7899459</v>
      </c>
      <c r="H325" s="88">
        <v>159549.65637889999</v>
      </c>
      <c r="I325" s="88">
        <v>159763.43456679999</v>
      </c>
      <c r="J325" s="88">
        <v>164973.66016669999</v>
      </c>
      <c r="K325" s="88">
        <v>169514.71863019999</v>
      </c>
      <c r="L325" s="88">
        <v>156468.006991</v>
      </c>
      <c r="M325" s="88">
        <v>171000.84948539999</v>
      </c>
      <c r="N325" s="88">
        <v>166357.77609989999</v>
      </c>
      <c r="O325" s="88">
        <v>161718.92691529999</v>
      </c>
      <c r="P325" s="88">
        <v>170808.7584928</v>
      </c>
      <c r="Q325" s="88">
        <v>161494.0234451</v>
      </c>
      <c r="R325" s="88">
        <v>165988.4894969</v>
      </c>
      <c r="S325" s="88">
        <f t="shared" si="4"/>
        <v>1982905.0906149002</v>
      </c>
    </row>
    <row r="326" spans="1:19" x14ac:dyDescent="0.3">
      <c r="A326" s="195">
        <v>583</v>
      </c>
      <c r="B326" s="177" t="s">
        <v>162</v>
      </c>
      <c r="C326" s="177" t="s">
        <v>163</v>
      </c>
      <c r="D326" s="201" t="s">
        <v>788</v>
      </c>
      <c r="E326" s="88" t="s">
        <v>789</v>
      </c>
      <c r="F326" s="88">
        <v>0</v>
      </c>
      <c r="G326" s="88">
        <v>732713.28593679995</v>
      </c>
      <c r="H326" s="88">
        <v>663775.850018</v>
      </c>
      <c r="I326" s="88">
        <v>674264.4693769</v>
      </c>
      <c r="J326" s="88">
        <v>684536.07106690004</v>
      </c>
      <c r="K326" s="88">
        <v>690760.64404399996</v>
      </c>
      <c r="L326" s="88">
        <v>643088.66517749999</v>
      </c>
      <c r="M326" s="88">
        <v>693047.53016890003</v>
      </c>
      <c r="N326" s="88">
        <v>704984.20053739997</v>
      </c>
      <c r="O326" s="88">
        <v>682330.01254689996</v>
      </c>
      <c r="P326" s="88">
        <v>708653.1472293</v>
      </c>
      <c r="Q326" s="88">
        <v>648609.1988741</v>
      </c>
      <c r="R326" s="88">
        <v>665066.99476819998</v>
      </c>
      <c r="S326" s="88">
        <f t="shared" si="4"/>
        <v>8191830.0697448999</v>
      </c>
    </row>
    <row r="327" spans="1:19" x14ac:dyDescent="0.3">
      <c r="A327" s="195">
        <v>584</v>
      </c>
      <c r="B327" s="177" t="s">
        <v>162</v>
      </c>
      <c r="C327" s="177" t="s">
        <v>163</v>
      </c>
      <c r="D327" s="201" t="s">
        <v>790</v>
      </c>
      <c r="E327" s="88" t="s">
        <v>791</v>
      </c>
      <c r="F327" s="88">
        <v>0</v>
      </c>
      <c r="G327" s="88">
        <v>69945.487039400003</v>
      </c>
      <c r="H327" s="88">
        <v>65394.013118499999</v>
      </c>
      <c r="I327" s="88">
        <v>70831.190856000001</v>
      </c>
      <c r="J327" s="88">
        <v>73848.579007299995</v>
      </c>
      <c r="K327" s="88">
        <v>76865.967158900006</v>
      </c>
      <c r="L327" s="88">
        <v>68880.796101600004</v>
      </c>
      <c r="M327" s="88">
        <v>78999.967158900006</v>
      </c>
      <c r="N327" s="88">
        <v>78115.579007299995</v>
      </c>
      <c r="O327" s="88">
        <v>75098.190856000001</v>
      </c>
      <c r="P327" s="88">
        <v>81132.967158900006</v>
      </c>
      <c r="Q327" s="88">
        <v>72965.190856000001</v>
      </c>
      <c r="R327" s="88">
        <v>75982.579007299995</v>
      </c>
      <c r="S327" s="88">
        <f t="shared" si="4"/>
        <v>888060.50732609991</v>
      </c>
    </row>
    <row r="328" spans="1:19" x14ac:dyDescent="0.3">
      <c r="A328" s="195">
        <v>585</v>
      </c>
      <c r="B328" s="177" t="s">
        <v>162</v>
      </c>
      <c r="C328" s="177" t="s">
        <v>163</v>
      </c>
      <c r="D328" s="201" t="s">
        <v>792</v>
      </c>
      <c r="E328" s="88" t="s">
        <v>793</v>
      </c>
      <c r="F328" s="88">
        <v>0</v>
      </c>
      <c r="G328" s="88">
        <v>207606.33753990001</v>
      </c>
      <c r="H328" s="88">
        <v>194294.05809030001</v>
      </c>
      <c r="I328" s="88">
        <v>202294.05809030001</v>
      </c>
      <c r="J328" s="88">
        <v>204339.20002389999</v>
      </c>
      <c r="K328" s="88">
        <v>211344.2165753</v>
      </c>
      <c r="L328" s="88">
        <v>190329.15164309999</v>
      </c>
      <c r="M328" s="88">
        <v>211344.2165753</v>
      </c>
      <c r="N328" s="88">
        <v>212339.20002389999</v>
      </c>
      <c r="O328" s="88">
        <v>197334.18348189999</v>
      </c>
      <c r="P328" s="88">
        <v>211344.2165753</v>
      </c>
      <c r="Q328" s="88">
        <v>197334.18348189999</v>
      </c>
      <c r="R328" s="88">
        <v>204339.20002389999</v>
      </c>
      <c r="S328" s="88">
        <f t="shared" si="4"/>
        <v>2444242.2221249999</v>
      </c>
    </row>
    <row r="329" spans="1:19" x14ac:dyDescent="0.3">
      <c r="A329" s="195">
        <v>586</v>
      </c>
      <c r="B329" s="177" t="s">
        <v>162</v>
      </c>
      <c r="C329" s="177" t="s">
        <v>163</v>
      </c>
      <c r="D329" s="201" t="s">
        <v>794</v>
      </c>
      <c r="E329" s="88" t="s">
        <v>795</v>
      </c>
      <c r="F329" s="88">
        <v>0</v>
      </c>
      <c r="G329" s="88">
        <v>470163.15004719998</v>
      </c>
      <c r="H329" s="88">
        <v>440680.59997799998</v>
      </c>
      <c r="I329" s="88">
        <v>457088.62626230001</v>
      </c>
      <c r="J329" s="88">
        <v>479330.3323214</v>
      </c>
      <c r="K329" s="88">
        <v>496713.64348799997</v>
      </c>
      <c r="L329" s="88">
        <v>455040.62244250003</v>
      </c>
      <c r="M329" s="88">
        <v>510096.45243200002</v>
      </c>
      <c r="N329" s="88">
        <v>506049.73271860002</v>
      </c>
      <c r="O329" s="88">
        <v>491384.98530330003</v>
      </c>
      <c r="P329" s="88">
        <v>519780.96605639998</v>
      </c>
      <c r="Q329" s="88">
        <v>471808.14384739997</v>
      </c>
      <c r="R329" s="88">
        <v>490705.10069460003</v>
      </c>
      <c r="S329" s="88">
        <f t="shared" si="4"/>
        <v>5788842.3555917013</v>
      </c>
    </row>
    <row r="330" spans="1:19" x14ac:dyDescent="0.3">
      <c r="A330" s="195">
        <v>587</v>
      </c>
      <c r="B330" s="177" t="s">
        <v>162</v>
      </c>
      <c r="C330" s="177" t="s">
        <v>163</v>
      </c>
      <c r="D330" s="201" t="s">
        <v>796</v>
      </c>
      <c r="E330" s="88" t="s">
        <v>797</v>
      </c>
      <c r="F330" s="88">
        <v>0</v>
      </c>
      <c r="G330" s="88">
        <v>0</v>
      </c>
      <c r="H330" s="88">
        <v>0</v>
      </c>
      <c r="I330" s="88">
        <v>0</v>
      </c>
      <c r="J330" s="88">
        <v>0</v>
      </c>
      <c r="K330" s="88">
        <v>0</v>
      </c>
      <c r="L330" s="88">
        <v>0</v>
      </c>
      <c r="M330" s="88">
        <v>0</v>
      </c>
      <c r="N330" s="88">
        <v>0</v>
      </c>
      <c r="O330" s="88">
        <v>0</v>
      </c>
      <c r="P330" s="88">
        <v>0</v>
      </c>
      <c r="Q330" s="88">
        <v>0</v>
      </c>
      <c r="R330" s="88">
        <v>0</v>
      </c>
      <c r="S330" s="88">
        <f t="shared" si="4"/>
        <v>0</v>
      </c>
    </row>
    <row r="331" spans="1:19" x14ac:dyDescent="0.3">
      <c r="A331" s="195">
        <v>588</v>
      </c>
      <c r="B331" s="177" t="s">
        <v>162</v>
      </c>
      <c r="C331" s="177" t="s">
        <v>163</v>
      </c>
      <c r="D331" s="201" t="s">
        <v>798</v>
      </c>
      <c r="E331" s="88" t="s">
        <v>799</v>
      </c>
      <c r="F331" s="88">
        <v>0</v>
      </c>
      <c r="G331" s="88">
        <v>481046.01503250003</v>
      </c>
      <c r="H331" s="88">
        <v>290092.7118778</v>
      </c>
      <c r="I331" s="88">
        <v>291322.12730739999</v>
      </c>
      <c r="J331" s="88">
        <v>387215.9886254</v>
      </c>
      <c r="K331" s="88">
        <v>364507.79853859998</v>
      </c>
      <c r="L331" s="88">
        <v>297281.11790220003</v>
      </c>
      <c r="M331" s="88">
        <v>445364.54313300003</v>
      </c>
      <c r="N331" s="88">
        <v>374513.4731537</v>
      </c>
      <c r="O331" s="88">
        <v>330091.78750470001</v>
      </c>
      <c r="P331" s="88">
        <v>430972.69940009998</v>
      </c>
      <c r="Q331" s="88">
        <v>343103.70229719998</v>
      </c>
      <c r="R331" s="88">
        <v>364608.23481390002</v>
      </c>
      <c r="S331" s="88">
        <f t="shared" si="4"/>
        <v>4400120.1995865004</v>
      </c>
    </row>
    <row r="332" spans="1:19" x14ac:dyDescent="0.3">
      <c r="A332" s="195">
        <v>589</v>
      </c>
      <c r="B332" s="177" t="s">
        <v>162</v>
      </c>
      <c r="C332" s="177" t="s">
        <v>163</v>
      </c>
      <c r="D332" s="201" t="s">
        <v>800</v>
      </c>
      <c r="E332" s="88" t="s">
        <v>801</v>
      </c>
      <c r="F332" s="88">
        <v>0</v>
      </c>
      <c r="G332" s="88">
        <v>31417</v>
      </c>
      <c r="H332" s="88">
        <v>31417</v>
      </c>
      <c r="I332" s="88">
        <v>31417</v>
      </c>
      <c r="J332" s="88">
        <v>31417</v>
      </c>
      <c r="K332" s="88">
        <v>31417</v>
      </c>
      <c r="L332" s="88">
        <v>31417</v>
      </c>
      <c r="M332" s="88">
        <v>31417</v>
      </c>
      <c r="N332" s="88">
        <v>31417</v>
      </c>
      <c r="O332" s="88">
        <v>31417</v>
      </c>
      <c r="P332" s="88">
        <v>31417</v>
      </c>
      <c r="Q332" s="88">
        <v>31417</v>
      </c>
      <c r="R332" s="88">
        <v>31417</v>
      </c>
      <c r="S332" s="88">
        <f t="shared" si="4"/>
        <v>377004</v>
      </c>
    </row>
    <row r="333" spans="1:19" x14ac:dyDescent="0.3">
      <c r="A333" s="195">
        <v>590</v>
      </c>
      <c r="B333" s="177" t="s">
        <v>162</v>
      </c>
      <c r="C333" s="177" t="s">
        <v>163</v>
      </c>
      <c r="D333" s="201" t="s">
        <v>802</v>
      </c>
      <c r="E333" s="88" t="s">
        <v>803</v>
      </c>
      <c r="F333" s="88">
        <v>0</v>
      </c>
      <c r="G333" s="88">
        <v>0</v>
      </c>
      <c r="H333" s="88">
        <v>0</v>
      </c>
      <c r="I333" s="88">
        <v>0</v>
      </c>
      <c r="J333" s="88">
        <v>0</v>
      </c>
      <c r="K333" s="88">
        <v>0</v>
      </c>
      <c r="L333" s="88">
        <v>0</v>
      </c>
      <c r="M333" s="88">
        <v>0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f t="shared" si="4"/>
        <v>0</v>
      </c>
    </row>
    <row r="334" spans="1:19" x14ac:dyDescent="0.3">
      <c r="A334" s="195">
        <v>591</v>
      </c>
      <c r="B334" s="177" t="s">
        <v>162</v>
      </c>
      <c r="C334" s="177" t="s">
        <v>163</v>
      </c>
      <c r="D334" s="201" t="s">
        <v>804</v>
      </c>
      <c r="E334" s="88" t="s">
        <v>805</v>
      </c>
      <c r="F334" s="88">
        <v>0</v>
      </c>
      <c r="G334" s="88">
        <v>38142.683502799999</v>
      </c>
      <c r="H334" s="88">
        <v>37304.743155999997</v>
      </c>
      <c r="I334" s="88">
        <v>37706.441950599998</v>
      </c>
      <c r="J334" s="88">
        <v>38133.748671399997</v>
      </c>
      <c r="K334" s="88">
        <v>38556.105926199998</v>
      </c>
      <c r="L334" s="88">
        <v>37477.769330199997</v>
      </c>
      <c r="M334" s="88">
        <v>38882.667773900001</v>
      </c>
      <c r="N334" s="88">
        <v>38648.358760299998</v>
      </c>
      <c r="O334" s="88">
        <v>38234.760932899997</v>
      </c>
      <c r="P334" s="88">
        <v>38750.875808600002</v>
      </c>
      <c r="Q334" s="88">
        <v>37415.4043026</v>
      </c>
      <c r="R334" s="88">
        <v>37629.754036600003</v>
      </c>
      <c r="S334" s="88">
        <f t="shared" si="4"/>
        <v>456883.31415209995</v>
      </c>
    </row>
    <row r="335" spans="1:19" x14ac:dyDescent="0.3">
      <c r="A335" s="195">
        <v>592</v>
      </c>
      <c r="B335" s="177" t="s">
        <v>162</v>
      </c>
      <c r="C335" s="177" t="s">
        <v>163</v>
      </c>
      <c r="D335" s="201" t="s">
        <v>806</v>
      </c>
      <c r="E335" s="88" t="s">
        <v>807</v>
      </c>
      <c r="F335" s="88">
        <v>0</v>
      </c>
      <c r="G335" s="88">
        <v>237115.78621650001</v>
      </c>
      <c r="H335" s="88">
        <v>225384.3926656</v>
      </c>
      <c r="I335" s="88">
        <v>225422.7894143</v>
      </c>
      <c r="J335" s="88">
        <v>234400.3109553</v>
      </c>
      <c r="K335" s="88">
        <v>240451.89320329999</v>
      </c>
      <c r="L335" s="88">
        <v>222402.79344849999</v>
      </c>
      <c r="M335" s="88">
        <v>240542.84788340001</v>
      </c>
      <c r="N335" s="88">
        <v>234527.729487</v>
      </c>
      <c r="O335" s="88">
        <v>228497.9368313</v>
      </c>
      <c r="P335" s="88">
        <v>240516.27533490001</v>
      </c>
      <c r="Q335" s="88">
        <v>228377.74154429999</v>
      </c>
      <c r="R335" s="88">
        <v>234385.109023</v>
      </c>
      <c r="S335" s="88">
        <f t="shared" ref="S335:S398" si="5">SUM(F335:R335)</f>
        <v>2792025.6060074</v>
      </c>
    </row>
    <row r="336" spans="1:19" x14ac:dyDescent="0.3">
      <c r="A336" s="195">
        <v>592</v>
      </c>
      <c r="B336" s="177" t="s">
        <v>162</v>
      </c>
      <c r="C336" s="177" t="s">
        <v>163</v>
      </c>
      <c r="D336" s="201" t="s">
        <v>808</v>
      </c>
      <c r="E336" s="88" t="s">
        <v>809</v>
      </c>
      <c r="F336" s="88">
        <v>0</v>
      </c>
      <c r="G336" s="88">
        <v>0</v>
      </c>
      <c r="H336" s="88">
        <v>0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f t="shared" si="5"/>
        <v>0</v>
      </c>
    </row>
    <row r="337" spans="1:19" x14ac:dyDescent="0.3">
      <c r="A337" s="195">
        <v>593</v>
      </c>
      <c r="B337" s="177" t="s">
        <v>162</v>
      </c>
      <c r="C337" s="177" t="s">
        <v>163</v>
      </c>
      <c r="D337" s="201" t="s">
        <v>810</v>
      </c>
      <c r="E337" s="88" t="s">
        <v>811</v>
      </c>
      <c r="F337" s="88">
        <v>0</v>
      </c>
      <c r="G337" s="88">
        <v>3334995.6608916</v>
      </c>
      <c r="H337" s="88">
        <v>3283602.5991520002</v>
      </c>
      <c r="I337" s="88">
        <v>3302434.6122627002</v>
      </c>
      <c r="J337" s="88">
        <v>3376528.9641192001</v>
      </c>
      <c r="K337" s="88">
        <v>3405068.7539710002</v>
      </c>
      <c r="L337" s="88">
        <v>3340875.4407488001</v>
      </c>
      <c r="M337" s="88">
        <v>3502995.1223785998</v>
      </c>
      <c r="N337" s="88">
        <v>3514988.8431287999</v>
      </c>
      <c r="O337" s="88">
        <v>3473036.7222895999</v>
      </c>
      <c r="P337" s="88">
        <v>3547100.9879019</v>
      </c>
      <c r="Q337" s="88">
        <v>3378016.2236338998</v>
      </c>
      <c r="R337" s="88">
        <v>3411539.2640002999</v>
      </c>
      <c r="S337" s="88">
        <f t="shared" si="5"/>
        <v>40871183.194478393</v>
      </c>
    </row>
    <row r="338" spans="1:19" x14ac:dyDescent="0.3">
      <c r="A338" s="195">
        <v>594</v>
      </c>
      <c r="B338" s="177" t="s">
        <v>162</v>
      </c>
      <c r="C338" s="177" t="s">
        <v>163</v>
      </c>
      <c r="D338" s="201" t="s">
        <v>812</v>
      </c>
      <c r="E338" s="88" t="s">
        <v>813</v>
      </c>
      <c r="F338" s="88">
        <v>0</v>
      </c>
      <c r="G338" s="88">
        <v>489855.87433670001</v>
      </c>
      <c r="H338" s="88">
        <v>466398.15145830001</v>
      </c>
      <c r="I338" s="88">
        <v>475097.02030580002</v>
      </c>
      <c r="J338" s="88">
        <v>491885.68724930001</v>
      </c>
      <c r="K338" s="88">
        <v>506541.20150520001</v>
      </c>
      <c r="L338" s="88">
        <v>483579.32487469999</v>
      </c>
      <c r="M338" s="88">
        <v>534487.1782807</v>
      </c>
      <c r="N338" s="88">
        <v>539389.88990790001</v>
      </c>
      <c r="O338" s="88">
        <v>524986.62170400005</v>
      </c>
      <c r="P338" s="88">
        <v>548135.96457780001</v>
      </c>
      <c r="Q338" s="88">
        <v>494958.50525029999</v>
      </c>
      <c r="R338" s="88">
        <v>507197.27252120001</v>
      </c>
      <c r="S338" s="88">
        <f t="shared" si="5"/>
        <v>6062512.6919718999</v>
      </c>
    </row>
    <row r="339" spans="1:19" x14ac:dyDescent="0.3">
      <c r="A339" s="195">
        <v>595</v>
      </c>
      <c r="B339" s="177" t="s">
        <v>162</v>
      </c>
      <c r="C339" s="177" t="s">
        <v>163</v>
      </c>
      <c r="D339" s="201" t="s">
        <v>814</v>
      </c>
      <c r="E339" s="88" t="s">
        <v>815</v>
      </c>
      <c r="F339" s="88">
        <v>0</v>
      </c>
      <c r="G339" s="88">
        <v>26639.072139600001</v>
      </c>
      <c r="H339" s="88">
        <v>25205.943204499999</v>
      </c>
      <c r="I339" s="88">
        <v>25336.165097699999</v>
      </c>
      <c r="J339" s="88">
        <v>27645.984044100001</v>
      </c>
      <c r="K339" s="88">
        <v>27257.109344699998</v>
      </c>
      <c r="L339" s="88">
        <v>25026.800816499999</v>
      </c>
      <c r="M339" s="88">
        <v>27405.081714100001</v>
      </c>
      <c r="N339" s="88">
        <v>26513.6737097</v>
      </c>
      <c r="O339" s="88">
        <v>25770.238074699999</v>
      </c>
      <c r="P339" s="88">
        <v>28440.888299900002</v>
      </c>
      <c r="Q339" s="88">
        <v>25770.238074699999</v>
      </c>
      <c r="R339" s="88">
        <v>26655.212501400001</v>
      </c>
      <c r="S339" s="88">
        <f t="shared" si="5"/>
        <v>317666.4070216</v>
      </c>
    </row>
    <row r="340" spans="1:19" x14ac:dyDescent="0.3">
      <c r="A340" s="195">
        <v>596</v>
      </c>
      <c r="B340" s="177" t="s">
        <v>162</v>
      </c>
      <c r="C340" s="177" t="s">
        <v>163</v>
      </c>
      <c r="D340" s="201" t="s">
        <v>816</v>
      </c>
      <c r="E340" s="88" t="s">
        <v>817</v>
      </c>
      <c r="F340" s="88">
        <v>0</v>
      </c>
      <c r="G340" s="88">
        <v>117950.5475493</v>
      </c>
      <c r="H340" s="88">
        <v>117950.5475493</v>
      </c>
      <c r="I340" s="88">
        <v>117950.5475493</v>
      </c>
      <c r="J340" s="88">
        <v>117950.5475493</v>
      </c>
      <c r="K340" s="88">
        <v>117950.5475493</v>
      </c>
      <c r="L340" s="88">
        <v>117950.5475493</v>
      </c>
      <c r="M340" s="88">
        <v>117950.5475493</v>
      </c>
      <c r="N340" s="88">
        <v>117950.5475493</v>
      </c>
      <c r="O340" s="88">
        <v>117950.5475493</v>
      </c>
      <c r="P340" s="88">
        <v>117950.5475493</v>
      </c>
      <c r="Q340" s="88">
        <v>117950.5475493</v>
      </c>
      <c r="R340" s="88">
        <v>117950.5475493</v>
      </c>
      <c r="S340" s="88">
        <f t="shared" si="5"/>
        <v>1415406.5705915997</v>
      </c>
    </row>
    <row r="341" spans="1:19" x14ac:dyDescent="0.3">
      <c r="A341" s="195">
        <v>597</v>
      </c>
      <c r="B341" s="177" t="s">
        <v>162</v>
      </c>
      <c r="C341" s="177" t="s">
        <v>163</v>
      </c>
      <c r="D341" s="201" t="s">
        <v>818</v>
      </c>
      <c r="E341" s="88" t="s">
        <v>819</v>
      </c>
      <c r="F341" s="88">
        <v>0</v>
      </c>
      <c r="G341" s="88">
        <v>56763.731600599996</v>
      </c>
      <c r="H341" s="88">
        <v>51273.800248500003</v>
      </c>
      <c r="I341" s="88">
        <v>52596.883166699998</v>
      </c>
      <c r="J341" s="88">
        <v>57031.604415100002</v>
      </c>
      <c r="K341" s="88">
        <v>59913.517213799998</v>
      </c>
      <c r="L341" s="88">
        <v>51267.7725249</v>
      </c>
      <c r="M341" s="88">
        <v>59913.517213799998</v>
      </c>
      <c r="N341" s="88">
        <v>57031.604415100002</v>
      </c>
      <c r="O341" s="88">
        <v>54149.691615999996</v>
      </c>
      <c r="P341" s="88">
        <v>59913.517213799998</v>
      </c>
      <c r="Q341" s="88">
        <v>54149.691615999996</v>
      </c>
      <c r="R341" s="88">
        <v>57031.604415100002</v>
      </c>
      <c r="S341" s="88">
        <f t="shared" si="5"/>
        <v>671036.93565939995</v>
      </c>
    </row>
    <row r="342" spans="1:19" x14ac:dyDescent="0.3">
      <c r="A342" s="195">
        <v>598</v>
      </c>
      <c r="B342" s="177" t="s">
        <v>162</v>
      </c>
      <c r="C342" s="177" t="s">
        <v>163</v>
      </c>
      <c r="D342" s="201" t="s">
        <v>820</v>
      </c>
      <c r="E342" s="88" t="s">
        <v>821</v>
      </c>
      <c r="F342" s="88">
        <v>0</v>
      </c>
      <c r="G342" s="88">
        <v>0</v>
      </c>
      <c r="H342" s="88">
        <v>0</v>
      </c>
      <c r="I342" s="88">
        <v>0</v>
      </c>
      <c r="J342" s="88">
        <v>0</v>
      </c>
      <c r="K342" s="88">
        <v>0</v>
      </c>
      <c r="L342" s="88">
        <v>0</v>
      </c>
      <c r="M342" s="88">
        <v>0</v>
      </c>
      <c r="N342" s="88">
        <v>0</v>
      </c>
      <c r="O342" s="88">
        <v>0</v>
      </c>
      <c r="P342" s="88">
        <v>0</v>
      </c>
      <c r="Q342" s="88">
        <v>0</v>
      </c>
      <c r="R342" s="88">
        <v>0</v>
      </c>
      <c r="S342" s="88">
        <f t="shared" si="5"/>
        <v>0</v>
      </c>
    </row>
    <row r="343" spans="1:19" x14ac:dyDescent="0.3">
      <c r="A343" s="195">
        <v>800</v>
      </c>
      <c r="B343" s="177" t="s">
        <v>162</v>
      </c>
      <c r="C343" s="177" t="s">
        <v>163</v>
      </c>
      <c r="D343" s="201" t="s">
        <v>822</v>
      </c>
      <c r="E343" s="88" t="s">
        <v>823</v>
      </c>
      <c r="F343" s="88">
        <v>0</v>
      </c>
      <c r="G343" s="88">
        <v>0</v>
      </c>
      <c r="H343" s="88">
        <v>0</v>
      </c>
      <c r="I343" s="88">
        <v>0</v>
      </c>
      <c r="J343" s="88">
        <v>0</v>
      </c>
      <c r="K343" s="88">
        <v>0</v>
      </c>
      <c r="L343" s="88">
        <v>0</v>
      </c>
      <c r="M343" s="88">
        <v>0</v>
      </c>
      <c r="N343" s="88">
        <v>0</v>
      </c>
      <c r="O343" s="88">
        <v>0</v>
      </c>
      <c r="P343" s="88">
        <v>0</v>
      </c>
      <c r="Q343" s="88">
        <v>0</v>
      </c>
      <c r="R343" s="88">
        <v>0</v>
      </c>
      <c r="S343" s="88">
        <f t="shared" si="5"/>
        <v>0</v>
      </c>
    </row>
    <row r="344" spans="1:19" x14ac:dyDescent="0.3">
      <c r="A344" s="195">
        <v>800</v>
      </c>
      <c r="B344" s="177" t="s">
        <v>162</v>
      </c>
      <c r="C344" s="177" t="s">
        <v>163</v>
      </c>
      <c r="D344" s="201" t="s">
        <v>824</v>
      </c>
      <c r="E344" s="88" t="s">
        <v>825</v>
      </c>
      <c r="F344" s="88">
        <v>0</v>
      </c>
      <c r="G344" s="88">
        <v>0</v>
      </c>
      <c r="H344" s="88">
        <v>0</v>
      </c>
      <c r="I344" s="88">
        <v>0</v>
      </c>
      <c r="J344" s="88">
        <v>0</v>
      </c>
      <c r="K344" s="88">
        <v>0</v>
      </c>
      <c r="L344" s="88">
        <v>0</v>
      </c>
      <c r="M344" s="88">
        <v>0</v>
      </c>
      <c r="N344" s="88">
        <v>0</v>
      </c>
      <c r="O344" s="88">
        <v>0</v>
      </c>
      <c r="P344" s="88">
        <v>0</v>
      </c>
      <c r="Q344" s="88">
        <v>0</v>
      </c>
      <c r="R344" s="88">
        <v>0</v>
      </c>
      <c r="S344" s="88">
        <f t="shared" si="5"/>
        <v>0</v>
      </c>
    </row>
    <row r="345" spans="1:19" x14ac:dyDescent="0.3">
      <c r="A345" s="195">
        <v>801</v>
      </c>
      <c r="B345" s="177" t="s">
        <v>162</v>
      </c>
      <c r="C345" s="177" t="s">
        <v>163</v>
      </c>
      <c r="D345" s="201" t="s">
        <v>826</v>
      </c>
      <c r="E345" s="88" t="s">
        <v>827</v>
      </c>
      <c r="F345" s="88">
        <v>0</v>
      </c>
      <c r="G345" s="88">
        <v>0</v>
      </c>
      <c r="H345" s="88">
        <v>0</v>
      </c>
      <c r="I345" s="88">
        <v>0</v>
      </c>
      <c r="J345" s="88">
        <v>0</v>
      </c>
      <c r="K345" s="88">
        <v>0</v>
      </c>
      <c r="L345" s="88">
        <v>0</v>
      </c>
      <c r="M345" s="88">
        <v>0</v>
      </c>
      <c r="N345" s="88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f t="shared" si="5"/>
        <v>0</v>
      </c>
    </row>
    <row r="346" spans="1:19" x14ac:dyDescent="0.3">
      <c r="A346" s="195">
        <v>802</v>
      </c>
      <c r="B346" s="177" t="s">
        <v>162</v>
      </c>
      <c r="C346" s="177" t="s">
        <v>163</v>
      </c>
      <c r="D346" s="201" t="s">
        <v>828</v>
      </c>
      <c r="E346" s="88" t="s">
        <v>829</v>
      </c>
      <c r="F346" s="88">
        <v>0</v>
      </c>
      <c r="G346" s="88">
        <v>0</v>
      </c>
      <c r="H346" s="88">
        <v>0</v>
      </c>
      <c r="I346" s="88">
        <v>0</v>
      </c>
      <c r="J346" s="88">
        <v>0</v>
      </c>
      <c r="K346" s="88">
        <v>0</v>
      </c>
      <c r="L346" s="88">
        <v>0</v>
      </c>
      <c r="M346" s="88">
        <v>0</v>
      </c>
      <c r="N346" s="88">
        <v>0</v>
      </c>
      <c r="O346" s="88">
        <v>0</v>
      </c>
      <c r="P346" s="88">
        <v>0</v>
      </c>
      <c r="Q346" s="88">
        <v>0</v>
      </c>
      <c r="R346" s="88">
        <v>0</v>
      </c>
      <c r="S346" s="88">
        <f t="shared" si="5"/>
        <v>0</v>
      </c>
    </row>
    <row r="347" spans="1:19" x14ac:dyDescent="0.3">
      <c r="A347" s="195">
        <v>803</v>
      </c>
      <c r="B347" s="177" t="s">
        <v>162</v>
      </c>
      <c r="C347" s="177" t="s">
        <v>163</v>
      </c>
      <c r="D347" s="201" t="s">
        <v>830</v>
      </c>
      <c r="E347" s="88" t="s">
        <v>831</v>
      </c>
      <c r="F347" s="88">
        <v>0</v>
      </c>
      <c r="G347" s="88">
        <v>0</v>
      </c>
      <c r="H347" s="88">
        <v>0</v>
      </c>
      <c r="I347" s="88">
        <v>0</v>
      </c>
      <c r="J347" s="88">
        <v>0</v>
      </c>
      <c r="K347" s="88">
        <v>0</v>
      </c>
      <c r="L347" s="88">
        <v>0</v>
      </c>
      <c r="M347" s="88">
        <v>0</v>
      </c>
      <c r="N347" s="88">
        <v>0</v>
      </c>
      <c r="O347" s="88">
        <v>0</v>
      </c>
      <c r="P347" s="88">
        <v>0</v>
      </c>
      <c r="Q347" s="88">
        <v>0</v>
      </c>
      <c r="R347" s="88">
        <v>0</v>
      </c>
      <c r="S347" s="88">
        <f t="shared" si="5"/>
        <v>0</v>
      </c>
    </row>
    <row r="348" spans="1:19" x14ac:dyDescent="0.3">
      <c r="A348" s="195">
        <v>804</v>
      </c>
      <c r="B348" s="177" t="s">
        <v>162</v>
      </c>
      <c r="C348" s="177" t="s">
        <v>163</v>
      </c>
      <c r="D348" s="201" t="s">
        <v>832</v>
      </c>
      <c r="E348" s="88" t="s">
        <v>833</v>
      </c>
      <c r="F348" s="88">
        <v>0</v>
      </c>
      <c r="G348" s="88">
        <v>0</v>
      </c>
      <c r="H348" s="88">
        <v>0</v>
      </c>
      <c r="I348" s="88">
        <v>0</v>
      </c>
      <c r="J348" s="88">
        <v>0</v>
      </c>
      <c r="K348" s="88">
        <v>0</v>
      </c>
      <c r="L348" s="88">
        <v>0</v>
      </c>
      <c r="M348" s="88">
        <v>0</v>
      </c>
      <c r="N348" s="88">
        <v>0</v>
      </c>
      <c r="O348" s="88">
        <v>0</v>
      </c>
      <c r="P348" s="88">
        <v>0</v>
      </c>
      <c r="Q348" s="88">
        <v>0</v>
      </c>
      <c r="R348" s="88">
        <v>0</v>
      </c>
      <c r="S348" s="88">
        <f t="shared" si="5"/>
        <v>0</v>
      </c>
    </row>
    <row r="349" spans="1:19" x14ac:dyDescent="0.3">
      <c r="A349" s="195">
        <v>804</v>
      </c>
      <c r="B349" s="177" t="s">
        <v>162</v>
      </c>
      <c r="C349" s="177" t="s">
        <v>163</v>
      </c>
      <c r="D349" s="201" t="s">
        <v>834</v>
      </c>
      <c r="E349" s="88" t="s">
        <v>835</v>
      </c>
      <c r="F349" s="88">
        <v>0</v>
      </c>
      <c r="G349" s="88">
        <v>0</v>
      </c>
      <c r="H349" s="88">
        <v>0</v>
      </c>
      <c r="I349" s="88">
        <v>0</v>
      </c>
      <c r="J349" s="88">
        <v>0</v>
      </c>
      <c r="K349" s="88">
        <v>0</v>
      </c>
      <c r="L349" s="88">
        <v>0</v>
      </c>
      <c r="M349" s="88">
        <v>0</v>
      </c>
      <c r="N349" s="88">
        <v>0</v>
      </c>
      <c r="O349" s="88">
        <v>0</v>
      </c>
      <c r="P349" s="88">
        <v>0</v>
      </c>
      <c r="Q349" s="88">
        <v>0</v>
      </c>
      <c r="R349" s="88">
        <v>0</v>
      </c>
      <c r="S349" s="88">
        <f t="shared" si="5"/>
        <v>0</v>
      </c>
    </row>
    <row r="350" spans="1:19" x14ac:dyDescent="0.3">
      <c r="A350" s="195">
        <v>805</v>
      </c>
      <c r="B350" s="177" t="s">
        <v>162</v>
      </c>
      <c r="C350" s="177" t="s">
        <v>163</v>
      </c>
      <c r="D350" s="201" t="s">
        <v>836</v>
      </c>
      <c r="E350" s="88" t="s">
        <v>837</v>
      </c>
      <c r="F350" s="88">
        <v>0</v>
      </c>
      <c r="G350" s="88">
        <v>0</v>
      </c>
      <c r="H350" s="88">
        <v>0</v>
      </c>
      <c r="I350" s="88">
        <v>0</v>
      </c>
      <c r="J350" s="88">
        <v>0</v>
      </c>
      <c r="K350" s="88">
        <v>0</v>
      </c>
      <c r="L350" s="88">
        <v>0</v>
      </c>
      <c r="M350" s="88">
        <v>0</v>
      </c>
      <c r="N350" s="88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f t="shared" si="5"/>
        <v>0</v>
      </c>
    </row>
    <row r="351" spans="1:19" x14ac:dyDescent="0.3">
      <c r="A351" s="195">
        <v>805</v>
      </c>
      <c r="B351" s="177" t="s">
        <v>162</v>
      </c>
      <c r="C351" s="177" t="s">
        <v>163</v>
      </c>
      <c r="D351" s="201" t="s">
        <v>838</v>
      </c>
      <c r="E351" s="88" t="s">
        <v>839</v>
      </c>
      <c r="F351" s="88">
        <v>0</v>
      </c>
      <c r="G351" s="88">
        <v>0</v>
      </c>
      <c r="H351" s="88">
        <v>0</v>
      </c>
      <c r="I351" s="88">
        <v>0</v>
      </c>
      <c r="J351" s="88">
        <v>0</v>
      </c>
      <c r="K351" s="88">
        <v>0</v>
      </c>
      <c r="L351" s="88">
        <v>0</v>
      </c>
      <c r="M351" s="88">
        <v>0</v>
      </c>
      <c r="N351" s="88">
        <v>0</v>
      </c>
      <c r="O351" s="88">
        <v>0</v>
      </c>
      <c r="P351" s="88">
        <v>0</v>
      </c>
      <c r="Q351" s="88">
        <v>0</v>
      </c>
      <c r="R351" s="88">
        <v>0</v>
      </c>
      <c r="S351" s="88">
        <f t="shared" si="5"/>
        <v>0</v>
      </c>
    </row>
    <row r="352" spans="1:19" x14ac:dyDescent="0.3">
      <c r="A352" s="195">
        <v>806</v>
      </c>
      <c r="B352" s="177" t="s">
        <v>162</v>
      </c>
      <c r="C352" s="177" t="s">
        <v>163</v>
      </c>
      <c r="D352" s="201" t="s">
        <v>840</v>
      </c>
      <c r="E352" s="88" t="s">
        <v>841</v>
      </c>
      <c r="F352" s="88">
        <v>0</v>
      </c>
      <c r="G352" s="88">
        <v>0</v>
      </c>
      <c r="H352" s="88">
        <v>0</v>
      </c>
      <c r="I352" s="88">
        <v>0</v>
      </c>
      <c r="J352" s="88">
        <v>0</v>
      </c>
      <c r="K352" s="88">
        <v>0</v>
      </c>
      <c r="L352" s="88">
        <v>0</v>
      </c>
      <c r="M352" s="88">
        <v>0</v>
      </c>
      <c r="N352" s="88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f t="shared" si="5"/>
        <v>0</v>
      </c>
    </row>
    <row r="353" spans="1:19" x14ac:dyDescent="0.3">
      <c r="A353" s="195">
        <v>807</v>
      </c>
      <c r="B353" s="177" t="s">
        <v>162</v>
      </c>
      <c r="C353" s="177" t="s">
        <v>163</v>
      </c>
      <c r="D353" s="201" t="s">
        <v>842</v>
      </c>
      <c r="E353" s="88" t="s">
        <v>843</v>
      </c>
      <c r="F353" s="88">
        <v>0</v>
      </c>
      <c r="G353" s="88">
        <v>0</v>
      </c>
      <c r="H353" s="88">
        <v>0</v>
      </c>
      <c r="I353" s="88">
        <v>0</v>
      </c>
      <c r="J353" s="88">
        <v>0</v>
      </c>
      <c r="K353" s="88">
        <v>0</v>
      </c>
      <c r="L353" s="88">
        <v>0</v>
      </c>
      <c r="M353" s="88">
        <v>0</v>
      </c>
      <c r="N353" s="88">
        <v>0</v>
      </c>
      <c r="O353" s="88">
        <v>0</v>
      </c>
      <c r="P353" s="88">
        <v>0</v>
      </c>
      <c r="Q353" s="88">
        <v>0</v>
      </c>
      <c r="R353" s="88">
        <v>0</v>
      </c>
      <c r="S353" s="88">
        <f t="shared" si="5"/>
        <v>0</v>
      </c>
    </row>
    <row r="354" spans="1:19" x14ac:dyDescent="0.3">
      <c r="A354" s="195">
        <v>807</v>
      </c>
      <c r="B354" s="177" t="s">
        <v>162</v>
      </c>
      <c r="C354" s="177" t="s">
        <v>163</v>
      </c>
      <c r="D354" s="201" t="s">
        <v>844</v>
      </c>
      <c r="E354" s="88" t="s">
        <v>845</v>
      </c>
      <c r="F354" s="88">
        <v>0</v>
      </c>
      <c r="G354" s="88">
        <v>0</v>
      </c>
      <c r="H354" s="88">
        <v>0</v>
      </c>
      <c r="I354" s="88">
        <v>0</v>
      </c>
      <c r="J354" s="88">
        <v>0</v>
      </c>
      <c r="K354" s="88">
        <v>0</v>
      </c>
      <c r="L354" s="88">
        <v>0</v>
      </c>
      <c r="M354" s="88">
        <v>0</v>
      </c>
      <c r="N354" s="88">
        <v>0</v>
      </c>
      <c r="O354" s="88">
        <v>0</v>
      </c>
      <c r="P354" s="88">
        <v>0</v>
      </c>
      <c r="Q354" s="88">
        <v>0</v>
      </c>
      <c r="R354" s="88">
        <v>0</v>
      </c>
      <c r="S354" s="88">
        <f t="shared" si="5"/>
        <v>0</v>
      </c>
    </row>
    <row r="355" spans="1:19" x14ac:dyDescent="0.3">
      <c r="A355" s="195">
        <v>807</v>
      </c>
      <c r="B355" s="177" t="s">
        <v>162</v>
      </c>
      <c r="C355" s="177" t="s">
        <v>163</v>
      </c>
      <c r="D355" s="201" t="s">
        <v>846</v>
      </c>
      <c r="E355" s="88" t="s">
        <v>847</v>
      </c>
      <c r="F355" s="88">
        <v>0</v>
      </c>
      <c r="G355" s="88">
        <v>0</v>
      </c>
      <c r="H355" s="88">
        <v>0</v>
      </c>
      <c r="I355" s="88">
        <v>0</v>
      </c>
      <c r="J355" s="88">
        <v>0</v>
      </c>
      <c r="K355" s="88">
        <v>0</v>
      </c>
      <c r="L355" s="88">
        <v>0</v>
      </c>
      <c r="M355" s="88">
        <v>0</v>
      </c>
      <c r="N355" s="88">
        <v>0</v>
      </c>
      <c r="O355" s="88">
        <v>0</v>
      </c>
      <c r="P355" s="88">
        <v>0</v>
      </c>
      <c r="Q355" s="88">
        <v>0</v>
      </c>
      <c r="R355" s="88">
        <v>0</v>
      </c>
      <c r="S355" s="88">
        <f t="shared" si="5"/>
        <v>0</v>
      </c>
    </row>
    <row r="356" spans="1:19" x14ac:dyDescent="0.3">
      <c r="A356" s="195">
        <v>807</v>
      </c>
      <c r="B356" s="177" t="s">
        <v>162</v>
      </c>
      <c r="C356" s="177" t="s">
        <v>163</v>
      </c>
      <c r="D356" s="201" t="s">
        <v>848</v>
      </c>
      <c r="E356" s="88" t="s">
        <v>849</v>
      </c>
      <c r="F356" s="88">
        <v>0</v>
      </c>
      <c r="G356" s="88">
        <v>0</v>
      </c>
      <c r="H356" s="88">
        <v>0</v>
      </c>
      <c r="I356" s="88">
        <v>0</v>
      </c>
      <c r="J356" s="88">
        <v>0</v>
      </c>
      <c r="K356" s="88">
        <v>0</v>
      </c>
      <c r="L356" s="88">
        <v>0</v>
      </c>
      <c r="M356" s="88">
        <v>0</v>
      </c>
      <c r="N356" s="88">
        <v>0</v>
      </c>
      <c r="O356" s="88">
        <v>0</v>
      </c>
      <c r="P356" s="88">
        <v>0</v>
      </c>
      <c r="Q356" s="88">
        <v>0</v>
      </c>
      <c r="R356" s="88">
        <v>0</v>
      </c>
      <c r="S356" s="88">
        <f t="shared" si="5"/>
        <v>0</v>
      </c>
    </row>
    <row r="357" spans="1:19" x14ac:dyDescent="0.3">
      <c r="A357" s="195">
        <v>807</v>
      </c>
      <c r="B357" s="177" t="s">
        <v>162</v>
      </c>
      <c r="C357" s="177" t="s">
        <v>163</v>
      </c>
      <c r="D357" s="201" t="s">
        <v>850</v>
      </c>
      <c r="E357" s="88" t="s">
        <v>851</v>
      </c>
      <c r="F357" s="88">
        <v>0</v>
      </c>
      <c r="G357" s="88">
        <v>0</v>
      </c>
      <c r="H357" s="88">
        <v>0</v>
      </c>
      <c r="I357" s="88">
        <v>0</v>
      </c>
      <c r="J357" s="88">
        <v>0</v>
      </c>
      <c r="K357" s="88">
        <v>0</v>
      </c>
      <c r="L357" s="88">
        <v>0</v>
      </c>
      <c r="M357" s="88">
        <v>0</v>
      </c>
      <c r="N357" s="88">
        <v>0</v>
      </c>
      <c r="O357" s="88">
        <v>0</v>
      </c>
      <c r="P357" s="88">
        <v>0</v>
      </c>
      <c r="Q357" s="88">
        <v>0</v>
      </c>
      <c r="R357" s="88">
        <v>0</v>
      </c>
      <c r="S357" s="88">
        <f t="shared" si="5"/>
        <v>0</v>
      </c>
    </row>
    <row r="358" spans="1:19" x14ac:dyDescent="0.3">
      <c r="A358" s="195">
        <v>808</v>
      </c>
      <c r="B358" s="177" t="s">
        <v>162</v>
      </c>
      <c r="C358" s="177" t="s">
        <v>163</v>
      </c>
      <c r="D358" s="201" t="s">
        <v>852</v>
      </c>
      <c r="E358" s="88" t="s">
        <v>853</v>
      </c>
      <c r="F358" s="88">
        <v>0</v>
      </c>
      <c r="G358" s="88">
        <v>0</v>
      </c>
      <c r="H358" s="88">
        <v>0</v>
      </c>
      <c r="I358" s="88">
        <v>0</v>
      </c>
      <c r="J358" s="88">
        <v>0</v>
      </c>
      <c r="K358" s="88">
        <v>0</v>
      </c>
      <c r="L358" s="88">
        <v>0</v>
      </c>
      <c r="M358" s="88">
        <v>0</v>
      </c>
      <c r="N358" s="88">
        <v>0</v>
      </c>
      <c r="O358" s="88">
        <v>0</v>
      </c>
      <c r="P358" s="88">
        <v>0</v>
      </c>
      <c r="Q358" s="88">
        <v>0</v>
      </c>
      <c r="R358" s="88">
        <v>0</v>
      </c>
      <c r="S358" s="88">
        <f t="shared" si="5"/>
        <v>0</v>
      </c>
    </row>
    <row r="359" spans="1:19" x14ac:dyDescent="0.3">
      <c r="A359" s="195">
        <v>808</v>
      </c>
      <c r="B359" s="177" t="s">
        <v>162</v>
      </c>
      <c r="C359" s="177" t="s">
        <v>163</v>
      </c>
      <c r="D359" s="201" t="s">
        <v>854</v>
      </c>
      <c r="E359" s="88" t="s">
        <v>855</v>
      </c>
      <c r="F359" s="88">
        <v>0</v>
      </c>
      <c r="G359" s="88">
        <v>0</v>
      </c>
      <c r="H359" s="88">
        <v>0</v>
      </c>
      <c r="I359" s="88">
        <v>0</v>
      </c>
      <c r="J359" s="88">
        <v>0</v>
      </c>
      <c r="K359" s="88">
        <v>0</v>
      </c>
      <c r="L359" s="88">
        <v>0</v>
      </c>
      <c r="M359" s="88">
        <v>0</v>
      </c>
      <c r="N359" s="88">
        <v>0</v>
      </c>
      <c r="O359" s="88">
        <v>0</v>
      </c>
      <c r="P359" s="88">
        <v>0</v>
      </c>
      <c r="Q359" s="88">
        <v>0</v>
      </c>
      <c r="R359" s="88">
        <v>0</v>
      </c>
      <c r="S359" s="88">
        <f t="shared" si="5"/>
        <v>0</v>
      </c>
    </row>
    <row r="360" spans="1:19" x14ac:dyDescent="0.3">
      <c r="A360" s="195">
        <v>809</v>
      </c>
      <c r="B360" s="177" t="s">
        <v>162</v>
      </c>
      <c r="C360" s="177" t="s">
        <v>163</v>
      </c>
      <c r="D360" s="201" t="s">
        <v>856</v>
      </c>
      <c r="E360" s="88" t="s">
        <v>857</v>
      </c>
      <c r="F360" s="88">
        <v>0</v>
      </c>
      <c r="G360" s="88">
        <v>0</v>
      </c>
      <c r="H360" s="88">
        <v>0</v>
      </c>
      <c r="I360" s="88">
        <v>0</v>
      </c>
      <c r="J360" s="88">
        <v>0</v>
      </c>
      <c r="K360" s="88">
        <v>0</v>
      </c>
      <c r="L360" s="88">
        <v>0</v>
      </c>
      <c r="M360" s="88">
        <v>0</v>
      </c>
      <c r="N360" s="88">
        <v>0</v>
      </c>
      <c r="O360" s="88">
        <v>0</v>
      </c>
      <c r="P360" s="88">
        <v>0</v>
      </c>
      <c r="Q360" s="88">
        <v>0</v>
      </c>
      <c r="R360" s="88">
        <v>0</v>
      </c>
      <c r="S360" s="88">
        <f t="shared" si="5"/>
        <v>0</v>
      </c>
    </row>
    <row r="361" spans="1:19" x14ac:dyDescent="0.3">
      <c r="A361" s="195">
        <v>809</v>
      </c>
      <c r="B361" s="177" t="s">
        <v>162</v>
      </c>
      <c r="C361" s="177" t="s">
        <v>163</v>
      </c>
      <c r="D361" s="201" t="s">
        <v>858</v>
      </c>
      <c r="E361" s="88" t="s">
        <v>859</v>
      </c>
      <c r="F361" s="88">
        <v>0</v>
      </c>
      <c r="G361" s="88">
        <v>0</v>
      </c>
      <c r="H361" s="88">
        <v>0</v>
      </c>
      <c r="I361" s="88">
        <v>0</v>
      </c>
      <c r="J361" s="88">
        <v>0</v>
      </c>
      <c r="K361" s="88">
        <v>0</v>
      </c>
      <c r="L361" s="88">
        <v>0</v>
      </c>
      <c r="M361" s="88">
        <v>0</v>
      </c>
      <c r="N361" s="88">
        <v>0</v>
      </c>
      <c r="O361" s="88">
        <v>0</v>
      </c>
      <c r="P361" s="88">
        <v>0</v>
      </c>
      <c r="Q361" s="88">
        <v>0</v>
      </c>
      <c r="R361" s="88">
        <v>0</v>
      </c>
      <c r="S361" s="88">
        <f t="shared" si="5"/>
        <v>0</v>
      </c>
    </row>
    <row r="362" spans="1:19" x14ac:dyDescent="0.3">
      <c r="A362" s="195">
        <v>810</v>
      </c>
      <c r="B362" s="177" t="s">
        <v>162</v>
      </c>
      <c r="C362" s="177" t="s">
        <v>163</v>
      </c>
      <c r="D362" s="201" t="s">
        <v>860</v>
      </c>
      <c r="E362" s="88" t="s">
        <v>861</v>
      </c>
      <c r="F362" s="88">
        <v>0</v>
      </c>
      <c r="G362" s="88">
        <v>0</v>
      </c>
      <c r="H362" s="88">
        <v>0</v>
      </c>
      <c r="I362" s="88">
        <v>0</v>
      </c>
      <c r="J362" s="88">
        <v>0</v>
      </c>
      <c r="K362" s="88">
        <v>0</v>
      </c>
      <c r="L362" s="88">
        <v>0</v>
      </c>
      <c r="M362" s="88">
        <v>0</v>
      </c>
      <c r="N362" s="88">
        <v>0</v>
      </c>
      <c r="O362" s="88">
        <v>0</v>
      </c>
      <c r="P362" s="88">
        <v>0</v>
      </c>
      <c r="Q362" s="88">
        <v>0</v>
      </c>
      <c r="R362" s="88">
        <v>0</v>
      </c>
      <c r="S362" s="88">
        <f t="shared" si="5"/>
        <v>0</v>
      </c>
    </row>
    <row r="363" spans="1:19" x14ac:dyDescent="0.3">
      <c r="A363" s="195">
        <v>811</v>
      </c>
      <c r="B363" s="177" t="s">
        <v>162</v>
      </c>
      <c r="C363" s="177" t="s">
        <v>163</v>
      </c>
      <c r="D363" s="201" t="s">
        <v>862</v>
      </c>
      <c r="E363" s="88" t="s">
        <v>863</v>
      </c>
      <c r="F363" s="88">
        <v>0</v>
      </c>
      <c r="G363" s="88">
        <v>0</v>
      </c>
      <c r="H363" s="88">
        <v>0</v>
      </c>
      <c r="I363" s="88">
        <v>0</v>
      </c>
      <c r="J363" s="88">
        <v>0</v>
      </c>
      <c r="K363" s="88">
        <v>0</v>
      </c>
      <c r="L363" s="88">
        <v>0</v>
      </c>
      <c r="M363" s="88">
        <v>0</v>
      </c>
      <c r="N363" s="88">
        <v>0</v>
      </c>
      <c r="O363" s="88">
        <v>0</v>
      </c>
      <c r="P363" s="88">
        <v>0</v>
      </c>
      <c r="Q363" s="88">
        <v>0</v>
      </c>
      <c r="R363" s="88">
        <v>0</v>
      </c>
      <c r="S363" s="88">
        <f t="shared" si="5"/>
        <v>0</v>
      </c>
    </row>
    <row r="364" spans="1:19" x14ac:dyDescent="0.3">
      <c r="A364" s="195">
        <v>812</v>
      </c>
      <c r="B364" s="177" t="s">
        <v>162</v>
      </c>
      <c r="C364" s="177" t="s">
        <v>163</v>
      </c>
      <c r="D364" s="201" t="s">
        <v>864</v>
      </c>
      <c r="E364" s="88" t="s">
        <v>865</v>
      </c>
      <c r="F364" s="88">
        <v>0</v>
      </c>
      <c r="G364" s="88">
        <v>0</v>
      </c>
      <c r="H364" s="88">
        <v>0</v>
      </c>
      <c r="I364" s="88">
        <v>0</v>
      </c>
      <c r="J364" s="88">
        <v>0</v>
      </c>
      <c r="K364" s="88">
        <v>0</v>
      </c>
      <c r="L364" s="88">
        <v>0</v>
      </c>
      <c r="M364" s="88">
        <v>0</v>
      </c>
      <c r="N364" s="88">
        <v>0</v>
      </c>
      <c r="O364" s="88">
        <v>0</v>
      </c>
      <c r="P364" s="88">
        <v>0</v>
      </c>
      <c r="Q364" s="88">
        <v>0</v>
      </c>
      <c r="R364" s="88">
        <v>0</v>
      </c>
      <c r="S364" s="88">
        <f t="shared" si="5"/>
        <v>0</v>
      </c>
    </row>
    <row r="365" spans="1:19" x14ac:dyDescent="0.3">
      <c r="A365" s="195">
        <v>813</v>
      </c>
      <c r="B365" s="177" t="s">
        <v>162</v>
      </c>
      <c r="C365" s="177" t="s">
        <v>163</v>
      </c>
      <c r="D365" s="201" t="s">
        <v>866</v>
      </c>
      <c r="E365" s="88" t="s">
        <v>867</v>
      </c>
      <c r="F365" s="88">
        <v>0</v>
      </c>
      <c r="G365" s="88">
        <v>0</v>
      </c>
      <c r="H365" s="88">
        <v>0</v>
      </c>
      <c r="I365" s="88">
        <v>0</v>
      </c>
      <c r="J365" s="88">
        <v>0</v>
      </c>
      <c r="K365" s="88">
        <v>0</v>
      </c>
      <c r="L365" s="88">
        <v>0</v>
      </c>
      <c r="M365" s="88">
        <v>0</v>
      </c>
      <c r="N365" s="88">
        <v>0</v>
      </c>
      <c r="O365" s="88">
        <v>0</v>
      </c>
      <c r="P365" s="88">
        <v>0</v>
      </c>
      <c r="Q365" s="88">
        <v>0</v>
      </c>
      <c r="R365" s="88">
        <v>0</v>
      </c>
      <c r="S365" s="88">
        <f t="shared" si="5"/>
        <v>0</v>
      </c>
    </row>
    <row r="366" spans="1:19" x14ac:dyDescent="0.3">
      <c r="A366" s="195">
        <v>826</v>
      </c>
      <c r="B366" s="177" t="s">
        <v>162</v>
      </c>
      <c r="C366" s="177" t="s">
        <v>163</v>
      </c>
      <c r="D366" s="201" t="s">
        <v>868</v>
      </c>
      <c r="E366" s="88" t="s">
        <v>869</v>
      </c>
      <c r="F366" s="88">
        <v>0</v>
      </c>
      <c r="G366" s="88">
        <v>0</v>
      </c>
      <c r="H366" s="88">
        <v>0</v>
      </c>
      <c r="I366" s="88">
        <v>0</v>
      </c>
      <c r="J366" s="88">
        <v>0</v>
      </c>
      <c r="K366" s="88">
        <v>0</v>
      </c>
      <c r="L366" s="88">
        <v>0</v>
      </c>
      <c r="M366" s="88">
        <v>0</v>
      </c>
      <c r="N366" s="88">
        <v>0</v>
      </c>
      <c r="O366" s="88">
        <v>0</v>
      </c>
      <c r="P366" s="88">
        <v>0</v>
      </c>
      <c r="Q366" s="88">
        <v>0</v>
      </c>
      <c r="R366" s="88">
        <v>0</v>
      </c>
      <c r="S366" s="88">
        <f t="shared" si="5"/>
        <v>0</v>
      </c>
    </row>
    <row r="367" spans="1:19" x14ac:dyDescent="0.3">
      <c r="A367" s="195">
        <v>850</v>
      </c>
      <c r="B367" s="177" t="s">
        <v>162</v>
      </c>
      <c r="C367" s="177" t="s">
        <v>163</v>
      </c>
      <c r="D367" s="201" t="s">
        <v>870</v>
      </c>
      <c r="E367" s="88" t="s">
        <v>871</v>
      </c>
      <c r="F367" s="88">
        <v>0</v>
      </c>
      <c r="G367" s="88">
        <v>0</v>
      </c>
      <c r="H367" s="88">
        <v>0</v>
      </c>
      <c r="I367" s="88">
        <v>0</v>
      </c>
      <c r="J367" s="88">
        <v>0</v>
      </c>
      <c r="K367" s="88">
        <v>0</v>
      </c>
      <c r="L367" s="88">
        <v>0</v>
      </c>
      <c r="M367" s="88">
        <v>0</v>
      </c>
      <c r="N367" s="88">
        <v>0</v>
      </c>
      <c r="O367" s="88">
        <v>0</v>
      </c>
      <c r="P367" s="88">
        <v>0</v>
      </c>
      <c r="Q367" s="88">
        <v>0</v>
      </c>
      <c r="R367" s="88">
        <v>0</v>
      </c>
      <c r="S367" s="88">
        <f t="shared" si="5"/>
        <v>0</v>
      </c>
    </row>
    <row r="368" spans="1:19" x14ac:dyDescent="0.3">
      <c r="A368" s="195">
        <v>851</v>
      </c>
      <c r="B368" s="177" t="s">
        <v>162</v>
      </c>
      <c r="C368" s="177" t="s">
        <v>163</v>
      </c>
      <c r="D368" s="201" t="s">
        <v>872</v>
      </c>
      <c r="E368" s="88" t="s">
        <v>873</v>
      </c>
      <c r="F368" s="88">
        <v>0</v>
      </c>
      <c r="G368" s="88">
        <v>0</v>
      </c>
      <c r="H368" s="88">
        <v>0</v>
      </c>
      <c r="I368" s="88">
        <v>0</v>
      </c>
      <c r="J368" s="88">
        <v>0</v>
      </c>
      <c r="K368" s="88">
        <v>0</v>
      </c>
      <c r="L368" s="88">
        <v>0</v>
      </c>
      <c r="M368" s="88">
        <v>0</v>
      </c>
      <c r="N368" s="88">
        <v>0</v>
      </c>
      <c r="O368" s="88">
        <v>0</v>
      </c>
      <c r="P368" s="88">
        <v>0</v>
      </c>
      <c r="Q368" s="88">
        <v>0</v>
      </c>
      <c r="R368" s="88">
        <v>0</v>
      </c>
      <c r="S368" s="88">
        <f t="shared" si="5"/>
        <v>0</v>
      </c>
    </row>
    <row r="369" spans="1:19" x14ac:dyDescent="0.3">
      <c r="A369" s="195">
        <v>852</v>
      </c>
      <c r="B369" s="177" t="s">
        <v>162</v>
      </c>
      <c r="C369" s="177" t="s">
        <v>163</v>
      </c>
      <c r="D369" s="201" t="s">
        <v>874</v>
      </c>
      <c r="E369" s="88" t="s">
        <v>875</v>
      </c>
      <c r="F369" s="88">
        <v>0</v>
      </c>
      <c r="G369" s="88">
        <v>0</v>
      </c>
      <c r="H369" s="88">
        <v>0</v>
      </c>
      <c r="I369" s="88">
        <v>0</v>
      </c>
      <c r="J369" s="88">
        <v>0</v>
      </c>
      <c r="K369" s="88">
        <v>0</v>
      </c>
      <c r="L369" s="88">
        <v>0</v>
      </c>
      <c r="M369" s="88">
        <v>0</v>
      </c>
      <c r="N369" s="88">
        <v>0</v>
      </c>
      <c r="O369" s="88">
        <v>0</v>
      </c>
      <c r="P369" s="88">
        <v>0</v>
      </c>
      <c r="Q369" s="88">
        <v>0</v>
      </c>
      <c r="R369" s="88">
        <v>0</v>
      </c>
      <c r="S369" s="88">
        <f t="shared" si="5"/>
        <v>0</v>
      </c>
    </row>
    <row r="370" spans="1:19" x14ac:dyDescent="0.3">
      <c r="A370" s="195">
        <v>853</v>
      </c>
      <c r="B370" s="177" t="s">
        <v>162</v>
      </c>
      <c r="C370" s="177" t="s">
        <v>163</v>
      </c>
      <c r="D370" s="201" t="s">
        <v>876</v>
      </c>
      <c r="E370" s="88" t="s">
        <v>877</v>
      </c>
      <c r="F370" s="88">
        <v>0</v>
      </c>
      <c r="G370" s="88">
        <v>0</v>
      </c>
      <c r="H370" s="88">
        <v>0</v>
      </c>
      <c r="I370" s="88">
        <v>0</v>
      </c>
      <c r="J370" s="88">
        <v>0</v>
      </c>
      <c r="K370" s="88">
        <v>0</v>
      </c>
      <c r="L370" s="88">
        <v>0</v>
      </c>
      <c r="M370" s="88">
        <v>0</v>
      </c>
      <c r="N370" s="88">
        <v>0</v>
      </c>
      <c r="O370" s="88">
        <v>0</v>
      </c>
      <c r="P370" s="88">
        <v>0</v>
      </c>
      <c r="Q370" s="88">
        <v>0</v>
      </c>
      <c r="R370" s="88">
        <v>0</v>
      </c>
      <c r="S370" s="88">
        <f t="shared" si="5"/>
        <v>0</v>
      </c>
    </row>
    <row r="371" spans="1:19" x14ac:dyDescent="0.3">
      <c r="A371" s="195">
        <v>854</v>
      </c>
      <c r="B371" s="177" t="s">
        <v>162</v>
      </c>
      <c r="C371" s="177" t="s">
        <v>163</v>
      </c>
      <c r="D371" s="201" t="s">
        <v>878</v>
      </c>
      <c r="E371" s="88" t="s">
        <v>879</v>
      </c>
      <c r="F371" s="88">
        <v>0</v>
      </c>
      <c r="G371" s="88">
        <v>0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0</v>
      </c>
      <c r="S371" s="88">
        <f t="shared" si="5"/>
        <v>0</v>
      </c>
    </row>
    <row r="372" spans="1:19" x14ac:dyDescent="0.3">
      <c r="A372" s="195">
        <v>855</v>
      </c>
      <c r="B372" s="177" t="s">
        <v>162</v>
      </c>
      <c r="C372" s="177" t="s">
        <v>163</v>
      </c>
      <c r="D372" s="201" t="s">
        <v>880</v>
      </c>
      <c r="E372" s="88" t="s">
        <v>881</v>
      </c>
      <c r="F372" s="88">
        <v>0</v>
      </c>
      <c r="G372" s="88">
        <v>0</v>
      </c>
      <c r="H372" s="88">
        <v>0</v>
      </c>
      <c r="I372" s="88">
        <v>0</v>
      </c>
      <c r="J372" s="88">
        <v>0</v>
      </c>
      <c r="K372" s="88">
        <v>0</v>
      </c>
      <c r="L372" s="88">
        <v>0</v>
      </c>
      <c r="M372" s="88">
        <v>0</v>
      </c>
      <c r="N372" s="88">
        <v>0</v>
      </c>
      <c r="O372" s="88">
        <v>0</v>
      </c>
      <c r="P372" s="88">
        <v>0</v>
      </c>
      <c r="Q372" s="88">
        <v>0</v>
      </c>
      <c r="R372" s="88">
        <v>0</v>
      </c>
      <c r="S372" s="88">
        <f t="shared" si="5"/>
        <v>0</v>
      </c>
    </row>
    <row r="373" spans="1:19" x14ac:dyDescent="0.3">
      <c r="A373" s="195">
        <v>856</v>
      </c>
      <c r="B373" s="177" t="s">
        <v>162</v>
      </c>
      <c r="C373" s="177" t="s">
        <v>163</v>
      </c>
      <c r="D373" s="201" t="s">
        <v>882</v>
      </c>
      <c r="E373" s="88" t="s">
        <v>883</v>
      </c>
      <c r="F373" s="88">
        <v>0</v>
      </c>
      <c r="G373" s="88">
        <v>0</v>
      </c>
      <c r="H373" s="88">
        <v>0</v>
      </c>
      <c r="I373" s="88">
        <v>0</v>
      </c>
      <c r="J373" s="88">
        <v>0</v>
      </c>
      <c r="K373" s="88">
        <v>0</v>
      </c>
      <c r="L373" s="88">
        <v>0</v>
      </c>
      <c r="M373" s="88">
        <v>0</v>
      </c>
      <c r="N373" s="88">
        <v>0</v>
      </c>
      <c r="O373" s="88">
        <v>0</v>
      </c>
      <c r="P373" s="88">
        <v>0</v>
      </c>
      <c r="Q373" s="88">
        <v>0</v>
      </c>
      <c r="R373" s="88">
        <v>0</v>
      </c>
      <c r="S373" s="88">
        <f t="shared" si="5"/>
        <v>0</v>
      </c>
    </row>
    <row r="374" spans="1:19" x14ac:dyDescent="0.3">
      <c r="A374" s="195">
        <v>857</v>
      </c>
      <c r="B374" s="177" t="s">
        <v>162</v>
      </c>
      <c r="C374" s="177" t="s">
        <v>163</v>
      </c>
      <c r="D374" s="201" t="s">
        <v>884</v>
      </c>
      <c r="E374" s="88" t="s">
        <v>885</v>
      </c>
      <c r="F374" s="88">
        <v>0</v>
      </c>
      <c r="G374" s="88">
        <v>0</v>
      </c>
      <c r="H374" s="88">
        <v>0</v>
      </c>
      <c r="I374" s="88">
        <v>0</v>
      </c>
      <c r="J374" s="88">
        <v>0</v>
      </c>
      <c r="K374" s="88">
        <v>0</v>
      </c>
      <c r="L374" s="88">
        <v>0</v>
      </c>
      <c r="M374" s="88">
        <v>0</v>
      </c>
      <c r="N374" s="88">
        <v>0</v>
      </c>
      <c r="O374" s="88">
        <v>0</v>
      </c>
      <c r="P374" s="88">
        <v>0</v>
      </c>
      <c r="Q374" s="88">
        <v>0</v>
      </c>
      <c r="R374" s="88">
        <v>0</v>
      </c>
      <c r="S374" s="88">
        <f t="shared" si="5"/>
        <v>0</v>
      </c>
    </row>
    <row r="375" spans="1:19" x14ac:dyDescent="0.3">
      <c r="A375" s="195">
        <v>858</v>
      </c>
      <c r="B375" s="177" t="s">
        <v>162</v>
      </c>
      <c r="C375" s="177" t="s">
        <v>163</v>
      </c>
      <c r="D375" s="201" t="s">
        <v>886</v>
      </c>
      <c r="E375" s="88" t="s">
        <v>887</v>
      </c>
      <c r="F375" s="88">
        <v>0</v>
      </c>
      <c r="G375" s="88">
        <v>0</v>
      </c>
      <c r="H375" s="88">
        <v>0</v>
      </c>
      <c r="I375" s="88">
        <v>0</v>
      </c>
      <c r="J375" s="88">
        <v>0</v>
      </c>
      <c r="K375" s="88">
        <v>0</v>
      </c>
      <c r="L375" s="88">
        <v>0</v>
      </c>
      <c r="M375" s="88">
        <v>0</v>
      </c>
      <c r="N375" s="88">
        <v>0</v>
      </c>
      <c r="O375" s="88">
        <v>0</v>
      </c>
      <c r="P375" s="88">
        <v>0</v>
      </c>
      <c r="Q375" s="88">
        <v>0</v>
      </c>
      <c r="R375" s="88">
        <v>0</v>
      </c>
      <c r="S375" s="88">
        <f t="shared" si="5"/>
        <v>0</v>
      </c>
    </row>
    <row r="376" spans="1:19" x14ac:dyDescent="0.3">
      <c r="A376" s="195">
        <v>859</v>
      </c>
      <c r="B376" s="177" t="s">
        <v>162</v>
      </c>
      <c r="C376" s="177" t="s">
        <v>163</v>
      </c>
      <c r="D376" s="201" t="s">
        <v>888</v>
      </c>
      <c r="E376" s="88" t="s">
        <v>889</v>
      </c>
      <c r="F376" s="88">
        <v>0</v>
      </c>
      <c r="G376" s="88">
        <v>0</v>
      </c>
      <c r="H376" s="88">
        <v>0</v>
      </c>
      <c r="I376" s="88">
        <v>0</v>
      </c>
      <c r="J376" s="88">
        <v>0</v>
      </c>
      <c r="K376" s="88">
        <v>0</v>
      </c>
      <c r="L376" s="88">
        <v>0</v>
      </c>
      <c r="M376" s="88">
        <v>0</v>
      </c>
      <c r="N376" s="88">
        <v>0</v>
      </c>
      <c r="O376" s="88">
        <v>0</v>
      </c>
      <c r="P376" s="88">
        <v>0</v>
      </c>
      <c r="Q376" s="88">
        <v>0</v>
      </c>
      <c r="R376" s="88">
        <v>0</v>
      </c>
      <c r="S376" s="88">
        <f t="shared" si="5"/>
        <v>0</v>
      </c>
    </row>
    <row r="377" spans="1:19" x14ac:dyDescent="0.3">
      <c r="A377" s="195">
        <v>860</v>
      </c>
      <c r="B377" s="177" t="s">
        <v>162</v>
      </c>
      <c r="C377" s="177" t="s">
        <v>163</v>
      </c>
      <c r="D377" s="201" t="s">
        <v>890</v>
      </c>
      <c r="E377" s="88" t="s">
        <v>891</v>
      </c>
      <c r="F377" s="88">
        <v>0</v>
      </c>
      <c r="G377" s="88">
        <v>0</v>
      </c>
      <c r="H377" s="88">
        <v>0</v>
      </c>
      <c r="I377" s="88">
        <v>0</v>
      </c>
      <c r="J377" s="88">
        <v>0</v>
      </c>
      <c r="K377" s="88">
        <v>0</v>
      </c>
      <c r="L377" s="88">
        <v>0</v>
      </c>
      <c r="M377" s="88">
        <v>0</v>
      </c>
      <c r="N377" s="88">
        <v>0</v>
      </c>
      <c r="O377" s="88">
        <v>0</v>
      </c>
      <c r="P377" s="88">
        <v>0</v>
      </c>
      <c r="Q377" s="88">
        <v>0</v>
      </c>
      <c r="R377" s="88">
        <v>0</v>
      </c>
      <c r="S377" s="88">
        <f t="shared" si="5"/>
        <v>0</v>
      </c>
    </row>
    <row r="378" spans="1:19" x14ac:dyDescent="0.3">
      <c r="A378" s="195">
        <v>861</v>
      </c>
      <c r="B378" s="177" t="s">
        <v>162</v>
      </c>
      <c r="C378" s="177" t="s">
        <v>163</v>
      </c>
      <c r="D378" s="201" t="s">
        <v>892</v>
      </c>
      <c r="E378" s="88" t="s">
        <v>893</v>
      </c>
      <c r="F378" s="88">
        <v>0</v>
      </c>
      <c r="G378" s="88">
        <v>0</v>
      </c>
      <c r="H378" s="88">
        <v>0</v>
      </c>
      <c r="I378" s="88">
        <v>0</v>
      </c>
      <c r="J378" s="88">
        <v>0</v>
      </c>
      <c r="K378" s="88">
        <v>0</v>
      </c>
      <c r="L378" s="88">
        <v>0</v>
      </c>
      <c r="M378" s="88">
        <v>0</v>
      </c>
      <c r="N378" s="88">
        <v>0</v>
      </c>
      <c r="O378" s="88">
        <v>0</v>
      </c>
      <c r="P378" s="88">
        <v>0</v>
      </c>
      <c r="Q378" s="88">
        <v>0</v>
      </c>
      <c r="R378" s="88">
        <v>0</v>
      </c>
      <c r="S378" s="88">
        <f t="shared" si="5"/>
        <v>0</v>
      </c>
    </row>
    <row r="379" spans="1:19" x14ac:dyDescent="0.3">
      <c r="A379" s="195">
        <v>862</v>
      </c>
      <c r="B379" s="177" t="s">
        <v>162</v>
      </c>
      <c r="C379" s="177" t="s">
        <v>163</v>
      </c>
      <c r="D379" s="201" t="s">
        <v>894</v>
      </c>
      <c r="E379" s="88" t="s">
        <v>895</v>
      </c>
      <c r="F379" s="88">
        <v>0</v>
      </c>
      <c r="G379" s="88">
        <v>0</v>
      </c>
      <c r="H379" s="88">
        <v>0</v>
      </c>
      <c r="I379" s="88">
        <v>0</v>
      </c>
      <c r="J379" s="88">
        <v>0</v>
      </c>
      <c r="K379" s="88">
        <v>0</v>
      </c>
      <c r="L379" s="88">
        <v>0</v>
      </c>
      <c r="M379" s="88">
        <v>0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f t="shared" si="5"/>
        <v>0</v>
      </c>
    </row>
    <row r="380" spans="1:19" x14ac:dyDescent="0.3">
      <c r="A380" s="195">
        <v>863</v>
      </c>
      <c r="B380" s="177" t="s">
        <v>162</v>
      </c>
      <c r="C380" s="177" t="s">
        <v>163</v>
      </c>
      <c r="D380" s="201" t="s">
        <v>896</v>
      </c>
      <c r="E380" s="88" t="s">
        <v>897</v>
      </c>
      <c r="F380" s="88">
        <v>0</v>
      </c>
      <c r="G380" s="88">
        <v>0</v>
      </c>
      <c r="H380" s="88">
        <v>0</v>
      </c>
      <c r="I380" s="88">
        <v>0</v>
      </c>
      <c r="J380" s="88">
        <v>0</v>
      </c>
      <c r="K380" s="88">
        <v>0</v>
      </c>
      <c r="L380" s="88">
        <v>0</v>
      </c>
      <c r="M380" s="88">
        <v>0</v>
      </c>
      <c r="N380" s="88">
        <v>0</v>
      </c>
      <c r="O380" s="88">
        <v>0</v>
      </c>
      <c r="P380" s="88">
        <v>0</v>
      </c>
      <c r="Q380" s="88">
        <v>0</v>
      </c>
      <c r="R380" s="88">
        <v>0</v>
      </c>
      <c r="S380" s="88">
        <f t="shared" si="5"/>
        <v>0</v>
      </c>
    </row>
    <row r="381" spans="1:19" x14ac:dyDescent="0.3">
      <c r="A381" s="195">
        <v>864</v>
      </c>
      <c r="B381" s="177" t="s">
        <v>162</v>
      </c>
      <c r="C381" s="177" t="s">
        <v>163</v>
      </c>
      <c r="D381" s="201" t="s">
        <v>898</v>
      </c>
      <c r="E381" s="88" t="s">
        <v>899</v>
      </c>
      <c r="F381" s="88">
        <v>0</v>
      </c>
      <c r="G381" s="88">
        <v>0</v>
      </c>
      <c r="H381" s="88">
        <v>0</v>
      </c>
      <c r="I381" s="88">
        <v>0</v>
      </c>
      <c r="J381" s="88">
        <v>0</v>
      </c>
      <c r="K381" s="88">
        <v>0</v>
      </c>
      <c r="L381" s="88">
        <v>0</v>
      </c>
      <c r="M381" s="88">
        <v>0</v>
      </c>
      <c r="N381" s="88">
        <v>0</v>
      </c>
      <c r="O381" s="88">
        <v>0</v>
      </c>
      <c r="P381" s="88">
        <v>0</v>
      </c>
      <c r="Q381" s="88">
        <v>0</v>
      </c>
      <c r="R381" s="88">
        <v>0</v>
      </c>
      <c r="S381" s="88">
        <f t="shared" si="5"/>
        <v>0</v>
      </c>
    </row>
    <row r="382" spans="1:19" x14ac:dyDescent="0.3">
      <c r="A382" s="195">
        <v>865</v>
      </c>
      <c r="B382" s="177" t="s">
        <v>162</v>
      </c>
      <c r="C382" s="177" t="s">
        <v>163</v>
      </c>
      <c r="D382" s="201" t="s">
        <v>900</v>
      </c>
      <c r="E382" s="88" t="s">
        <v>901</v>
      </c>
      <c r="F382" s="88">
        <v>0</v>
      </c>
      <c r="G382" s="88">
        <v>0</v>
      </c>
      <c r="H382" s="88">
        <v>0</v>
      </c>
      <c r="I382" s="88">
        <v>0</v>
      </c>
      <c r="J382" s="88">
        <v>0</v>
      </c>
      <c r="K382" s="88">
        <v>0</v>
      </c>
      <c r="L382" s="88">
        <v>0</v>
      </c>
      <c r="M382" s="88">
        <v>0</v>
      </c>
      <c r="N382" s="88">
        <v>0</v>
      </c>
      <c r="O382" s="88">
        <v>0</v>
      </c>
      <c r="P382" s="88">
        <v>0</v>
      </c>
      <c r="Q382" s="88">
        <v>0</v>
      </c>
      <c r="R382" s="88">
        <v>0</v>
      </c>
      <c r="S382" s="88">
        <f t="shared" si="5"/>
        <v>0</v>
      </c>
    </row>
    <row r="383" spans="1:19" x14ac:dyDescent="0.3">
      <c r="A383" s="195">
        <v>866</v>
      </c>
      <c r="B383" s="177" t="s">
        <v>162</v>
      </c>
      <c r="C383" s="177" t="s">
        <v>163</v>
      </c>
      <c r="D383" s="201" t="s">
        <v>902</v>
      </c>
      <c r="E383" s="88" t="s">
        <v>903</v>
      </c>
      <c r="F383" s="88">
        <v>0</v>
      </c>
      <c r="G383" s="88">
        <v>0</v>
      </c>
      <c r="H383" s="88">
        <v>0</v>
      </c>
      <c r="I383" s="88">
        <v>0</v>
      </c>
      <c r="J383" s="88">
        <v>0</v>
      </c>
      <c r="K383" s="88">
        <v>0</v>
      </c>
      <c r="L383" s="88">
        <v>0</v>
      </c>
      <c r="M383" s="88">
        <v>0</v>
      </c>
      <c r="N383" s="88">
        <v>0</v>
      </c>
      <c r="O383" s="88">
        <v>0</v>
      </c>
      <c r="P383" s="88">
        <v>0</v>
      </c>
      <c r="Q383" s="88">
        <v>0</v>
      </c>
      <c r="R383" s="88">
        <v>0</v>
      </c>
      <c r="S383" s="88">
        <f t="shared" si="5"/>
        <v>0</v>
      </c>
    </row>
    <row r="384" spans="1:19" x14ac:dyDescent="0.3">
      <c r="A384" s="195">
        <v>867</v>
      </c>
      <c r="B384" s="177" t="s">
        <v>162</v>
      </c>
      <c r="C384" s="177" t="s">
        <v>163</v>
      </c>
      <c r="D384" s="201" t="s">
        <v>904</v>
      </c>
      <c r="E384" s="88" t="s">
        <v>905</v>
      </c>
      <c r="F384" s="88">
        <v>0</v>
      </c>
      <c r="G384" s="88">
        <v>0</v>
      </c>
      <c r="H384" s="88">
        <v>0</v>
      </c>
      <c r="I384" s="88">
        <v>0</v>
      </c>
      <c r="J384" s="88">
        <v>0</v>
      </c>
      <c r="K384" s="88">
        <v>0</v>
      </c>
      <c r="L384" s="88">
        <v>0</v>
      </c>
      <c r="M384" s="88">
        <v>0</v>
      </c>
      <c r="N384" s="88">
        <v>0</v>
      </c>
      <c r="O384" s="88">
        <v>0</v>
      </c>
      <c r="P384" s="88">
        <v>0</v>
      </c>
      <c r="Q384" s="88">
        <v>0</v>
      </c>
      <c r="R384" s="88">
        <v>0</v>
      </c>
      <c r="S384" s="88">
        <f t="shared" si="5"/>
        <v>0</v>
      </c>
    </row>
    <row r="385" spans="1:19" x14ac:dyDescent="0.3">
      <c r="A385" s="195">
        <v>870</v>
      </c>
      <c r="B385" s="177" t="s">
        <v>162</v>
      </c>
      <c r="C385" s="177" t="s">
        <v>163</v>
      </c>
      <c r="D385" s="201" t="s">
        <v>906</v>
      </c>
      <c r="E385" s="88" t="s">
        <v>907</v>
      </c>
      <c r="F385" s="88">
        <v>0</v>
      </c>
      <c r="G385" s="88">
        <v>0</v>
      </c>
      <c r="H385" s="88">
        <v>0</v>
      </c>
      <c r="I385" s="88">
        <v>0</v>
      </c>
      <c r="J385" s="88">
        <v>0</v>
      </c>
      <c r="K385" s="88">
        <v>0</v>
      </c>
      <c r="L385" s="88">
        <v>0</v>
      </c>
      <c r="M385" s="88">
        <v>0</v>
      </c>
      <c r="N385" s="88">
        <v>0</v>
      </c>
      <c r="O385" s="88">
        <v>0</v>
      </c>
      <c r="P385" s="88">
        <v>0</v>
      </c>
      <c r="Q385" s="88">
        <v>0</v>
      </c>
      <c r="R385" s="88">
        <v>0</v>
      </c>
      <c r="S385" s="88">
        <f t="shared" si="5"/>
        <v>0</v>
      </c>
    </row>
    <row r="386" spans="1:19" x14ac:dyDescent="0.3">
      <c r="A386" s="195">
        <v>871</v>
      </c>
      <c r="B386" s="177" t="s">
        <v>162</v>
      </c>
      <c r="C386" s="177" t="s">
        <v>163</v>
      </c>
      <c r="D386" s="201" t="s">
        <v>908</v>
      </c>
      <c r="E386" s="88" t="s">
        <v>909</v>
      </c>
      <c r="F386" s="88">
        <v>0</v>
      </c>
      <c r="G386" s="88">
        <v>0</v>
      </c>
      <c r="H386" s="88">
        <v>0</v>
      </c>
      <c r="I386" s="88">
        <v>0</v>
      </c>
      <c r="J386" s="88">
        <v>0</v>
      </c>
      <c r="K386" s="88">
        <v>0</v>
      </c>
      <c r="L386" s="88">
        <v>0</v>
      </c>
      <c r="M386" s="88">
        <v>0</v>
      </c>
      <c r="N386" s="88">
        <v>0</v>
      </c>
      <c r="O386" s="88">
        <v>0</v>
      </c>
      <c r="P386" s="88">
        <v>0</v>
      </c>
      <c r="Q386" s="88">
        <v>0</v>
      </c>
      <c r="R386" s="88">
        <v>0</v>
      </c>
      <c r="S386" s="88">
        <f t="shared" si="5"/>
        <v>0</v>
      </c>
    </row>
    <row r="387" spans="1:19" x14ac:dyDescent="0.3">
      <c r="A387" s="195">
        <v>872</v>
      </c>
      <c r="B387" s="177" t="s">
        <v>162</v>
      </c>
      <c r="C387" s="177" t="s">
        <v>163</v>
      </c>
      <c r="D387" s="201" t="s">
        <v>910</v>
      </c>
      <c r="E387" s="88" t="s">
        <v>911</v>
      </c>
      <c r="F387" s="88">
        <v>0</v>
      </c>
      <c r="G387" s="88">
        <v>0</v>
      </c>
      <c r="H387" s="88">
        <v>0</v>
      </c>
      <c r="I387" s="88">
        <v>0</v>
      </c>
      <c r="J387" s="88">
        <v>0</v>
      </c>
      <c r="K387" s="88">
        <v>0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0</v>
      </c>
      <c r="S387" s="88">
        <f t="shared" si="5"/>
        <v>0</v>
      </c>
    </row>
    <row r="388" spans="1:19" x14ac:dyDescent="0.3">
      <c r="A388" s="195">
        <v>873</v>
      </c>
      <c r="B388" s="177" t="s">
        <v>162</v>
      </c>
      <c r="C388" s="177" t="s">
        <v>163</v>
      </c>
      <c r="D388" s="201" t="s">
        <v>912</v>
      </c>
      <c r="E388" s="88" t="s">
        <v>913</v>
      </c>
      <c r="F388" s="88">
        <v>0</v>
      </c>
      <c r="G388" s="88">
        <v>0</v>
      </c>
      <c r="H388" s="88">
        <v>0</v>
      </c>
      <c r="I388" s="88">
        <v>0</v>
      </c>
      <c r="J388" s="88">
        <v>0</v>
      </c>
      <c r="K388" s="88">
        <v>0</v>
      </c>
      <c r="L388" s="88">
        <v>0</v>
      </c>
      <c r="M388" s="88">
        <v>0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f t="shared" si="5"/>
        <v>0</v>
      </c>
    </row>
    <row r="389" spans="1:19" x14ac:dyDescent="0.3">
      <c r="A389" s="195">
        <v>874</v>
      </c>
      <c r="B389" s="177" t="s">
        <v>162</v>
      </c>
      <c r="C389" s="177" t="s">
        <v>163</v>
      </c>
      <c r="D389" s="201" t="s">
        <v>914</v>
      </c>
      <c r="E389" s="88" t="s">
        <v>915</v>
      </c>
      <c r="F389" s="88">
        <v>0</v>
      </c>
      <c r="G389" s="88">
        <v>0</v>
      </c>
      <c r="H389" s="88">
        <v>0</v>
      </c>
      <c r="I389" s="88">
        <v>0</v>
      </c>
      <c r="J389" s="88">
        <v>0</v>
      </c>
      <c r="K389" s="88">
        <v>0</v>
      </c>
      <c r="L389" s="88">
        <v>0</v>
      </c>
      <c r="M389" s="88">
        <v>0</v>
      </c>
      <c r="N389" s="88">
        <v>0</v>
      </c>
      <c r="O389" s="88">
        <v>0</v>
      </c>
      <c r="P389" s="88">
        <v>0</v>
      </c>
      <c r="Q389" s="88">
        <v>0</v>
      </c>
      <c r="R389" s="88">
        <v>0</v>
      </c>
      <c r="S389" s="88">
        <f t="shared" si="5"/>
        <v>0</v>
      </c>
    </row>
    <row r="390" spans="1:19" x14ac:dyDescent="0.3">
      <c r="A390" s="195">
        <v>875</v>
      </c>
      <c r="B390" s="177" t="s">
        <v>162</v>
      </c>
      <c r="C390" s="177" t="s">
        <v>163</v>
      </c>
      <c r="D390" s="201" t="s">
        <v>916</v>
      </c>
      <c r="E390" s="88" t="s">
        <v>917</v>
      </c>
      <c r="F390" s="88">
        <v>0</v>
      </c>
      <c r="G390" s="88">
        <v>0</v>
      </c>
      <c r="H390" s="88">
        <v>0</v>
      </c>
      <c r="I390" s="88">
        <v>0</v>
      </c>
      <c r="J390" s="88">
        <v>0</v>
      </c>
      <c r="K390" s="88">
        <v>0</v>
      </c>
      <c r="L390" s="88">
        <v>0</v>
      </c>
      <c r="M390" s="88">
        <v>0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f t="shared" si="5"/>
        <v>0</v>
      </c>
    </row>
    <row r="391" spans="1:19" x14ac:dyDescent="0.3">
      <c r="A391" s="195">
        <v>876</v>
      </c>
      <c r="B391" s="177" t="s">
        <v>162</v>
      </c>
      <c r="C391" s="177" t="s">
        <v>163</v>
      </c>
      <c r="D391" s="201" t="s">
        <v>918</v>
      </c>
      <c r="E391" s="88" t="s">
        <v>919</v>
      </c>
      <c r="F391" s="88">
        <v>0</v>
      </c>
      <c r="G391" s="88">
        <v>0</v>
      </c>
      <c r="H391" s="88">
        <v>0</v>
      </c>
      <c r="I391" s="88">
        <v>0</v>
      </c>
      <c r="J391" s="88">
        <v>0</v>
      </c>
      <c r="K391" s="88">
        <v>0</v>
      </c>
      <c r="L391" s="88">
        <v>0</v>
      </c>
      <c r="M391" s="88">
        <v>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f t="shared" si="5"/>
        <v>0</v>
      </c>
    </row>
    <row r="392" spans="1:19" x14ac:dyDescent="0.3">
      <c r="A392" s="195">
        <v>877</v>
      </c>
      <c r="B392" s="177" t="s">
        <v>162</v>
      </c>
      <c r="C392" s="177" t="s">
        <v>163</v>
      </c>
      <c r="D392" s="201" t="s">
        <v>920</v>
      </c>
      <c r="E392" s="88" t="s">
        <v>921</v>
      </c>
      <c r="F392" s="88">
        <v>0</v>
      </c>
      <c r="G392" s="88">
        <v>0</v>
      </c>
      <c r="H392" s="88">
        <v>0</v>
      </c>
      <c r="I392" s="88">
        <v>0</v>
      </c>
      <c r="J392" s="88">
        <v>0</v>
      </c>
      <c r="K392" s="88">
        <v>0</v>
      </c>
      <c r="L392" s="88">
        <v>0</v>
      </c>
      <c r="M392" s="88">
        <v>0</v>
      </c>
      <c r="N392" s="88">
        <v>0</v>
      </c>
      <c r="O392" s="88">
        <v>0</v>
      </c>
      <c r="P392" s="88">
        <v>0</v>
      </c>
      <c r="Q392" s="88">
        <v>0</v>
      </c>
      <c r="R392" s="88">
        <v>0</v>
      </c>
      <c r="S392" s="88">
        <f t="shared" si="5"/>
        <v>0</v>
      </c>
    </row>
    <row r="393" spans="1:19" x14ac:dyDescent="0.3">
      <c r="A393" s="195">
        <v>878</v>
      </c>
      <c r="B393" s="177" t="s">
        <v>162</v>
      </c>
      <c r="C393" s="177" t="s">
        <v>163</v>
      </c>
      <c r="D393" s="201" t="s">
        <v>922</v>
      </c>
      <c r="E393" s="88" t="s">
        <v>923</v>
      </c>
      <c r="F393" s="88">
        <v>0</v>
      </c>
      <c r="G393" s="88">
        <v>0</v>
      </c>
      <c r="H393" s="88">
        <v>0</v>
      </c>
      <c r="I393" s="88">
        <v>0</v>
      </c>
      <c r="J393" s="88">
        <v>0</v>
      </c>
      <c r="K393" s="88">
        <v>0</v>
      </c>
      <c r="L393" s="88">
        <v>0</v>
      </c>
      <c r="M393" s="88">
        <v>0</v>
      </c>
      <c r="N393" s="88">
        <v>0</v>
      </c>
      <c r="O393" s="88">
        <v>0</v>
      </c>
      <c r="P393" s="88">
        <v>0</v>
      </c>
      <c r="Q393" s="88">
        <v>0</v>
      </c>
      <c r="R393" s="88">
        <v>0</v>
      </c>
      <c r="S393" s="88">
        <f t="shared" si="5"/>
        <v>0</v>
      </c>
    </row>
    <row r="394" spans="1:19" x14ac:dyDescent="0.3">
      <c r="A394" s="195">
        <v>879</v>
      </c>
      <c r="B394" s="177" t="s">
        <v>162</v>
      </c>
      <c r="C394" s="177" t="s">
        <v>163</v>
      </c>
      <c r="D394" s="201" t="s">
        <v>924</v>
      </c>
      <c r="E394" s="88" t="s">
        <v>925</v>
      </c>
      <c r="F394" s="88">
        <v>0</v>
      </c>
      <c r="G394" s="88">
        <v>0</v>
      </c>
      <c r="H394" s="88">
        <v>0</v>
      </c>
      <c r="I394" s="88">
        <v>0</v>
      </c>
      <c r="J394" s="88">
        <v>0</v>
      </c>
      <c r="K394" s="88">
        <v>0</v>
      </c>
      <c r="L394" s="88">
        <v>0</v>
      </c>
      <c r="M394" s="88">
        <v>0</v>
      </c>
      <c r="N394" s="88">
        <v>0</v>
      </c>
      <c r="O394" s="88">
        <v>0</v>
      </c>
      <c r="P394" s="88">
        <v>0</v>
      </c>
      <c r="Q394" s="88">
        <v>0</v>
      </c>
      <c r="R394" s="88">
        <v>0</v>
      </c>
      <c r="S394" s="88">
        <f t="shared" si="5"/>
        <v>0</v>
      </c>
    </row>
    <row r="395" spans="1:19" x14ac:dyDescent="0.3">
      <c r="A395" s="195">
        <v>880</v>
      </c>
      <c r="B395" s="177" t="s">
        <v>162</v>
      </c>
      <c r="C395" s="177" t="s">
        <v>163</v>
      </c>
      <c r="D395" s="201" t="s">
        <v>926</v>
      </c>
      <c r="E395" s="88" t="s">
        <v>927</v>
      </c>
      <c r="F395" s="88">
        <v>0</v>
      </c>
      <c r="G395" s="88">
        <v>0</v>
      </c>
      <c r="H395" s="88">
        <v>0</v>
      </c>
      <c r="I395" s="88">
        <v>0</v>
      </c>
      <c r="J395" s="88">
        <v>0</v>
      </c>
      <c r="K395" s="88">
        <v>0</v>
      </c>
      <c r="L395" s="88">
        <v>0</v>
      </c>
      <c r="M395" s="88">
        <v>0</v>
      </c>
      <c r="N395" s="88">
        <v>0</v>
      </c>
      <c r="O395" s="88">
        <v>0</v>
      </c>
      <c r="P395" s="88">
        <v>0</v>
      </c>
      <c r="Q395" s="88">
        <v>0</v>
      </c>
      <c r="R395" s="88">
        <v>0</v>
      </c>
      <c r="S395" s="88">
        <f t="shared" si="5"/>
        <v>0</v>
      </c>
    </row>
    <row r="396" spans="1:19" x14ac:dyDescent="0.3">
      <c r="A396" s="195">
        <v>881</v>
      </c>
      <c r="B396" s="177" t="s">
        <v>162</v>
      </c>
      <c r="C396" s="177" t="s">
        <v>163</v>
      </c>
      <c r="D396" s="201" t="s">
        <v>928</v>
      </c>
      <c r="E396" s="88" t="s">
        <v>929</v>
      </c>
      <c r="F396" s="88">
        <v>0</v>
      </c>
      <c r="G396" s="88">
        <v>0</v>
      </c>
      <c r="H396" s="88">
        <v>0</v>
      </c>
      <c r="I396" s="88">
        <v>0</v>
      </c>
      <c r="J396" s="88">
        <v>0</v>
      </c>
      <c r="K396" s="88">
        <v>0</v>
      </c>
      <c r="L396" s="88">
        <v>0</v>
      </c>
      <c r="M396" s="88">
        <v>0</v>
      </c>
      <c r="N396" s="88">
        <v>0</v>
      </c>
      <c r="O396" s="88">
        <v>0</v>
      </c>
      <c r="P396" s="88">
        <v>0</v>
      </c>
      <c r="Q396" s="88">
        <v>0</v>
      </c>
      <c r="R396" s="88">
        <v>0</v>
      </c>
      <c r="S396" s="88">
        <f t="shared" si="5"/>
        <v>0</v>
      </c>
    </row>
    <row r="397" spans="1:19" x14ac:dyDescent="0.3">
      <c r="A397" s="195">
        <v>885</v>
      </c>
      <c r="B397" s="177" t="s">
        <v>162</v>
      </c>
      <c r="C397" s="177" t="s">
        <v>163</v>
      </c>
      <c r="D397" s="201" t="s">
        <v>930</v>
      </c>
      <c r="E397" s="88" t="s">
        <v>931</v>
      </c>
      <c r="F397" s="88">
        <v>0</v>
      </c>
      <c r="G397" s="88">
        <v>0</v>
      </c>
      <c r="H397" s="88">
        <v>0</v>
      </c>
      <c r="I397" s="88">
        <v>0</v>
      </c>
      <c r="J397" s="88">
        <v>0</v>
      </c>
      <c r="K397" s="88">
        <v>0</v>
      </c>
      <c r="L397" s="88">
        <v>0</v>
      </c>
      <c r="M397" s="88">
        <v>0</v>
      </c>
      <c r="N397" s="88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f t="shared" si="5"/>
        <v>0</v>
      </c>
    </row>
    <row r="398" spans="1:19" x14ac:dyDescent="0.3">
      <c r="A398" s="195">
        <v>886</v>
      </c>
      <c r="B398" s="177" t="s">
        <v>162</v>
      </c>
      <c r="C398" s="177" t="s">
        <v>163</v>
      </c>
      <c r="D398" s="201" t="s">
        <v>932</v>
      </c>
      <c r="E398" s="88" t="s">
        <v>933</v>
      </c>
      <c r="F398" s="88">
        <v>0</v>
      </c>
      <c r="G398" s="88">
        <v>0</v>
      </c>
      <c r="H398" s="88">
        <v>0</v>
      </c>
      <c r="I398" s="88">
        <v>0</v>
      </c>
      <c r="J398" s="88">
        <v>0</v>
      </c>
      <c r="K398" s="88">
        <v>0</v>
      </c>
      <c r="L398" s="88">
        <v>0</v>
      </c>
      <c r="M398" s="88">
        <v>0</v>
      </c>
      <c r="N398" s="88">
        <v>0</v>
      </c>
      <c r="O398" s="88">
        <v>0</v>
      </c>
      <c r="P398" s="88">
        <v>0</v>
      </c>
      <c r="Q398" s="88">
        <v>0</v>
      </c>
      <c r="R398" s="88">
        <v>0</v>
      </c>
      <c r="S398" s="88">
        <f t="shared" si="5"/>
        <v>0</v>
      </c>
    </row>
    <row r="399" spans="1:19" x14ac:dyDescent="0.3">
      <c r="A399" s="195">
        <v>887</v>
      </c>
      <c r="B399" s="177" t="s">
        <v>162</v>
      </c>
      <c r="C399" s="177" t="s">
        <v>163</v>
      </c>
      <c r="D399" s="201" t="s">
        <v>934</v>
      </c>
      <c r="E399" s="88" t="s">
        <v>935</v>
      </c>
      <c r="F399" s="88">
        <v>0</v>
      </c>
      <c r="G399" s="88">
        <v>0</v>
      </c>
      <c r="H399" s="88">
        <v>0</v>
      </c>
      <c r="I399" s="88">
        <v>0</v>
      </c>
      <c r="J399" s="88">
        <v>0</v>
      </c>
      <c r="K399" s="88">
        <v>0</v>
      </c>
      <c r="L399" s="88">
        <v>0</v>
      </c>
      <c r="M399" s="88">
        <v>0</v>
      </c>
      <c r="N399" s="88">
        <v>0</v>
      </c>
      <c r="O399" s="88">
        <v>0</v>
      </c>
      <c r="P399" s="88">
        <v>0</v>
      </c>
      <c r="Q399" s="88">
        <v>0</v>
      </c>
      <c r="R399" s="88">
        <v>0</v>
      </c>
      <c r="S399" s="88">
        <f t="shared" ref="S399:S462" si="6">SUM(F399:R399)</f>
        <v>0</v>
      </c>
    </row>
    <row r="400" spans="1:19" x14ac:dyDescent="0.3">
      <c r="A400" s="195">
        <v>888</v>
      </c>
      <c r="B400" s="177" t="s">
        <v>162</v>
      </c>
      <c r="C400" s="177" t="s">
        <v>163</v>
      </c>
      <c r="D400" s="201" t="s">
        <v>936</v>
      </c>
      <c r="E400" s="88" t="s">
        <v>937</v>
      </c>
      <c r="F400" s="88">
        <v>0</v>
      </c>
      <c r="G400" s="88">
        <v>0</v>
      </c>
      <c r="H400" s="88">
        <v>0</v>
      </c>
      <c r="I400" s="88">
        <v>0</v>
      </c>
      <c r="J400" s="88">
        <v>0</v>
      </c>
      <c r="K400" s="88">
        <v>0</v>
      </c>
      <c r="L400" s="88">
        <v>0</v>
      </c>
      <c r="M400" s="88">
        <v>0</v>
      </c>
      <c r="N400" s="88">
        <v>0</v>
      </c>
      <c r="O400" s="88">
        <v>0</v>
      </c>
      <c r="P400" s="88">
        <v>0</v>
      </c>
      <c r="Q400" s="88">
        <v>0</v>
      </c>
      <c r="R400" s="88">
        <v>0</v>
      </c>
      <c r="S400" s="88">
        <f t="shared" si="6"/>
        <v>0</v>
      </c>
    </row>
    <row r="401" spans="1:19" x14ac:dyDescent="0.3">
      <c r="A401" s="195">
        <v>889</v>
      </c>
      <c r="B401" s="177" t="s">
        <v>162</v>
      </c>
      <c r="C401" s="177" t="s">
        <v>163</v>
      </c>
      <c r="D401" s="201" t="s">
        <v>938</v>
      </c>
      <c r="E401" s="88" t="s">
        <v>939</v>
      </c>
      <c r="F401" s="88">
        <v>0</v>
      </c>
      <c r="G401" s="88">
        <v>0</v>
      </c>
      <c r="H401" s="88">
        <v>0</v>
      </c>
      <c r="I401" s="88">
        <v>0</v>
      </c>
      <c r="J401" s="88">
        <v>0</v>
      </c>
      <c r="K401" s="88">
        <v>0</v>
      </c>
      <c r="L401" s="88">
        <v>0</v>
      </c>
      <c r="M401" s="88">
        <v>0</v>
      </c>
      <c r="N401" s="88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f t="shared" si="6"/>
        <v>0</v>
      </c>
    </row>
    <row r="402" spans="1:19" x14ac:dyDescent="0.3">
      <c r="A402" s="195">
        <v>890</v>
      </c>
      <c r="B402" s="177" t="s">
        <v>162</v>
      </c>
      <c r="C402" s="177" t="s">
        <v>163</v>
      </c>
      <c r="D402" s="201" t="s">
        <v>940</v>
      </c>
      <c r="E402" s="88" t="s">
        <v>941</v>
      </c>
      <c r="F402" s="88">
        <v>0</v>
      </c>
      <c r="G402" s="88">
        <v>0</v>
      </c>
      <c r="H402" s="88">
        <v>0</v>
      </c>
      <c r="I402" s="88">
        <v>0</v>
      </c>
      <c r="J402" s="88">
        <v>0</v>
      </c>
      <c r="K402" s="88">
        <v>0</v>
      </c>
      <c r="L402" s="88">
        <v>0</v>
      </c>
      <c r="M402" s="88">
        <v>0</v>
      </c>
      <c r="N402" s="88">
        <v>0</v>
      </c>
      <c r="O402" s="88">
        <v>0</v>
      </c>
      <c r="P402" s="88">
        <v>0</v>
      </c>
      <c r="Q402" s="88">
        <v>0</v>
      </c>
      <c r="R402" s="88">
        <v>0</v>
      </c>
      <c r="S402" s="88">
        <f t="shared" si="6"/>
        <v>0</v>
      </c>
    </row>
    <row r="403" spans="1:19" x14ac:dyDescent="0.3">
      <c r="A403" s="195">
        <v>891</v>
      </c>
      <c r="B403" s="177" t="s">
        <v>162</v>
      </c>
      <c r="C403" s="177" t="s">
        <v>163</v>
      </c>
      <c r="D403" s="201" t="s">
        <v>942</v>
      </c>
      <c r="E403" s="88" t="s">
        <v>943</v>
      </c>
      <c r="F403" s="88">
        <v>0</v>
      </c>
      <c r="G403" s="88">
        <v>0</v>
      </c>
      <c r="H403" s="88">
        <v>0</v>
      </c>
      <c r="I403" s="88">
        <v>0</v>
      </c>
      <c r="J403" s="88">
        <v>0</v>
      </c>
      <c r="K403" s="88">
        <v>0</v>
      </c>
      <c r="L403" s="88">
        <v>0</v>
      </c>
      <c r="M403" s="88">
        <v>0</v>
      </c>
      <c r="N403" s="88">
        <v>0</v>
      </c>
      <c r="O403" s="88">
        <v>0</v>
      </c>
      <c r="P403" s="88">
        <v>0</v>
      </c>
      <c r="Q403" s="88">
        <v>0</v>
      </c>
      <c r="R403" s="88">
        <v>0</v>
      </c>
      <c r="S403" s="88">
        <f t="shared" si="6"/>
        <v>0</v>
      </c>
    </row>
    <row r="404" spans="1:19" x14ac:dyDescent="0.3">
      <c r="A404" s="195">
        <v>892</v>
      </c>
      <c r="B404" s="177" t="s">
        <v>162</v>
      </c>
      <c r="C404" s="177" t="s">
        <v>163</v>
      </c>
      <c r="D404" s="201" t="s">
        <v>944</v>
      </c>
      <c r="E404" s="88" t="s">
        <v>945</v>
      </c>
      <c r="F404" s="88">
        <v>0</v>
      </c>
      <c r="G404" s="88">
        <v>0</v>
      </c>
      <c r="H404" s="88">
        <v>0</v>
      </c>
      <c r="I404" s="88">
        <v>0</v>
      </c>
      <c r="J404" s="88">
        <v>0</v>
      </c>
      <c r="K404" s="88">
        <v>0</v>
      </c>
      <c r="L404" s="88">
        <v>0</v>
      </c>
      <c r="M404" s="88">
        <v>0</v>
      </c>
      <c r="N404" s="88">
        <v>0</v>
      </c>
      <c r="O404" s="88">
        <v>0</v>
      </c>
      <c r="P404" s="88">
        <v>0</v>
      </c>
      <c r="Q404" s="88">
        <v>0</v>
      </c>
      <c r="R404" s="88">
        <v>0</v>
      </c>
      <c r="S404" s="88">
        <f t="shared" si="6"/>
        <v>0</v>
      </c>
    </row>
    <row r="405" spans="1:19" x14ac:dyDescent="0.3">
      <c r="A405" s="195">
        <v>893</v>
      </c>
      <c r="B405" s="177" t="s">
        <v>162</v>
      </c>
      <c r="C405" s="177" t="s">
        <v>163</v>
      </c>
      <c r="D405" s="201" t="s">
        <v>946</v>
      </c>
      <c r="E405" s="88" t="s">
        <v>947</v>
      </c>
      <c r="F405" s="88">
        <v>0</v>
      </c>
      <c r="G405" s="88">
        <v>0</v>
      </c>
      <c r="H405" s="88">
        <v>0</v>
      </c>
      <c r="I405" s="88">
        <v>0</v>
      </c>
      <c r="J405" s="88">
        <v>0</v>
      </c>
      <c r="K405" s="88">
        <v>0</v>
      </c>
      <c r="L405" s="88">
        <v>0</v>
      </c>
      <c r="M405" s="88">
        <v>0</v>
      </c>
      <c r="N405" s="88">
        <v>0</v>
      </c>
      <c r="O405" s="88">
        <v>0</v>
      </c>
      <c r="P405" s="88">
        <v>0</v>
      </c>
      <c r="Q405" s="88">
        <v>0</v>
      </c>
      <c r="R405" s="88">
        <v>0</v>
      </c>
      <c r="S405" s="88">
        <f t="shared" si="6"/>
        <v>0</v>
      </c>
    </row>
    <row r="406" spans="1:19" x14ac:dyDescent="0.3">
      <c r="A406" s="195">
        <v>894</v>
      </c>
      <c r="B406" s="177" t="s">
        <v>162</v>
      </c>
      <c r="C406" s="177" t="s">
        <v>163</v>
      </c>
      <c r="D406" s="201" t="s">
        <v>948</v>
      </c>
      <c r="E406" s="88" t="s">
        <v>949</v>
      </c>
      <c r="F406" s="88">
        <v>0</v>
      </c>
      <c r="G406" s="88">
        <v>0</v>
      </c>
      <c r="H406" s="88">
        <v>0</v>
      </c>
      <c r="I406" s="88">
        <v>0</v>
      </c>
      <c r="J406" s="88">
        <v>0</v>
      </c>
      <c r="K406" s="88">
        <v>0</v>
      </c>
      <c r="L406" s="88">
        <v>0</v>
      </c>
      <c r="M406" s="88">
        <v>0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f t="shared" si="6"/>
        <v>0</v>
      </c>
    </row>
    <row r="407" spans="1:19" x14ac:dyDescent="0.3">
      <c r="A407" s="195">
        <v>901</v>
      </c>
      <c r="B407" s="177" t="s">
        <v>162</v>
      </c>
      <c r="C407" s="177" t="s">
        <v>163</v>
      </c>
      <c r="D407" s="201" t="s">
        <v>950</v>
      </c>
      <c r="E407" s="88" t="s">
        <v>951</v>
      </c>
      <c r="F407" s="88">
        <v>0</v>
      </c>
      <c r="G407" s="88">
        <v>0</v>
      </c>
      <c r="H407" s="88">
        <v>0</v>
      </c>
      <c r="I407" s="88">
        <v>0</v>
      </c>
      <c r="J407" s="88">
        <v>0</v>
      </c>
      <c r="K407" s="88">
        <v>0</v>
      </c>
      <c r="L407" s="88">
        <v>0</v>
      </c>
      <c r="M407" s="88">
        <v>0</v>
      </c>
      <c r="N407" s="88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f t="shared" si="6"/>
        <v>0</v>
      </c>
    </row>
    <row r="408" spans="1:19" x14ac:dyDescent="0.3">
      <c r="A408" s="195">
        <v>902</v>
      </c>
      <c r="B408" s="177" t="s">
        <v>162</v>
      </c>
      <c r="C408" s="177" t="s">
        <v>163</v>
      </c>
      <c r="D408" s="201" t="s">
        <v>952</v>
      </c>
      <c r="E408" s="88" t="s">
        <v>953</v>
      </c>
      <c r="F408" s="88">
        <v>0</v>
      </c>
      <c r="G408" s="88">
        <v>431185.06006809999</v>
      </c>
      <c r="H408" s="88">
        <v>302261.96785219997</v>
      </c>
      <c r="I408" s="88">
        <v>287542.43879819999</v>
      </c>
      <c r="J408" s="88">
        <v>457231.26276239997</v>
      </c>
      <c r="K408" s="88">
        <v>304915.48686260002</v>
      </c>
      <c r="L408" s="88">
        <v>312722.44296880002</v>
      </c>
      <c r="M408" s="88">
        <v>444291.44127439999</v>
      </c>
      <c r="N408" s="88">
        <v>352215.14415459998</v>
      </c>
      <c r="O408" s="88">
        <v>328748.37724160001</v>
      </c>
      <c r="P408" s="88">
        <v>438645.30197069998</v>
      </c>
      <c r="Q408" s="88">
        <v>387580.47074060002</v>
      </c>
      <c r="R408" s="88">
        <v>347086.8997214</v>
      </c>
      <c r="S408" s="88">
        <f t="shared" si="6"/>
        <v>4394426.2944155997</v>
      </c>
    </row>
    <row r="409" spans="1:19" x14ac:dyDescent="0.3">
      <c r="A409" s="195">
        <v>903</v>
      </c>
      <c r="B409" s="177" t="s">
        <v>162</v>
      </c>
      <c r="C409" s="177" t="s">
        <v>163</v>
      </c>
      <c r="D409" s="201" t="s">
        <v>954</v>
      </c>
      <c r="E409" s="88" t="s">
        <v>955</v>
      </c>
      <c r="F409" s="88">
        <v>0</v>
      </c>
      <c r="G409" s="88">
        <v>2483466.9503064002</v>
      </c>
      <c r="H409" s="88">
        <v>2272770.0009331</v>
      </c>
      <c r="I409" s="88">
        <v>2329379.214036</v>
      </c>
      <c r="J409" s="88">
        <v>2368584.2230767999</v>
      </c>
      <c r="K409" s="88">
        <v>2629683.3095717002</v>
      </c>
      <c r="L409" s="88">
        <v>2346298.4262504</v>
      </c>
      <c r="M409" s="88">
        <v>2460088.0544249001</v>
      </c>
      <c r="N409" s="88">
        <v>2452091.9577934002</v>
      </c>
      <c r="O409" s="88">
        <v>2394935.7240089001</v>
      </c>
      <c r="P409" s="88">
        <v>2450814.7907750998</v>
      </c>
      <c r="Q409" s="88">
        <v>2541841.2027588999</v>
      </c>
      <c r="R409" s="88">
        <v>2444298.2362452</v>
      </c>
      <c r="S409" s="88">
        <f t="shared" si="6"/>
        <v>29174252.090180799</v>
      </c>
    </row>
    <row r="410" spans="1:19" x14ac:dyDescent="0.3">
      <c r="A410" s="195">
        <v>904</v>
      </c>
      <c r="B410" s="177" t="s">
        <v>162</v>
      </c>
      <c r="C410" s="177" t="s">
        <v>163</v>
      </c>
      <c r="D410" s="201" t="s">
        <v>956</v>
      </c>
      <c r="E410" s="88" t="s">
        <v>957</v>
      </c>
      <c r="F410" s="88">
        <v>0</v>
      </c>
      <c r="G410" s="88">
        <v>574632.5389711</v>
      </c>
      <c r="H410" s="88">
        <v>486320.32511149999</v>
      </c>
      <c r="I410" s="88">
        <v>451292.05330159998</v>
      </c>
      <c r="J410" s="88">
        <v>518358.93154309998</v>
      </c>
      <c r="K410" s="88">
        <v>483819.8039837</v>
      </c>
      <c r="L410" s="88">
        <v>486213.10342890001</v>
      </c>
      <c r="M410" s="88">
        <v>495813.26185110002</v>
      </c>
      <c r="N410" s="88">
        <v>457544.74031700002</v>
      </c>
      <c r="O410" s="88">
        <v>565906.79020469997</v>
      </c>
      <c r="P410" s="88">
        <v>510622.59346930002</v>
      </c>
      <c r="Q410" s="88">
        <v>488866.29032089998</v>
      </c>
      <c r="R410" s="88">
        <v>562792.63471110002</v>
      </c>
      <c r="S410" s="88">
        <f t="shared" si="6"/>
        <v>6082183.067214001</v>
      </c>
    </row>
    <row r="411" spans="1:19" x14ac:dyDescent="0.3">
      <c r="A411" s="195">
        <v>905</v>
      </c>
      <c r="B411" s="177" t="s">
        <v>162</v>
      </c>
      <c r="C411" s="177" t="s">
        <v>163</v>
      </c>
      <c r="D411" s="201" t="s">
        <v>958</v>
      </c>
      <c r="E411" s="88" t="s">
        <v>959</v>
      </c>
      <c r="F411" s="88">
        <v>0</v>
      </c>
      <c r="G411" s="88">
        <v>0</v>
      </c>
      <c r="H411" s="88">
        <v>0</v>
      </c>
      <c r="I411" s="88">
        <v>0</v>
      </c>
      <c r="J411" s="88">
        <v>0</v>
      </c>
      <c r="K411" s="88">
        <v>0</v>
      </c>
      <c r="L411" s="88">
        <v>0</v>
      </c>
      <c r="M411" s="88">
        <v>0</v>
      </c>
      <c r="N411" s="88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f t="shared" si="6"/>
        <v>0</v>
      </c>
    </row>
    <row r="412" spans="1:19" x14ac:dyDescent="0.3">
      <c r="A412" s="195">
        <v>907</v>
      </c>
      <c r="B412" s="177" t="s">
        <v>162</v>
      </c>
      <c r="C412" s="177" t="s">
        <v>163</v>
      </c>
      <c r="D412" s="201" t="s">
        <v>960</v>
      </c>
      <c r="E412" s="88" t="s">
        <v>961</v>
      </c>
      <c r="F412" s="88">
        <v>0</v>
      </c>
      <c r="G412" s="88">
        <v>0</v>
      </c>
      <c r="H412" s="88">
        <v>0</v>
      </c>
      <c r="I412" s="88">
        <v>0</v>
      </c>
      <c r="J412" s="88">
        <v>0</v>
      </c>
      <c r="K412" s="88">
        <v>0</v>
      </c>
      <c r="L412" s="88">
        <v>0</v>
      </c>
      <c r="M412" s="88">
        <v>0</v>
      </c>
      <c r="N412" s="88">
        <v>0</v>
      </c>
      <c r="O412" s="88">
        <v>0</v>
      </c>
      <c r="P412" s="88">
        <v>0</v>
      </c>
      <c r="Q412" s="88">
        <v>0</v>
      </c>
      <c r="R412" s="88">
        <v>0</v>
      </c>
      <c r="S412" s="88">
        <f t="shared" si="6"/>
        <v>0</v>
      </c>
    </row>
    <row r="413" spans="1:19" x14ac:dyDescent="0.3">
      <c r="A413" s="195">
        <v>908</v>
      </c>
      <c r="B413" s="177" t="s">
        <v>162</v>
      </c>
      <c r="C413" s="177" t="s">
        <v>163</v>
      </c>
      <c r="D413" s="201" t="s">
        <v>962</v>
      </c>
      <c r="E413" s="88" t="s">
        <v>93</v>
      </c>
      <c r="F413" s="88">
        <v>0</v>
      </c>
      <c r="G413" s="88">
        <v>3579869.3087904998</v>
      </c>
      <c r="H413" s="88">
        <v>3539137.8221676</v>
      </c>
      <c r="I413" s="88">
        <v>3622185.9023731998</v>
      </c>
      <c r="J413" s="88">
        <v>3873680.7755443002</v>
      </c>
      <c r="K413" s="88">
        <v>3634030.2879094002</v>
      </c>
      <c r="L413" s="88">
        <v>3584067.0757203</v>
      </c>
      <c r="M413" s="88">
        <v>4170102.9644018998</v>
      </c>
      <c r="N413" s="88">
        <v>3702059.5731652998</v>
      </c>
      <c r="O413" s="88">
        <v>3809253.8641388998</v>
      </c>
      <c r="P413" s="88">
        <v>3615984.0325215999</v>
      </c>
      <c r="Q413" s="88">
        <v>3588357.3560906998</v>
      </c>
      <c r="R413" s="88">
        <v>3610478.2141871001</v>
      </c>
      <c r="S413" s="88">
        <f t="shared" si="6"/>
        <v>44329207.177010804</v>
      </c>
    </row>
    <row r="414" spans="1:19" x14ac:dyDescent="0.3">
      <c r="A414" s="195">
        <v>909</v>
      </c>
      <c r="B414" s="177" t="s">
        <v>162</v>
      </c>
      <c r="C414" s="177" t="s">
        <v>163</v>
      </c>
      <c r="D414" s="201" t="s">
        <v>963</v>
      </c>
      <c r="E414" s="88" t="s">
        <v>964</v>
      </c>
      <c r="F414" s="88">
        <v>0</v>
      </c>
      <c r="G414" s="88">
        <v>335519.98</v>
      </c>
      <c r="H414" s="88">
        <v>332866.28000000003</v>
      </c>
      <c r="I414" s="88">
        <v>583801.98</v>
      </c>
      <c r="J414" s="88">
        <v>309218.17</v>
      </c>
      <c r="K414" s="88">
        <v>322337.71154230001</v>
      </c>
      <c r="L414" s="88">
        <v>292878.48</v>
      </c>
      <c r="M414" s="88">
        <v>460886.78</v>
      </c>
      <c r="N414" s="88">
        <v>625506.98</v>
      </c>
      <c r="O414" s="88">
        <v>429116.3</v>
      </c>
      <c r="P414" s="88">
        <v>396535.78</v>
      </c>
      <c r="Q414" s="88">
        <v>193285.98</v>
      </c>
      <c r="R414" s="88">
        <v>153403.5066811</v>
      </c>
      <c r="S414" s="88">
        <f t="shared" si="6"/>
        <v>4435357.9282233994</v>
      </c>
    </row>
    <row r="415" spans="1:19" x14ac:dyDescent="0.3">
      <c r="A415" s="195">
        <v>910</v>
      </c>
      <c r="B415" s="177" t="s">
        <v>162</v>
      </c>
      <c r="C415" s="177" t="s">
        <v>163</v>
      </c>
      <c r="D415" s="201" t="s">
        <v>965</v>
      </c>
      <c r="E415" s="88" t="s">
        <v>966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0</v>
      </c>
      <c r="L415" s="88">
        <v>0</v>
      </c>
      <c r="M415" s="88">
        <v>0</v>
      </c>
      <c r="N415" s="88">
        <v>0</v>
      </c>
      <c r="O415" s="88">
        <v>0</v>
      </c>
      <c r="P415" s="88">
        <v>0</v>
      </c>
      <c r="Q415" s="88">
        <v>0</v>
      </c>
      <c r="R415" s="88">
        <v>0</v>
      </c>
      <c r="S415" s="88">
        <f t="shared" si="6"/>
        <v>0</v>
      </c>
    </row>
    <row r="416" spans="1:19" x14ac:dyDescent="0.3">
      <c r="A416" s="195">
        <v>911</v>
      </c>
      <c r="B416" s="177" t="s">
        <v>162</v>
      </c>
      <c r="C416" s="177" t="s">
        <v>163</v>
      </c>
      <c r="D416" s="201" t="s">
        <v>967</v>
      </c>
      <c r="E416" s="88" t="s">
        <v>968</v>
      </c>
      <c r="F416" s="88">
        <v>0</v>
      </c>
      <c r="G416" s="88">
        <v>0</v>
      </c>
      <c r="H416" s="88">
        <v>0</v>
      </c>
      <c r="I416" s="88">
        <v>0</v>
      </c>
      <c r="J416" s="88">
        <v>0</v>
      </c>
      <c r="K416" s="88">
        <v>0</v>
      </c>
      <c r="L416" s="88">
        <v>0</v>
      </c>
      <c r="M416" s="88">
        <v>0</v>
      </c>
      <c r="N416" s="88">
        <v>0</v>
      </c>
      <c r="O416" s="88">
        <v>0</v>
      </c>
      <c r="P416" s="88">
        <v>0</v>
      </c>
      <c r="Q416" s="88">
        <v>0</v>
      </c>
      <c r="R416" s="88">
        <v>0</v>
      </c>
      <c r="S416" s="88">
        <f t="shared" si="6"/>
        <v>0</v>
      </c>
    </row>
    <row r="417" spans="1:19" x14ac:dyDescent="0.3">
      <c r="A417" s="195">
        <v>912</v>
      </c>
      <c r="B417" s="177" t="s">
        <v>162</v>
      </c>
      <c r="C417" s="177" t="s">
        <v>163</v>
      </c>
      <c r="D417" s="201" t="s">
        <v>969</v>
      </c>
      <c r="E417" s="88" t="s">
        <v>970</v>
      </c>
      <c r="F417" s="88">
        <v>0</v>
      </c>
      <c r="G417" s="88">
        <v>97997</v>
      </c>
      <c r="H417" s="88">
        <v>10000</v>
      </c>
      <c r="I417" s="88">
        <v>16470</v>
      </c>
      <c r="J417" s="88">
        <v>26647</v>
      </c>
      <c r="K417" s="88">
        <v>11290</v>
      </c>
      <c r="L417" s="88">
        <v>13385</v>
      </c>
      <c r="M417" s="88">
        <v>24197</v>
      </c>
      <c r="N417" s="88">
        <v>11500</v>
      </c>
      <c r="O417" s="88">
        <v>26500</v>
      </c>
      <c r="P417" s="88">
        <v>54516</v>
      </c>
      <c r="Q417" s="88">
        <v>29500</v>
      </c>
      <c r="R417" s="88">
        <v>13000</v>
      </c>
      <c r="S417" s="88">
        <f t="shared" si="6"/>
        <v>335002</v>
      </c>
    </row>
    <row r="418" spans="1:19" x14ac:dyDescent="0.3">
      <c r="A418" s="195">
        <v>913</v>
      </c>
      <c r="B418" s="177" t="s">
        <v>162</v>
      </c>
      <c r="C418" s="177" t="s">
        <v>163</v>
      </c>
      <c r="D418" s="201" t="s">
        <v>971</v>
      </c>
      <c r="E418" s="88" t="s">
        <v>972</v>
      </c>
      <c r="F418" s="88">
        <v>0</v>
      </c>
      <c r="G418" s="88">
        <v>0</v>
      </c>
      <c r="H418" s="88">
        <v>0</v>
      </c>
      <c r="I418" s="88">
        <v>0</v>
      </c>
      <c r="J418" s="88">
        <v>0</v>
      </c>
      <c r="K418" s="88">
        <v>0</v>
      </c>
      <c r="L418" s="88">
        <v>0</v>
      </c>
      <c r="M418" s="88">
        <v>0</v>
      </c>
      <c r="N418" s="88">
        <v>0</v>
      </c>
      <c r="O418" s="88">
        <v>0</v>
      </c>
      <c r="P418" s="88">
        <v>0</v>
      </c>
      <c r="Q418" s="88">
        <v>0</v>
      </c>
      <c r="R418" s="88">
        <v>0</v>
      </c>
      <c r="S418" s="88">
        <f t="shared" si="6"/>
        <v>0</v>
      </c>
    </row>
    <row r="419" spans="1:19" x14ac:dyDescent="0.3">
      <c r="A419" s="195">
        <v>916</v>
      </c>
      <c r="B419" s="177" t="s">
        <v>162</v>
      </c>
      <c r="C419" s="177" t="s">
        <v>163</v>
      </c>
      <c r="D419" s="201" t="s">
        <v>973</v>
      </c>
      <c r="E419" s="88" t="s">
        <v>974</v>
      </c>
      <c r="F419" s="88">
        <v>0</v>
      </c>
      <c r="G419" s="88">
        <v>0</v>
      </c>
      <c r="H419" s="88">
        <v>0</v>
      </c>
      <c r="I419" s="88">
        <v>0</v>
      </c>
      <c r="J419" s="88">
        <v>0</v>
      </c>
      <c r="K419" s="88">
        <v>0</v>
      </c>
      <c r="L419" s="88">
        <v>0</v>
      </c>
      <c r="M419" s="88">
        <v>0</v>
      </c>
      <c r="N419" s="88">
        <v>0</v>
      </c>
      <c r="O419" s="88">
        <v>0</v>
      </c>
      <c r="P419" s="88">
        <v>0</v>
      </c>
      <c r="Q419" s="88">
        <v>0</v>
      </c>
      <c r="R419" s="88">
        <v>0</v>
      </c>
      <c r="S419" s="88">
        <f t="shared" si="6"/>
        <v>0</v>
      </c>
    </row>
    <row r="420" spans="1:19" x14ac:dyDescent="0.3">
      <c r="A420" s="195">
        <v>920</v>
      </c>
      <c r="B420" s="177" t="s">
        <v>162</v>
      </c>
      <c r="C420" s="177" t="s">
        <v>163</v>
      </c>
      <c r="D420" s="201" t="s">
        <v>975</v>
      </c>
      <c r="E420" s="88" t="s">
        <v>976</v>
      </c>
      <c r="F420" s="88">
        <v>0</v>
      </c>
      <c r="G420" s="88">
        <v>6684501.8748313999</v>
      </c>
      <c r="H420" s="88">
        <v>6317414.1171209998</v>
      </c>
      <c r="I420" s="88">
        <v>6220582.5432406003</v>
      </c>
      <c r="J420" s="88">
        <v>6500562.2975530997</v>
      </c>
      <c r="K420" s="88">
        <v>6708872.5634898003</v>
      </c>
      <c r="L420" s="88">
        <v>6061170.1434749002</v>
      </c>
      <c r="M420" s="88">
        <v>6765053.1784950998</v>
      </c>
      <c r="N420" s="88">
        <v>6594480.5406448999</v>
      </c>
      <c r="O420" s="88">
        <v>6304554.9419245003</v>
      </c>
      <c r="P420" s="88">
        <v>6753895.6714754999</v>
      </c>
      <c r="Q420" s="88">
        <v>6340865.9639210999</v>
      </c>
      <c r="R420" s="88">
        <v>6524414.9561860999</v>
      </c>
      <c r="S420" s="88">
        <f t="shared" si="6"/>
        <v>77776368.792357996</v>
      </c>
    </row>
    <row r="421" spans="1:19" x14ac:dyDescent="0.3">
      <c r="A421" s="195">
        <v>921</v>
      </c>
      <c r="B421" s="177" t="s">
        <v>162</v>
      </c>
      <c r="C421" s="177" t="s">
        <v>163</v>
      </c>
      <c r="D421" s="201" t="s">
        <v>977</v>
      </c>
      <c r="E421" s="88" t="s">
        <v>978</v>
      </c>
      <c r="F421" s="88">
        <v>0</v>
      </c>
      <c r="G421" s="88">
        <v>688431.51283470006</v>
      </c>
      <c r="H421" s="88">
        <v>402135.05076670001</v>
      </c>
      <c r="I421" s="88">
        <v>587114.32166669995</v>
      </c>
      <c r="J421" s="88">
        <v>615786.31096669997</v>
      </c>
      <c r="K421" s="88">
        <v>389968.1854667</v>
      </c>
      <c r="L421" s="88">
        <v>561169.15766669996</v>
      </c>
      <c r="M421" s="88">
        <v>577475.78766669997</v>
      </c>
      <c r="N421" s="88">
        <v>383670.76066670002</v>
      </c>
      <c r="O421" s="88">
        <v>458636.62766669999</v>
      </c>
      <c r="P421" s="88">
        <v>603499.08166669996</v>
      </c>
      <c r="Q421" s="88">
        <v>411731.77266670001</v>
      </c>
      <c r="R421" s="88">
        <v>561693.60566670005</v>
      </c>
      <c r="S421" s="88">
        <f t="shared" si="6"/>
        <v>6241312.1753683994</v>
      </c>
    </row>
    <row r="422" spans="1:19" x14ac:dyDescent="0.3">
      <c r="A422" s="195">
        <v>922</v>
      </c>
      <c r="B422" s="177" t="s">
        <v>162</v>
      </c>
      <c r="C422" s="177" t="s">
        <v>163</v>
      </c>
      <c r="D422" s="201" t="s">
        <v>979</v>
      </c>
      <c r="E422" s="88" t="s">
        <v>980</v>
      </c>
      <c r="F422" s="88">
        <v>0</v>
      </c>
      <c r="G422" s="88">
        <v>-4919996.2021065997</v>
      </c>
      <c r="H422" s="88">
        <v>-4737751.6986606</v>
      </c>
      <c r="I422" s="88">
        <v>-5016839.8149931002</v>
      </c>
      <c r="J422" s="88">
        <v>-4894033.2973223003</v>
      </c>
      <c r="K422" s="88">
        <v>-4859809.9234923003</v>
      </c>
      <c r="L422" s="88">
        <v>-4926983.4058875004</v>
      </c>
      <c r="M422" s="88">
        <v>-5020883.6103910003</v>
      </c>
      <c r="N422" s="88">
        <v>-4853309.0005270001</v>
      </c>
      <c r="O422" s="88">
        <v>-4959169.9694357002</v>
      </c>
      <c r="P422" s="88">
        <v>-4939508.0585701996</v>
      </c>
      <c r="Q422" s="88">
        <v>-4800999.7301706001</v>
      </c>
      <c r="R422" s="88">
        <v>-5001705.4754798003</v>
      </c>
      <c r="S422" s="88">
        <f t="shared" si="6"/>
        <v>-58930990.187036708</v>
      </c>
    </row>
    <row r="423" spans="1:19" x14ac:dyDescent="0.3">
      <c r="A423" s="195">
        <v>923</v>
      </c>
      <c r="B423" s="177" t="s">
        <v>162</v>
      </c>
      <c r="C423" s="177" t="s">
        <v>163</v>
      </c>
      <c r="D423" s="201" t="s">
        <v>981</v>
      </c>
      <c r="E423" s="88" t="s">
        <v>982</v>
      </c>
      <c r="F423" s="88">
        <v>0</v>
      </c>
      <c r="G423" s="88">
        <v>3282226.4087383002</v>
      </c>
      <c r="H423" s="88">
        <v>2501735.3273836002</v>
      </c>
      <c r="I423" s="88">
        <v>2883184.9942866</v>
      </c>
      <c r="J423" s="88">
        <v>2756632.2862165999</v>
      </c>
      <c r="K423" s="88">
        <v>2743830.3535023001</v>
      </c>
      <c r="L423" s="88">
        <v>2824254.4956022999</v>
      </c>
      <c r="M423" s="88">
        <v>3135338.5440166001</v>
      </c>
      <c r="N423" s="88">
        <v>2689362.3905023001</v>
      </c>
      <c r="O423" s="88">
        <v>2867678.0771690002</v>
      </c>
      <c r="P423" s="88">
        <v>2766810.6962166</v>
      </c>
      <c r="Q423" s="88">
        <v>2642511.4105023001</v>
      </c>
      <c r="R423" s="88">
        <v>2931479.9405022999</v>
      </c>
      <c r="S423" s="88">
        <f t="shared" si="6"/>
        <v>34025044.9246388</v>
      </c>
    </row>
    <row r="424" spans="1:19" x14ac:dyDescent="0.3">
      <c r="A424" s="195">
        <v>924</v>
      </c>
      <c r="B424" s="177" t="s">
        <v>162</v>
      </c>
      <c r="C424" s="177" t="s">
        <v>163</v>
      </c>
      <c r="D424" s="201" t="s">
        <v>983</v>
      </c>
      <c r="E424" s="88" t="s">
        <v>63</v>
      </c>
      <c r="F424" s="88">
        <v>0</v>
      </c>
      <c r="G424" s="88">
        <v>3288732.52</v>
      </c>
      <c r="H424" s="88">
        <v>3105824.22</v>
      </c>
      <c r="I424" s="88">
        <v>3322750.9787738998</v>
      </c>
      <c r="J424" s="88">
        <v>3432227.38</v>
      </c>
      <c r="K424" s="88">
        <v>3719897.14</v>
      </c>
      <c r="L424" s="88">
        <v>4180729.26</v>
      </c>
      <c r="M424" s="88">
        <v>4360334.7699999996</v>
      </c>
      <c r="N424" s="88">
        <v>4343978.6399999997</v>
      </c>
      <c r="O424" s="88">
        <v>4421453.0599999996</v>
      </c>
      <c r="P424" s="88">
        <v>4039851.62</v>
      </c>
      <c r="Q424" s="88">
        <v>3583194.4</v>
      </c>
      <c r="R424" s="88">
        <v>3436377.89</v>
      </c>
      <c r="S424" s="88">
        <f t="shared" si="6"/>
        <v>45235351.878773898</v>
      </c>
    </row>
    <row r="425" spans="1:19" x14ac:dyDescent="0.3">
      <c r="A425" s="195">
        <v>925</v>
      </c>
      <c r="B425" s="177" t="s">
        <v>162</v>
      </c>
      <c r="C425" s="177" t="s">
        <v>163</v>
      </c>
      <c r="D425" s="201" t="s">
        <v>984</v>
      </c>
      <c r="E425" s="88" t="s">
        <v>985</v>
      </c>
      <c r="F425" s="88">
        <v>0</v>
      </c>
      <c r="G425" s="88">
        <v>1748488.4747293</v>
      </c>
      <c r="H425" s="88">
        <v>1748488.4681420999</v>
      </c>
      <c r="I425" s="88">
        <v>1751806.2731421001</v>
      </c>
      <c r="J425" s="88">
        <v>1748488.4681420999</v>
      </c>
      <c r="K425" s="88">
        <v>1748529.0730214</v>
      </c>
      <c r="L425" s="88">
        <v>1834835.6658493001</v>
      </c>
      <c r="M425" s="88">
        <v>1831517.9481420999</v>
      </c>
      <c r="N425" s="88">
        <v>1835897.7681421</v>
      </c>
      <c r="O425" s="88">
        <v>1839215.6331420999</v>
      </c>
      <c r="P425" s="88">
        <v>1835897.8281421</v>
      </c>
      <c r="Q425" s="88">
        <v>1835897.8281421</v>
      </c>
      <c r="R425" s="88">
        <v>2448313.9910006998</v>
      </c>
      <c r="S425" s="88">
        <f t="shared" si="6"/>
        <v>22207377.419737503</v>
      </c>
    </row>
    <row r="426" spans="1:19" x14ac:dyDescent="0.3">
      <c r="A426" s="195">
        <v>926</v>
      </c>
      <c r="B426" s="177" t="s">
        <v>162</v>
      </c>
      <c r="C426" s="177" t="s">
        <v>163</v>
      </c>
      <c r="D426" s="201" t="s">
        <v>986</v>
      </c>
      <c r="E426" s="88" t="s">
        <v>987</v>
      </c>
      <c r="F426" s="88">
        <v>0</v>
      </c>
      <c r="G426" s="88">
        <v>2399972.2373072999</v>
      </c>
      <c r="H426" s="88">
        <v>2571995.8463296001</v>
      </c>
      <c r="I426" s="88">
        <v>5008649.8246294996</v>
      </c>
      <c r="J426" s="88">
        <v>2383142.1636681999</v>
      </c>
      <c r="K426" s="88">
        <v>2258407.6277906001</v>
      </c>
      <c r="L426" s="88">
        <v>5085078.1464560004</v>
      </c>
      <c r="M426" s="88">
        <v>2214892.8410589001</v>
      </c>
      <c r="N426" s="88">
        <v>2329784.6115263002</v>
      </c>
      <c r="O426" s="88">
        <v>4918211.2732766997</v>
      </c>
      <c r="P426" s="88">
        <v>2216459.2549908999</v>
      </c>
      <c r="Q426" s="88">
        <v>2495157.7780399998</v>
      </c>
      <c r="R426" s="88">
        <v>4847441.3870545002</v>
      </c>
      <c r="S426" s="88">
        <f t="shared" si="6"/>
        <v>38729192.992128499</v>
      </c>
    </row>
    <row r="427" spans="1:19" x14ac:dyDescent="0.3">
      <c r="A427" s="195">
        <v>927</v>
      </c>
      <c r="B427" s="177" t="s">
        <v>162</v>
      </c>
      <c r="C427" s="177" t="s">
        <v>163</v>
      </c>
      <c r="D427" s="201" t="s">
        <v>988</v>
      </c>
      <c r="E427" s="88" t="s">
        <v>989</v>
      </c>
      <c r="F427" s="88">
        <v>0</v>
      </c>
      <c r="G427" s="88">
        <v>0</v>
      </c>
      <c r="H427" s="88">
        <v>0</v>
      </c>
      <c r="I427" s="88">
        <v>0</v>
      </c>
      <c r="J427" s="88">
        <v>0</v>
      </c>
      <c r="K427" s="88">
        <v>0</v>
      </c>
      <c r="L427" s="88">
        <v>0</v>
      </c>
      <c r="M427" s="88">
        <v>0</v>
      </c>
      <c r="N427" s="88">
        <v>0</v>
      </c>
      <c r="O427" s="88">
        <v>0</v>
      </c>
      <c r="P427" s="88">
        <v>0</v>
      </c>
      <c r="Q427" s="88">
        <v>0</v>
      </c>
      <c r="R427" s="88">
        <v>0</v>
      </c>
      <c r="S427" s="88">
        <f t="shared" si="6"/>
        <v>0</v>
      </c>
    </row>
    <row r="428" spans="1:19" x14ac:dyDescent="0.3">
      <c r="A428" s="195">
        <v>928</v>
      </c>
      <c r="B428" s="177" t="s">
        <v>162</v>
      </c>
      <c r="C428" s="177" t="s">
        <v>163</v>
      </c>
      <c r="D428" s="201" t="s">
        <v>990</v>
      </c>
      <c r="E428" s="88" t="s">
        <v>991</v>
      </c>
      <c r="F428" s="88">
        <v>0</v>
      </c>
      <c r="G428" s="88">
        <v>76763.935400500006</v>
      </c>
      <c r="H428" s="88">
        <v>76763.935400500006</v>
      </c>
      <c r="I428" s="88">
        <v>76763.935400500006</v>
      </c>
      <c r="J428" s="88">
        <v>76763.935400500006</v>
      </c>
      <c r="K428" s="88">
        <v>76763.935400500006</v>
      </c>
      <c r="L428" s="88">
        <v>76763.935400500006</v>
      </c>
      <c r="M428" s="88">
        <v>76763.935400500006</v>
      </c>
      <c r="N428" s="88">
        <v>76763.935400500006</v>
      </c>
      <c r="O428" s="88">
        <v>76763.935400500006</v>
      </c>
      <c r="P428" s="88">
        <v>76763.935400500006</v>
      </c>
      <c r="Q428" s="88">
        <v>86763.935400500006</v>
      </c>
      <c r="R428" s="88">
        <v>86763.935400500006</v>
      </c>
      <c r="S428" s="88">
        <f t="shared" si="6"/>
        <v>941167.2248059999</v>
      </c>
    </row>
    <row r="429" spans="1:19" x14ac:dyDescent="0.3">
      <c r="A429" s="195">
        <v>929</v>
      </c>
      <c r="B429" s="177" t="s">
        <v>162</v>
      </c>
      <c r="C429" s="177" t="s">
        <v>163</v>
      </c>
      <c r="D429" s="201" t="s">
        <v>992</v>
      </c>
      <c r="E429" s="88" t="s">
        <v>993</v>
      </c>
      <c r="F429" s="88">
        <v>0</v>
      </c>
      <c r="G429" s="88">
        <v>0</v>
      </c>
      <c r="H429" s="88">
        <v>0</v>
      </c>
      <c r="I429" s="88">
        <v>0</v>
      </c>
      <c r="J429" s="88">
        <v>0</v>
      </c>
      <c r="K429" s="88">
        <v>0</v>
      </c>
      <c r="L429" s="88">
        <v>0</v>
      </c>
      <c r="M429" s="88">
        <v>0</v>
      </c>
      <c r="N429" s="88">
        <v>0</v>
      </c>
      <c r="O429" s="88">
        <v>0</v>
      </c>
      <c r="P429" s="88">
        <v>0</v>
      </c>
      <c r="Q429" s="88">
        <v>0</v>
      </c>
      <c r="R429" s="88">
        <v>0</v>
      </c>
      <c r="S429" s="88">
        <f t="shared" si="6"/>
        <v>0</v>
      </c>
    </row>
    <row r="430" spans="1:19" x14ac:dyDescent="0.3">
      <c r="A430" s="195">
        <v>930</v>
      </c>
      <c r="B430" s="177" t="s">
        <v>162</v>
      </c>
      <c r="C430" s="177" t="s">
        <v>163</v>
      </c>
      <c r="D430" s="201" t="s">
        <v>994</v>
      </c>
      <c r="E430" s="88" t="s">
        <v>995</v>
      </c>
      <c r="F430" s="88">
        <v>0</v>
      </c>
      <c r="G430" s="88">
        <v>2333.3333333</v>
      </c>
      <c r="H430" s="88">
        <v>2333.3333333</v>
      </c>
      <c r="I430" s="88">
        <v>2333.3333333</v>
      </c>
      <c r="J430" s="88">
        <v>2333.3333333</v>
      </c>
      <c r="K430" s="88">
        <v>2333.3333333</v>
      </c>
      <c r="L430" s="88">
        <v>82333.333333300005</v>
      </c>
      <c r="M430" s="88">
        <v>2333.3333333</v>
      </c>
      <c r="N430" s="88">
        <v>2333.3333333</v>
      </c>
      <c r="O430" s="88">
        <v>2333.3333333</v>
      </c>
      <c r="P430" s="88">
        <v>2333.3333333</v>
      </c>
      <c r="Q430" s="88">
        <v>2333.3333333</v>
      </c>
      <c r="R430" s="88">
        <v>2333.3333333</v>
      </c>
      <c r="S430" s="88">
        <f t="shared" si="6"/>
        <v>107999.99999960003</v>
      </c>
    </row>
    <row r="431" spans="1:19" x14ac:dyDescent="0.3">
      <c r="A431" s="195">
        <v>930</v>
      </c>
      <c r="B431" s="177" t="s">
        <v>162</v>
      </c>
      <c r="C431" s="177" t="s">
        <v>163</v>
      </c>
      <c r="D431" s="201" t="s">
        <v>996</v>
      </c>
      <c r="E431" s="88" t="s">
        <v>997</v>
      </c>
      <c r="F431" s="88">
        <v>0</v>
      </c>
      <c r="G431" s="88">
        <v>1598888.4594676001</v>
      </c>
      <c r="H431" s="88">
        <v>1020811.9718749</v>
      </c>
      <c r="I431" s="88">
        <v>2424629.6478507002</v>
      </c>
      <c r="J431" s="88">
        <v>1051862.8512075001</v>
      </c>
      <c r="K431" s="88">
        <v>1028770.8800716</v>
      </c>
      <c r="L431" s="88">
        <v>2315454.6449199999</v>
      </c>
      <c r="M431" s="88">
        <v>1009527.9597392</v>
      </c>
      <c r="N431" s="88">
        <v>1020209.8743646001</v>
      </c>
      <c r="O431" s="88">
        <v>2444205.5018206998</v>
      </c>
      <c r="P431" s="88">
        <v>1080846.9597392001</v>
      </c>
      <c r="Q431" s="88">
        <v>1012435.7889903</v>
      </c>
      <c r="R431" s="88">
        <v>2176897.8939887001</v>
      </c>
      <c r="S431" s="88">
        <f t="shared" si="6"/>
        <v>18184542.434035003</v>
      </c>
    </row>
    <row r="432" spans="1:19" x14ac:dyDescent="0.3">
      <c r="A432" s="195">
        <v>931</v>
      </c>
      <c r="B432" s="177" t="s">
        <v>162</v>
      </c>
      <c r="C432" s="177" t="s">
        <v>163</v>
      </c>
      <c r="D432" s="201" t="s">
        <v>998</v>
      </c>
      <c r="E432" s="88" t="s">
        <v>999</v>
      </c>
      <c r="F432" s="88">
        <v>0</v>
      </c>
      <c r="G432" s="88">
        <v>154922.79</v>
      </c>
      <c r="H432" s="88">
        <v>154922.79</v>
      </c>
      <c r="I432" s="88">
        <v>154922.79</v>
      </c>
      <c r="J432" s="88">
        <v>154922.79</v>
      </c>
      <c r="K432" s="88">
        <v>154922.79</v>
      </c>
      <c r="L432" s="88">
        <v>154922.79</v>
      </c>
      <c r="M432" s="88">
        <v>154922.79</v>
      </c>
      <c r="N432" s="88">
        <v>154922.79</v>
      </c>
      <c r="O432" s="88">
        <v>154922.79</v>
      </c>
      <c r="P432" s="88">
        <v>154922.79</v>
      </c>
      <c r="Q432" s="88">
        <v>154922.79</v>
      </c>
      <c r="R432" s="88">
        <v>154922.79</v>
      </c>
      <c r="S432" s="88">
        <f t="shared" si="6"/>
        <v>1859073.4800000002</v>
      </c>
    </row>
    <row r="433" spans="1:19" x14ac:dyDescent="0.3">
      <c r="A433" s="195">
        <v>932</v>
      </c>
      <c r="B433" s="177" t="s">
        <v>162</v>
      </c>
      <c r="C433" s="177" t="s">
        <v>163</v>
      </c>
      <c r="D433" s="201" t="s">
        <v>1000</v>
      </c>
      <c r="E433" s="88" t="s">
        <v>1001</v>
      </c>
      <c r="F433" s="88">
        <v>0</v>
      </c>
      <c r="G433" s="88">
        <v>0</v>
      </c>
      <c r="H433" s="88">
        <v>0</v>
      </c>
      <c r="I433" s="88">
        <v>0</v>
      </c>
      <c r="J433" s="88">
        <v>0</v>
      </c>
      <c r="K433" s="88">
        <v>0</v>
      </c>
      <c r="L433" s="88">
        <v>0</v>
      </c>
      <c r="M433" s="88">
        <v>0</v>
      </c>
      <c r="N433" s="88">
        <v>0</v>
      </c>
      <c r="O433" s="88">
        <v>0</v>
      </c>
      <c r="P433" s="88">
        <v>0</v>
      </c>
      <c r="Q433" s="88">
        <v>0</v>
      </c>
      <c r="R433" s="88">
        <v>0</v>
      </c>
      <c r="S433" s="88">
        <f t="shared" si="6"/>
        <v>0</v>
      </c>
    </row>
    <row r="434" spans="1:19" x14ac:dyDescent="0.3">
      <c r="A434" s="195">
        <v>935</v>
      </c>
      <c r="B434" s="177" t="s">
        <v>162</v>
      </c>
      <c r="C434" s="177" t="s">
        <v>163</v>
      </c>
      <c r="D434" s="201" t="s">
        <v>1002</v>
      </c>
      <c r="E434" s="88" t="s">
        <v>1003</v>
      </c>
      <c r="F434" s="88">
        <v>0</v>
      </c>
      <c r="G434" s="88">
        <v>205733.2447413</v>
      </c>
      <c r="H434" s="88">
        <v>167243.30072850001</v>
      </c>
      <c r="I434" s="88">
        <v>152358.97072849999</v>
      </c>
      <c r="J434" s="88">
        <v>163058.31426899999</v>
      </c>
      <c r="K434" s="88">
        <v>166135.64916860001</v>
      </c>
      <c r="L434" s="88">
        <v>153326.0122007</v>
      </c>
      <c r="M434" s="88">
        <v>231503.53357699999</v>
      </c>
      <c r="N434" s="88">
        <v>162574.0298163</v>
      </c>
      <c r="O434" s="88">
        <v>157949.5260557</v>
      </c>
      <c r="P434" s="88">
        <v>174383.53357699999</v>
      </c>
      <c r="Q434" s="88">
        <v>157950.5260557</v>
      </c>
      <c r="R434" s="88">
        <v>162582.93025999999</v>
      </c>
      <c r="S434" s="88">
        <f t="shared" si="6"/>
        <v>2054799.5711782998</v>
      </c>
    </row>
    <row r="435" spans="1:19" x14ac:dyDescent="0.3">
      <c r="A435" s="195" t="s">
        <v>1004</v>
      </c>
      <c r="B435" s="177" t="s">
        <v>162</v>
      </c>
      <c r="C435" s="177" t="s">
        <v>163</v>
      </c>
      <c r="D435" s="201" t="s">
        <v>1005</v>
      </c>
      <c r="E435" s="88" t="s">
        <v>1006</v>
      </c>
      <c r="F435" s="88">
        <v>0</v>
      </c>
      <c r="G435" s="88">
        <v>0</v>
      </c>
      <c r="H435" s="88">
        <v>0</v>
      </c>
      <c r="I435" s="88">
        <v>0</v>
      </c>
      <c r="J435" s="88">
        <v>0</v>
      </c>
      <c r="K435" s="88">
        <v>0</v>
      </c>
      <c r="L435" s="88">
        <v>0</v>
      </c>
      <c r="M435" s="88">
        <v>0</v>
      </c>
      <c r="N435" s="88">
        <v>0</v>
      </c>
      <c r="O435" s="88">
        <v>0</v>
      </c>
      <c r="P435" s="88">
        <v>0</v>
      </c>
      <c r="Q435" s="88">
        <v>0</v>
      </c>
      <c r="R435" s="88">
        <v>0</v>
      </c>
      <c r="S435" s="88">
        <f t="shared" si="6"/>
        <v>0</v>
      </c>
    </row>
    <row r="436" spans="1:19" x14ac:dyDescent="0.3">
      <c r="A436" s="195" t="s">
        <v>1007</v>
      </c>
      <c r="B436" s="177" t="s">
        <v>162</v>
      </c>
      <c r="C436" s="177" t="s">
        <v>163</v>
      </c>
      <c r="D436" s="201" t="s">
        <v>1008</v>
      </c>
      <c r="E436" s="88" t="s">
        <v>1009</v>
      </c>
      <c r="F436" s="88">
        <v>0</v>
      </c>
      <c r="G436" s="88">
        <v>0</v>
      </c>
      <c r="H436" s="88">
        <v>0</v>
      </c>
      <c r="I436" s="88">
        <v>0</v>
      </c>
      <c r="J436" s="88">
        <v>0</v>
      </c>
      <c r="K436" s="88">
        <v>0</v>
      </c>
      <c r="L436" s="88">
        <v>0</v>
      </c>
      <c r="M436" s="88">
        <v>0</v>
      </c>
      <c r="N436" s="88">
        <v>0</v>
      </c>
      <c r="O436" s="88">
        <v>0</v>
      </c>
      <c r="P436" s="88">
        <v>0</v>
      </c>
      <c r="Q436" s="88">
        <v>0</v>
      </c>
      <c r="R436" s="88">
        <v>0</v>
      </c>
      <c r="S436" s="88">
        <f t="shared" si="6"/>
        <v>0</v>
      </c>
    </row>
    <row r="437" spans="1:19" x14ac:dyDescent="0.3">
      <c r="A437" s="195" t="s">
        <v>1010</v>
      </c>
      <c r="B437" s="177" t="s">
        <v>162</v>
      </c>
      <c r="C437" s="177" t="s">
        <v>163</v>
      </c>
      <c r="D437" s="201" t="s">
        <v>1011</v>
      </c>
      <c r="E437" s="88" t="s">
        <v>1012</v>
      </c>
      <c r="F437" s="88">
        <v>0</v>
      </c>
      <c r="G437" s="88">
        <v>0</v>
      </c>
      <c r="H437" s="88">
        <v>0</v>
      </c>
      <c r="I437" s="88">
        <v>0</v>
      </c>
      <c r="J437" s="88">
        <v>0</v>
      </c>
      <c r="K437" s="88">
        <v>0</v>
      </c>
      <c r="L437" s="88">
        <v>0</v>
      </c>
      <c r="M437" s="88">
        <v>0</v>
      </c>
      <c r="N437" s="88">
        <v>0</v>
      </c>
      <c r="O437" s="88">
        <v>0</v>
      </c>
      <c r="P437" s="88">
        <v>0</v>
      </c>
      <c r="Q437" s="88">
        <v>0</v>
      </c>
      <c r="R437" s="88">
        <v>0</v>
      </c>
      <c r="S437" s="88">
        <f t="shared" si="6"/>
        <v>0</v>
      </c>
    </row>
    <row r="438" spans="1:19" x14ac:dyDescent="0.3">
      <c r="A438" s="195" t="s">
        <v>1013</v>
      </c>
      <c r="B438" s="177" t="s">
        <v>162</v>
      </c>
      <c r="C438" s="177" t="s">
        <v>163</v>
      </c>
      <c r="D438" s="201" t="s">
        <v>1014</v>
      </c>
      <c r="E438" s="88" t="s">
        <v>1015</v>
      </c>
      <c r="F438" s="88">
        <v>0</v>
      </c>
      <c r="G438" s="88">
        <v>0</v>
      </c>
      <c r="H438" s="88">
        <v>0</v>
      </c>
      <c r="I438" s="88">
        <v>0</v>
      </c>
      <c r="J438" s="88">
        <v>0</v>
      </c>
      <c r="K438" s="88">
        <v>0</v>
      </c>
      <c r="L438" s="88">
        <v>0</v>
      </c>
      <c r="M438" s="88">
        <v>0</v>
      </c>
      <c r="N438" s="88">
        <v>0</v>
      </c>
      <c r="O438" s="88">
        <v>0</v>
      </c>
      <c r="P438" s="88">
        <v>0</v>
      </c>
      <c r="Q438" s="88">
        <v>0</v>
      </c>
      <c r="R438" s="88">
        <v>0</v>
      </c>
      <c r="S438" s="88">
        <f t="shared" si="6"/>
        <v>0</v>
      </c>
    </row>
    <row r="439" spans="1:19" x14ac:dyDescent="0.3">
      <c r="A439" s="195" t="s">
        <v>1016</v>
      </c>
      <c r="B439" s="177" t="s">
        <v>162</v>
      </c>
      <c r="C439" s="177" t="s">
        <v>163</v>
      </c>
      <c r="D439" s="201" t="s">
        <v>1017</v>
      </c>
      <c r="E439" s="88" t="s">
        <v>1018</v>
      </c>
      <c r="F439" s="88">
        <v>0</v>
      </c>
      <c r="G439" s="88">
        <v>0</v>
      </c>
      <c r="H439" s="88">
        <v>0</v>
      </c>
      <c r="I439" s="88">
        <v>0</v>
      </c>
      <c r="J439" s="88">
        <v>0</v>
      </c>
      <c r="K439" s="88">
        <v>0</v>
      </c>
      <c r="L439" s="88">
        <v>0</v>
      </c>
      <c r="M439" s="88">
        <v>0</v>
      </c>
      <c r="N439" s="88">
        <v>0</v>
      </c>
      <c r="O439" s="88">
        <v>0</v>
      </c>
      <c r="P439" s="88">
        <v>0</v>
      </c>
      <c r="Q439" s="88">
        <v>0</v>
      </c>
      <c r="R439" s="88">
        <v>0</v>
      </c>
      <c r="S439" s="88">
        <f t="shared" si="6"/>
        <v>0</v>
      </c>
    </row>
    <row r="440" spans="1:19" x14ac:dyDescent="0.3">
      <c r="A440" s="195" t="s">
        <v>1019</v>
      </c>
      <c r="B440" s="177" t="s">
        <v>162</v>
      </c>
      <c r="C440" s="177" t="s">
        <v>163</v>
      </c>
      <c r="D440" s="201" t="s">
        <v>1020</v>
      </c>
      <c r="E440" s="88" t="s">
        <v>1021</v>
      </c>
      <c r="F440" s="88">
        <v>0</v>
      </c>
      <c r="G440" s="88">
        <v>0</v>
      </c>
      <c r="H440" s="88">
        <v>0</v>
      </c>
      <c r="I440" s="88">
        <v>0</v>
      </c>
      <c r="J440" s="88">
        <v>0</v>
      </c>
      <c r="K440" s="88">
        <v>0</v>
      </c>
      <c r="L440" s="88">
        <v>0</v>
      </c>
      <c r="M440" s="88">
        <v>0</v>
      </c>
      <c r="N440" s="88">
        <v>0</v>
      </c>
      <c r="O440" s="88">
        <v>0</v>
      </c>
      <c r="P440" s="88">
        <v>0</v>
      </c>
      <c r="Q440" s="88">
        <v>0</v>
      </c>
      <c r="R440" s="88">
        <v>0</v>
      </c>
      <c r="S440" s="88">
        <f t="shared" si="6"/>
        <v>0</v>
      </c>
    </row>
    <row r="441" spans="1:19" x14ac:dyDescent="0.3">
      <c r="A441" s="195" t="s">
        <v>1022</v>
      </c>
      <c r="B441" s="177" t="s">
        <v>162</v>
      </c>
      <c r="C441" s="177" t="s">
        <v>163</v>
      </c>
      <c r="D441" s="201" t="s">
        <v>1023</v>
      </c>
      <c r="E441" s="88" t="s">
        <v>1024</v>
      </c>
      <c r="F441" s="88">
        <v>0</v>
      </c>
      <c r="G441" s="88">
        <v>0</v>
      </c>
      <c r="H441" s="88">
        <v>0</v>
      </c>
      <c r="I441" s="88">
        <v>0</v>
      </c>
      <c r="J441" s="88">
        <v>0</v>
      </c>
      <c r="K441" s="88">
        <v>0</v>
      </c>
      <c r="L441" s="88">
        <v>0</v>
      </c>
      <c r="M441" s="88">
        <v>0</v>
      </c>
      <c r="N441" s="88">
        <v>0</v>
      </c>
      <c r="O441" s="88">
        <v>0</v>
      </c>
      <c r="P441" s="88">
        <v>0</v>
      </c>
      <c r="Q441" s="88">
        <v>0</v>
      </c>
      <c r="R441" s="88">
        <v>0</v>
      </c>
      <c r="S441" s="88">
        <f t="shared" si="6"/>
        <v>0</v>
      </c>
    </row>
    <row r="442" spans="1:19" x14ac:dyDescent="0.3">
      <c r="A442" s="195" t="s">
        <v>1022</v>
      </c>
      <c r="B442" s="177" t="s">
        <v>162</v>
      </c>
      <c r="C442" s="177" t="s">
        <v>163</v>
      </c>
      <c r="D442" s="201" t="s">
        <v>1025</v>
      </c>
      <c r="E442" s="88" t="s">
        <v>1026</v>
      </c>
      <c r="F442" s="88">
        <v>0</v>
      </c>
      <c r="G442" s="88">
        <v>0</v>
      </c>
      <c r="H442" s="88">
        <v>0</v>
      </c>
      <c r="I442" s="88">
        <v>0</v>
      </c>
      <c r="J442" s="88">
        <v>0</v>
      </c>
      <c r="K442" s="88">
        <v>0</v>
      </c>
      <c r="L442" s="88">
        <v>0</v>
      </c>
      <c r="M442" s="88">
        <v>0</v>
      </c>
      <c r="N442" s="88">
        <v>0</v>
      </c>
      <c r="O442" s="88">
        <v>0</v>
      </c>
      <c r="P442" s="88">
        <v>0</v>
      </c>
      <c r="Q442" s="88">
        <v>0</v>
      </c>
      <c r="R442" s="88">
        <v>0</v>
      </c>
      <c r="S442" s="88">
        <f t="shared" si="6"/>
        <v>0</v>
      </c>
    </row>
    <row r="443" spans="1:19" x14ac:dyDescent="0.3">
      <c r="A443" s="195" t="s">
        <v>1027</v>
      </c>
      <c r="B443" s="177" t="s">
        <v>162</v>
      </c>
      <c r="C443" s="177" t="s">
        <v>163</v>
      </c>
      <c r="D443" s="201" t="s">
        <v>1028</v>
      </c>
      <c r="E443" s="88" t="s">
        <v>1029</v>
      </c>
      <c r="F443" s="88">
        <v>0</v>
      </c>
      <c r="G443" s="88">
        <v>0</v>
      </c>
      <c r="H443" s="88">
        <v>0</v>
      </c>
      <c r="I443" s="88">
        <v>0</v>
      </c>
      <c r="J443" s="88">
        <v>0</v>
      </c>
      <c r="K443" s="88">
        <v>0</v>
      </c>
      <c r="L443" s="88">
        <v>0</v>
      </c>
      <c r="M443" s="88">
        <v>0</v>
      </c>
      <c r="N443" s="88">
        <v>0</v>
      </c>
      <c r="O443" s="88">
        <v>0</v>
      </c>
      <c r="P443" s="88">
        <v>0</v>
      </c>
      <c r="Q443" s="88">
        <v>0</v>
      </c>
      <c r="R443" s="88">
        <v>0</v>
      </c>
      <c r="S443" s="88">
        <f t="shared" si="6"/>
        <v>0</v>
      </c>
    </row>
    <row r="444" spans="1:19" x14ac:dyDescent="0.3">
      <c r="A444" s="195" t="s">
        <v>1019</v>
      </c>
      <c r="B444" s="177" t="s">
        <v>162</v>
      </c>
      <c r="C444" s="177" t="s">
        <v>163</v>
      </c>
      <c r="D444" s="201" t="s">
        <v>1030</v>
      </c>
      <c r="E444" s="88" t="s">
        <v>1031</v>
      </c>
      <c r="F444" s="88">
        <v>0</v>
      </c>
      <c r="G444" s="88">
        <v>0</v>
      </c>
      <c r="H444" s="88">
        <v>0</v>
      </c>
      <c r="I444" s="88">
        <v>0</v>
      </c>
      <c r="J444" s="88">
        <v>0</v>
      </c>
      <c r="K444" s="88">
        <v>0</v>
      </c>
      <c r="L444" s="88">
        <v>0</v>
      </c>
      <c r="M444" s="88">
        <v>0</v>
      </c>
      <c r="N444" s="88">
        <v>0</v>
      </c>
      <c r="O444" s="88">
        <v>0</v>
      </c>
      <c r="P444" s="88">
        <v>0</v>
      </c>
      <c r="Q444" s="88">
        <v>0</v>
      </c>
      <c r="R444" s="88">
        <v>0</v>
      </c>
      <c r="S444" s="88">
        <f t="shared" si="6"/>
        <v>0</v>
      </c>
    </row>
    <row r="445" spans="1:19" x14ac:dyDescent="0.3">
      <c r="A445" s="195" t="s">
        <v>1032</v>
      </c>
      <c r="B445" s="177" t="s">
        <v>162</v>
      </c>
      <c r="C445" s="177" t="s">
        <v>163</v>
      </c>
      <c r="D445" s="201" t="s">
        <v>1033</v>
      </c>
      <c r="E445" s="88" t="s">
        <v>1034</v>
      </c>
      <c r="F445" s="88">
        <v>0</v>
      </c>
      <c r="G445" s="88">
        <v>0</v>
      </c>
      <c r="H445" s="88">
        <v>0</v>
      </c>
      <c r="I445" s="88">
        <v>0</v>
      </c>
      <c r="J445" s="88">
        <v>0</v>
      </c>
      <c r="K445" s="88">
        <v>0</v>
      </c>
      <c r="L445" s="88">
        <v>0</v>
      </c>
      <c r="M445" s="88">
        <v>0</v>
      </c>
      <c r="N445" s="88">
        <v>0</v>
      </c>
      <c r="O445" s="88">
        <v>0</v>
      </c>
      <c r="P445" s="88">
        <v>0</v>
      </c>
      <c r="Q445" s="88">
        <v>0</v>
      </c>
      <c r="R445" s="88">
        <v>0</v>
      </c>
      <c r="S445" s="88">
        <f t="shared" si="6"/>
        <v>0</v>
      </c>
    </row>
    <row r="446" spans="1:19" x14ac:dyDescent="0.3">
      <c r="A446" s="195" t="s">
        <v>1032</v>
      </c>
      <c r="B446" s="177" t="s">
        <v>162</v>
      </c>
      <c r="C446" s="177" t="s">
        <v>163</v>
      </c>
      <c r="D446" s="201" t="s">
        <v>1035</v>
      </c>
      <c r="E446" s="88" t="s">
        <v>1034</v>
      </c>
      <c r="F446" s="88">
        <v>0</v>
      </c>
      <c r="G446" s="88">
        <v>0</v>
      </c>
      <c r="H446" s="88">
        <v>0</v>
      </c>
      <c r="I446" s="88">
        <v>0</v>
      </c>
      <c r="J446" s="88">
        <v>0</v>
      </c>
      <c r="K446" s="88">
        <v>0</v>
      </c>
      <c r="L446" s="88">
        <v>0</v>
      </c>
      <c r="M446" s="88">
        <v>0</v>
      </c>
      <c r="N446" s="88">
        <v>0</v>
      </c>
      <c r="O446" s="88">
        <v>0</v>
      </c>
      <c r="P446" s="88">
        <v>0</v>
      </c>
      <c r="Q446" s="88">
        <v>0</v>
      </c>
      <c r="R446" s="88">
        <v>0</v>
      </c>
      <c r="S446" s="88">
        <f t="shared" si="6"/>
        <v>0</v>
      </c>
    </row>
    <row r="447" spans="1:19" x14ac:dyDescent="0.3">
      <c r="A447" s="195" t="s">
        <v>1036</v>
      </c>
      <c r="B447" s="177" t="s">
        <v>162</v>
      </c>
      <c r="C447" s="177" t="s">
        <v>163</v>
      </c>
      <c r="D447" s="201" t="s">
        <v>1037</v>
      </c>
      <c r="E447" s="88" t="s">
        <v>1038</v>
      </c>
      <c r="F447" s="88">
        <v>0</v>
      </c>
      <c r="G447" s="88">
        <v>0</v>
      </c>
      <c r="H447" s="88">
        <v>0</v>
      </c>
      <c r="I447" s="88">
        <v>0</v>
      </c>
      <c r="J447" s="88">
        <v>0</v>
      </c>
      <c r="K447" s="88">
        <v>0</v>
      </c>
      <c r="L447" s="88">
        <v>0</v>
      </c>
      <c r="M447" s="88">
        <v>0</v>
      </c>
      <c r="N447" s="88">
        <v>0</v>
      </c>
      <c r="O447" s="88">
        <v>0</v>
      </c>
      <c r="P447" s="88">
        <v>0</v>
      </c>
      <c r="Q447" s="88">
        <v>0</v>
      </c>
      <c r="R447" s="88">
        <v>0</v>
      </c>
      <c r="S447" s="88">
        <f t="shared" si="6"/>
        <v>0</v>
      </c>
    </row>
    <row r="448" spans="1:19" x14ac:dyDescent="0.3">
      <c r="A448" s="195" t="s">
        <v>1039</v>
      </c>
      <c r="B448" s="177" t="s">
        <v>162</v>
      </c>
      <c r="C448" s="177" t="s">
        <v>163</v>
      </c>
      <c r="D448" s="201" t="s">
        <v>1040</v>
      </c>
      <c r="E448" s="88" t="s">
        <v>1041</v>
      </c>
      <c r="F448" s="88">
        <v>0</v>
      </c>
      <c r="G448" s="88">
        <v>0</v>
      </c>
      <c r="H448" s="88">
        <v>0</v>
      </c>
      <c r="I448" s="88">
        <v>0</v>
      </c>
      <c r="J448" s="88">
        <v>0</v>
      </c>
      <c r="K448" s="88">
        <v>0</v>
      </c>
      <c r="L448" s="88">
        <v>0</v>
      </c>
      <c r="M448" s="88">
        <v>0</v>
      </c>
      <c r="N448" s="88">
        <v>0</v>
      </c>
      <c r="O448" s="88">
        <v>0</v>
      </c>
      <c r="P448" s="88">
        <v>0</v>
      </c>
      <c r="Q448" s="88">
        <v>0</v>
      </c>
      <c r="R448" s="88">
        <v>0</v>
      </c>
      <c r="S448" s="88">
        <f t="shared" si="6"/>
        <v>0</v>
      </c>
    </row>
    <row r="449" spans="1:19" x14ac:dyDescent="0.3">
      <c r="A449" s="195" t="s">
        <v>1042</v>
      </c>
      <c r="B449" s="177" t="s">
        <v>162</v>
      </c>
      <c r="C449" s="177" t="s">
        <v>163</v>
      </c>
      <c r="D449" s="201" t="s">
        <v>1043</v>
      </c>
      <c r="E449" s="88" t="s">
        <v>1044</v>
      </c>
      <c r="F449" s="88">
        <v>0</v>
      </c>
      <c r="G449" s="88">
        <v>0</v>
      </c>
      <c r="H449" s="88">
        <v>0</v>
      </c>
      <c r="I449" s="88">
        <v>0</v>
      </c>
      <c r="J449" s="88">
        <v>0</v>
      </c>
      <c r="K449" s="88">
        <v>0</v>
      </c>
      <c r="L449" s="88">
        <v>0</v>
      </c>
      <c r="M449" s="88">
        <v>0</v>
      </c>
      <c r="N449" s="88">
        <v>0</v>
      </c>
      <c r="O449" s="88">
        <v>0</v>
      </c>
      <c r="P449" s="88">
        <v>0</v>
      </c>
      <c r="Q449" s="88">
        <v>0</v>
      </c>
      <c r="R449" s="88">
        <v>0</v>
      </c>
      <c r="S449" s="88">
        <f t="shared" si="6"/>
        <v>0</v>
      </c>
    </row>
    <row r="450" spans="1:19" x14ac:dyDescent="0.3">
      <c r="A450" s="195" t="s">
        <v>1045</v>
      </c>
      <c r="B450" s="177" t="s">
        <v>162</v>
      </c>
      <c r="C450" s="177" t="s">
        <v>163</v>
      </c>
      <c r="D450" s="201" t="s">
        <v>1046</v>
      </c>
      <c r="E450" s="88" t="s">
        <v>1047</v>
      </c>
      <c r="F450" s="88">
        <v>0</v>
      </c>
      <c r="G450" s="88">
        <v>0</v>
      </c>
      <c r="H450" s="88">
        <v>0</v>
      </c>
      <c r="I450" s="88">
        <v>0</v>
      </c>
      <c r="J450" s="88">
        <v>0</v>
      </c>
      <c r="K450" s="88">
        <v>0</v>
      </c>
      <c r="L450" s="88">
        <v>0</v>
      </c>
      <c r="M450" s="88">
        <v>0</v>
      </c>
      <c r="N450" s="88">
        <v>0</v>
      </c>
      <c r="O450" s="88">
        <v>0</v>
      </c>
      <c r="P450" s="88">
        <v>0</v>
      </c>
      <c r="Q450" s="88">
        <v>0</v>
      </c>
      <c r="R450" s="88">
        <v>0</v>
      </c>
      <c r="S450" s="88">
        <f t="shared" si="6"/>
        <v>0</v>
      </c>
    </row>
    <row r="451" spans="1:19" x14ac:dyDescent="0.3">
      <c r="A451" s="195" t="s">
        <v>1045</v>
      </c>
      <c r="B451" s="177" t="s">
        <v>162</v>
      </c>
      <c r="C451" s="177" t="s">
        <v>163</v>
      </c>
      <c r="D451" s="201" t="s">
        <v>1048</v>
      </c>
      <c r="E451" s="88" t="s">
        <v>1049</v>
      </c>
      <c r="F451" s="88">
        <v>0</v>
      </c>
      <c r="G451" s="88">
        <v>0</v>
      </c>
      <c r="H451" s="88">
        <v>0</v>
      </c>
      <c r="I451" s="88">
        <v>0</v>
      </c>
      <c r="J451" s="88">
        <v>0</v>
      </c>
      <c r="K451" s="88">
        <v>0</v>
      </c>
      <c r="L451" s="88">
        <v>0</v>
      </c>
      <c r="M451" s="88">
        <v>0</v>
      </c>
      <c r="N451" s="88">
        <v>0</v>
      </c>
      <c r="O451" s="88">
        <v>0</v>
      </c>
      <c r="P451" s="88">
        <v>0</v>
      </c>
      <c r="Q451" s="88">
        <v>0</v>
      </c>
      <c r="R451" s="88">
        <v>0</v>
      </c>
      <c r="S451" s="88">
        <f t="shared" si="6"/>
        <v>0</v>
      </c>
    </row>
    <row r="452" spans="1:19" x14ac:dyDescent="0.3">
      <c r="A452" s="195" t="s">
        <v>1050</v>
      </c>
      <c r="B452" s="177" t="s">
        <v>162</v>
      </c>
      <c r="C452" s="177" t="s">
        <v>163</v>
      </c>
      <c r="D452" s="201" t="s">
        <v>1051</v>
      </c>
      <c r="E452" s="88" t="s">
        <v>1052</v>
      </c>
      <c r="F452" s="88">
        <v>0</v>
      </c>
      <c r="G452" s="88">
        <v>0</v>
      </c>
      <c r="H452" s="88">
        <v>0</v>
      </c>
      <c r="I452" s="88">
        <v>0</v>
      </c>
      <c r="J452" s="88">
        <v>0</v>
      </c>
      <c r="K452" s="88">
        <v>0</v>
      </c>
      <c r="L452" s="88">
        <v>0</v>
      </c>
      <c r="M452" s="88">
        <v>0</v>
      </c>
      <c r="N452" s="88">
        <v>0</v>
      </c>
      <c r="O452" s="88">
        <v>0</v>
      </c>
      <c r="P452" s="88">
        <v>0</v>
      </c>
      <c r="Q452" s="88">
        <v>0</v>
      </c>
      <c r="R452" s="88">
        <v>0</v>
      </c>
      <c r="S452" s="88">
        <f t="shared" si="6"/>
        <v>0</v>
      </c>
    </row>
    <row r="453" spans="1:19" x14ac:dyDescent="0.3">
      <c r="A453" s="195" t="s">
        <v>1053</v>
      </c>
      <c r="B453" s="177" t="s">
        <v>162</v>
      </c>
      <c r="C453" s="177" t="s">
        <v>163</v>
      </c>
      <c r="D453" s="201" t="s">
        <v>1054</v>
      </c>
      <c r="E453" s="88" t="s">
        <v>1055</v>
      </c>
      <c r="F453" s="88">
        <v>0</v>
      </c>
      <c r="G453" s="88">
        <v>0</v>
      </c>
      <c r="H453" s="88">
        <v>0</v>
      </c>
      <c r="I453" s="88">
        <v>0</v>
      </c>
      <c r="J453" s="88">
        <v>0</v>
      </c>
      <c r="K453" s="88">
        <v>0</v>
      </c>
      <c r="L453" s="88">
        <v>0</v>
      </c>
      <c r="M453" s="88">
        <v>0</v>
      </c>
      <c r="N453" s="88">
        <v>0</v>
      </c>
      <c r="O453" s="88">
        <v>0</v>
      </c>
      <c r="P453" s="88">
        <v>0</v>
      </c>
      <c r="Q453" s="88">
        <v>0</v>
      </c>
      <c r="R453" s="88">
        <v>0</v>
      </c>
      <c r="S453" s="88">
        <f t="shared" si="6"/>
        <v>0</v>
      </c>
    </row>
    <row r="454" spans="1:19" x14ac:dyDescent="0.3">
      <c r="A454" s="195" t="s">
        <v>1056</v>
      </c>
      <c r="B454" s="177" t="s">
        <v>162</v>
      </c>
      <c r="C454" s="177" t="s">
        <v>163</v>
      </c>
      <c r="D454" s="201" t="s">
        <v>1057</v>
      </c>
      <c r="E454" s="88" t="s">
        <v>1058</v>
      </c>
      <c r="F454" s="88">
        <v>0</v>
      </c>
      <c r="G454" s="88">
        <v>0</v>
      </c>
      <c r="H454" s="88">
        <v>0</v>
      </c>
      <c r="I454" s="88">
        <v>0</v>
      </c>
      <c r="J454" s="88">
        <v>0</v>
      </c>
      <c r="K454" s="88">
        <v>0</v>
      </c>
      <c r="L454" s="88">
        <v>0</v>
      </c>
      <c r="M454" s="88">
        <v>0</v>
      </c>
      <c r="N454" s="88">
        <v>0</v>
      </c>
      <c r="O454" s="88">
        <v>0</v>
      </c>
      <c r="P454" s="88">
        <v>0</v>
      </c>
      <c r="Q454" s="88">
        <v>0</v>
      </c>
      <c r="R454" s="88">
        <v>0</v>
      </c>
      <c r="S454" s="88">
        <f t="shared" si="6"/>
        <v>0</v>
      </c>
    </row>
    <row r="455" spans="1:19" x14ac:dyDescent="0.3">
      <c r="A455" s="195" t="s">
        <v>1059</v>
      </c>
      <c r="B455" s="177" t="s">
        <v>162</v>
      </c>
      <c r="C455" s="177" t="s">
        <v>163</v>
      </c>
      <c r="D455" s="201" t="s">
        <v>1060</v>
      </c>
      <c r="E455" s="88" t="s">
        <v>1061</v>
      </c>
      <c r="F455" s="88">
        <v>0</v>
      </c>
      <c r="G455" s="88">
        <v>0</v>
      </c>
      <c r="H455" s="88">
        <v>0</v>
      </c>
      <c r="I455" s="88">
        <v>0</v>
      </c>
      <c r="J455" s="88">
        <v>0</v>
      </c>
      <c r="K455" s="88">
        <v>0</v>
      </c>
      <c r="L455" s="88">
        <v>0</v>
      </c>
      <c r="M455" s="88">
        <v>0</v>
      </c>
      <c r="N455" s="88">
        <v>0</v>
      </c>
      <c r="O455" s="88">
        <v>0</v>
      </c>
      <c r="P455" s="88">
        <v>0</v>
      </c>
      <c r="Q455" s="88">
        <v>0</v>
      </c>
      <c r="R455" s="88">
        <v>0</v>
      </c>
      <c r="S455" s="88">
        <f t="shared" si="6"/>
        <v>0</v>
      </c>
    </row>
    <row r="456" spans="1:19" x14ac:dyDescent="0.3">
      <c r="A456" s="195" t="s">
        <v>1062</v>
      </c>
      <c r="B456" s="177" t="s">
        <v>162</v>
      </c>
      <c r="C456" s="177" t="s">
        <v>163</v>
      </c>
      <c r="D456" s="201" t="s">
        <v>1063</v>
      </c>
      <c r="E456" s="88" t="s">
        <v>1064</v>
      </c>
      <c r="F456" s="88">
        <v>0</v>
      </c>
      <c r="G456" s="88">
        <v>0</v>
      </c>
      <c r="H456" s="88">
        <v>0</v>
      </c>
      <c r="I456" s="88">
        <v>0</v>
      </c>
      <c r="J456" s="88">
        <v>0</v>
      </c>
      <c r="K456" s="88">
        <v>0</v>
      </c>
      <c r="L456" s="88">
        <v>0</v>
      </c>
      <c r="M456" s="88">
        <v>0</v>
      </c>
      <c r="N456" s="88">
        <v>0</v>
      </c>
      <c r="O456" s="88">
        <v>0</v>
      </c>
      <c r="P456" s="88">
        <v>0</v>
      </c>
      <c r="Q456" s="88">
        <v>0</v>
      </c>
      <c r="R456" s="88">
        <v>0</v>
      </c>
      <c r="S456" s="88">
        <f t="shared" si="6"/>
        <v>0</v>
      </c>
    </row>
    <row r="457" spans="1:19" x14ac:dyDescent="0.3">
      <c r="A457" s="195" t="s">
        <v>1065</v>
      </c>
      <c r="B457" s="177" t="s">
        <v>162</v>
      </c>
      <c r="C457" s="177" t="s">
        <v>163</v>
      </c>
      <c r="D457" s="201" t="s">
        <v>1066</v>
      </c>
      <c r="E457" s="88" t="s">
        <v>1067</v>
      </c>
      <c r="F457" s="88">
        <v>0</v>
      </c>
      <c r="G457" s="88">
        <v>0</v>
      </c>
      <c r="H457" s="88">
        <v>0</v>
      </c>
      <c r="I457" s="88">
        <v>0</v>
      </c>
      <c r="J457" s="88">
        <v>0</v>
      </c>
      <c r="K457" s="88">
        <v>0</v>
      </c>
      <c r="L457" s="88">
        <v>0</v>
      </c>
      <c r="M457" s="88">
        <v>0</v>
      </c>
      <c r="N457" s="88">
        <v>0</v>
      </c>
      <c r="O457" s="88">
        <v>0</v>
      </c>
      <c r="P457" s="88">
        <v>0</v>
      </c>
      <c r="Q457" s="88">
        <v>0</v>
      </c>
      <c r="R457" s="88">
        <v>0</v>
      </c>
      <c r="S457" s="88">
        <f t="shared" si="6"/>
        <v>0</v>
      </c>
    </row>
    <row r="458" spans="1:19" x14ac:dyDescent="0.3">
      <c r="A458" s="195" t="s">
        <v>1068</v>
      </c>
      <c r="B458" s="177" t="s">
        <v>162</v>
      </c>
      <c r="C458" s="177" t="s">
        <v>163</v>
      </c>
      <c r="D458" s="201" t="s">
        <v>1069</v>
      </c>
      <c r="E458" s="88" t="s">
        <v>1070</v>
      </c>
      <c r="F458" s="88">
        <v>0</v>
      </c>
      <c r="G458" s="88">
        <v>0</v>
      </c>
      <c r="H458" s="88">
        <v>0</v>
      </c>
      <c r="I458" s="88">
        <v>0</v>
      </c>
      <c r="J458" s="88">
        <v>0</v>
      </c>
      <c r="K458" s="88">
        <v>0</v>
      </c>
      <c r="L458" s="88">
        <v>0</v>
      </c>
      <c r="M458" s="88">
        <v>0</v>
      </c>
      <c r="N458" s="88">
        <v>0</v>
      </c>
      <c r="O458" s="88">
        <v>0</v>
      </c>
      <c r="P458" s="88">
        <v>0</v>
      </c>
      <c r="Q458" s="88">
        <v>0</v>
      </c>
      <c r="R458" s="88">
        <v>0</v>
      </c>
      <c r="S458" s="88">
        <f t="shared" si="6"/>
        <v>0</v>
      </c>
    </row>
    <row r="459" spans="1:19" x14ac:dyDescent="0.3">
      <c r="A459" s="195" t="s">
        <v>1071</v>
      </c>
      <c r="B459" s="177" t="s">
        <v>162</v>
      </c>
      <c r="C459" s="177" t="s">
        <v>163</v>
      </c>
      <c r="D459" s="201" t="s">
        <v>1072</v>
      </c>
      <c r="E459" s="88" t="s">
        <v>1073</v>
      </c>
      <c r="F459" s="88">
        <v>0</v>
      </c>
      <c r="G459" s="88">
        <v>0</v>
      </c>
      <c r="H459" s="88">
        <v>0</v>
      </c>
      <c r="I459" s="88">
        <v>0</v>
      </c>
      <c r="J459" s="88">
        <v>0</v>
      </c>
      <c r="K459" s="88">
        <v>0</v>
      </c>
      <c r="L459" s="88">
        <v>0</v>
      </c>
      <c r="M459" s="88">
        <v>0</v>
      </c>
      <c r="N459" s="88">
        <v>0</v>
      </c>
      <c r="O459" s="88">
        <v>0</v>
      </c>
      <c r="P459" s="88">
        <v>0</v>
      </c>
      <c r="Q459" s="88">
        <v>0</v>
      </c>
      <c r="R459" s="88">
        <v>0</v>
      </c>
      <c r="S459" s="88">
        <f t="shared" si="6"/>
        <v>0</v>
      </c>
    </row>
    <row r="460" spans="1:19" x14ac:dyDescent="0.3">
      <c r="A460" s="195" t="s">
        <v>1074</v>
      </c>
      <c r="B460" s="177" t="s">
        <v>162</v>
      </c>
      <c r="C460" s="177" t="s">
        <v>163</v>
      </c>
      <c r="D460" s="201" t="s">
        <v>1075</v>
      </c>
      <c r="E460" s="88" t="s">
        <v>1076</v>
      </c>
      <c r="F460" s="88">
        <v>0</v>
      </c>
      <c r="G460" s="88">
        <v>0</v>
      </c>
      <c r="H460" s="88">
        <v>0</v>
      </c>
      <c r="I460" s="88">
        <v>0</v>
      </c>
      <c r="J460" s="88">
        <v>0</v>
      </c>
      <c r="K460" s="88">
        <v>0</v>
      </c>
      <c r="L460" s="88">
        <v>0</v>
      </c>
      <c r="M460" s="88">
        <v>0</v>
      </c>
      <c r="N460" s="88">
        <v>0</v>
      </c>
      <c r="O460" s="88">
        <v>0</v>
      </c>
      <c r="P460" s="88">
        <v>0</v>
      </c>
      <c r="Q460" s="88">
        <v>0</v>
      </c>
      <c r="R460" s="88">
        <v>0</v>
      </c>
      <c r="S460" s="88">
        <f t="shared" si="6"/>
        <v>0</v>
      </c>
    </row>
    <row r="461" spans="1:19" x14ac:dyDescent="0.3">
      <c r="A461" s="195" t="s">
        <v>1077</v>
      </c>
      <c r="B461" s="177" t="s">
        <v>162</v>
      </c>
      <c r="C461" s="177" t="s">
        <v>163</v>
      </c>
      <c r="D461" s="201" t="s">
        <v>1078</v>
      </c>
      <c r="E461" s="88" t="s">
        <v>1079</v>
      </c>
      <c r="F461" s="88">
        <v>0</v>
      </c>
      <c r="G461" s="88">
        <v>0</v>
      </c>
      <c r="H461" s="88">
        <v>0</v>
      </c>
      <c r="I461" s="88">
        <v>0</v>
      </c>
      <c r="J461" s="88">
        <v>0</v>
      </c>
      <c r="K461" s="88">
        <v>0</v>
      </c>
      <c r="L461" s="88">
        <v>0</v>
      </c>
      <c r="M461" s="88">
        <v>0</v>
      </c>
      <c r="N461" s="88">
        <v>0</v>
      </c>
      <c r="O461" s="88">
        <v>0</v>
      </c>
      <c r="P461" s="88">
        <v>0</v>
      </c>
      <c r="Q461" s="88">
        <v>0</v>
      </c>
      <c r="R461" s="88">
        <v>0</v>
      </c>
      <c r="S461" s="88">
        <f t="shared" si="6"/>
        <v>0</v>
      </c>
    </row>
    <row r="462" spans="1:19" x14ac:dyDescent="0.3">
      <c r="A462" s="195" t="s">
        <v>1010</v>
      </c>
      <c r="B462" s="177" t="s">
        <v>162</v>
      </c>
      <c r="C462" s="177" t="s">
        <v>163</v>
      </c>
      <c r="D462" s="201" t="s">
        <v>1080</v>
      </c>
      <c r="E462" s="88" t="s">
        <v>1081</v>
      </c>
      <c r="F462" s="88">
        <v>0</v>
      </c>
      <c r="G462" s="88">
        <v>0</v>
      </c>
      <c r="H462" s="88">
        <v>0</v>
      </c>
      <c r="I462" s="88">
        <v>0</v>
      </c>
      <c r="J462" s="88">
        <v>0</v>
      </c>
      <c r="K462" s="88">
        <v>0</v>
      </c>
      <c r="L462" s="88">
        <v>0</v>
      </c>
      <c r="M462" s="88">
        <v>0</v>
      </c>
      <c r="N462" s="88">
        <v>0</v>
      </c>
      <c r="O462" s="88">
        <v>0</v>
      </c>
      <c r="P462" s="88">
        <v>0</v>
      </c>
      <c r="Q462" s="88">
        <v>0</v>
      </c>
      <c r="R462" s="88">
        <v>0</v>
      </c>
      <c r="S462" s="88">
        <f t="shared" si="6"/>
        <v>0</v>
      </c>
    </row>
    <row r="463" spans="1:19" x14ac:dyDescent="0.3">
      <c r="A463" s="195" t="s">
        <v>1082</v>
      </c>
      <c r="B463" s="177" t="s">
        <v>162</v>
      </c>
      <c r="C463" s="177" t="s">
        <v>163</v>
      </c>
      <c r="D463" s="201" t="s">
        <v>1083</v>
      </c>
      <c r="E463" s="88" t="s">
        <v>1084</v>
      </c>
      <c r="F463" s="88">
        <v>0</v>
      </c>
      <c r="G463" s="88">
        <v>0</v>
      </c>
      <c r="H463" s="88">
        <v>0</v>
      </c>
      <c r="I463" s="88">
        <v>0</v>
      </c>
      <c r="J463" s="88">
        <v>0</v>
      </c>
      <c r="K463" s="88">
        <v>0</v>
      </c>
      <c r="L463" s="88">
        <v>0</v>
      </c>
      <c r="M463" s="88">
        <v>0</v>
      </c>
      <c r="N463" s="88">
        <v>0</v>
      </c>
      <c r="O463" s="88">
        <v>0</v>
      </c>
      <c r="P463" s="88">
        <v>0</v>
      </c>
      <c r="Q463" s="88">
        <v>0</v>
      </c>
      <c r="R463" s="88">
        <v>0</v>
      </c>
      <c r="S463" s="88">
        <f t="shared" ref="S463:S466" si="7">SUM(F463:R463)</f>
        <v>0</v>
      </c>
    </row>
    <row r="464" spans="1:19" x14ac:dyDescent="0.3">
      <c r="A464" s="195" t="s">
        <v>1085</v>
      </c>
      <c r="B464" s="177" t="s">
        <v>162</v>
      </c>
      <c r="C464" s="177" t="s">
        <v>163</v>
      </c>
      <c r="D464" s="201" t="s">
        <v>1086</v>
      </c>
      <c r="E464" s="88" t="s">
        <v>1087</v>
      </c>
      <c r="F464" s="88">
        <v>0</v>
      </c>
      <c r="G464" s="88">
        <v>0</v>
      </c>
      <c r="H464" s="88">
        <v>0</v>
      </c>
      <c r="I464" s="88">
        <v>0</v>
      </c>
      <c r="J464" s="88">
        <v>0</v>
      </c>
      <c r="K464" s="88">
        <v>0</v>
      </c>
      <c r="L464" s="88">
        <v>0</v>
      </c>
      <c r="M464" s="88">
        <v>0</v>
      </c>
      <c r="N464" s="88">
        <v>0</v>
      </c>
      <c r="O464" s="88">
        <v>0</v>
      </c>
      <c r="P464" s="88">
        <v>0</v>
      </c>
      <c r="Q464" s="88">
        <v>0</v>
      </c>
      <c r="R464" s="88">
        <v>0</v>
      </c>
      <c r="S464" s="88">
        <f t="shared" si="7"/>
        <v>0</v>
      </c>
    </row>
    <row r="465" spans="1:19" x14ac:dyDescent="0.3">
      <c r="A465" s="195" t="s">
        <v>1088</v>
      </c>
      <c r="B465" s="177" t="s">
        <v>162</v>
      </c>
      <c r="C465" s="177" t="s">
        <v>163</v>
      </c>
      <c r="D465" s="201" t="s">
        <v>1089</v>
      </c>
      <c r="E465" s="88" t="s">
        <v>1090</v>
      </c>
      <c r="F465" s="88">
        <v>0</v>
      </c>
      <c r="G465" s="88">
        <v>0</v>
      </c>
      <c r="H465" s="88">
        <v>0</v>
      </c>
      <c r="I465" s="88">
        <v>0</v>
      </c>
      <c r="J465" s="88">
        <v>0</v>
      </c>
      <c r="K465" s="88">
        <v>0</v>
      </c>
      <c r="L465" s="88">
        <v>0</v>
      </c>
      <c r="M465" s="88">
        <v>0</v>
      </c>
      <c r="N465" s="88">
        <v>0</v>
      </c>
      <c r="O465" s="88">
        <v>0</v>
      </c>
      <c r="P465" s="88">
        <v>0</v>
      </c>
      <c r="Q465" s="88">
        <v>0</v>
      </c>
      <c r="R465" s="88">
        <v>0</v>
      </c>
      <c r="S465" s="88">
        <f t="shared" si="7"/>
        <v>0</v>
      </c>
    </row>
    <row r="466" spans="1:19" x14ac:dyDescent="0.3">
      <c r="A466" s="195" t="s">
        <v>1091</v>
      </c>
      <c r="B466" s="177" t="s">
        <v>162</v>
      </c>
      <c r="C466" s="177" t="s">
        <v>163</v>
      </c>
      <c r="D466" s="201" t="s">
        <v>1092</v>
      </c>
      <c r="E466" s="88" t="s">
        <v>1093</v>
      </c>
      <c r="F466" s="88">
        <v>0</v>
      </c>
      <c r="G466" s="88">
        <v>0</v>
      </c>
      <c r="H466" s="88">
        <v>0</v>
      </c>
      <c r="I466" s="88">
        <v>0</v>
      </c>
      <c r="J466" s="88">
        <v>0</v>
      </c>
      <c r="K466" s="88">
        <v>0</v>
      </c>
      <c r="L466" s="88">
        <v>0</v>
      </c>
      <c r="M466" s="88">
        <v>0</v>
      </c>
      <c r="N466" s="88">
        <v>0</v>
      </c>
      <c r="O466" s="88">
        <v>0</v>
      </c>
      <c r="P466" s="88">
        <v>0</v>
      </c>
      <c r="Q466" s="88">
        <v>0</v>
      </c>
      <c r="R466" s="88">
        <v>0</v>
      </c>
      <c r="S466" s="88">
        <f t="shared" si="7"/>
        <v>0</v>
      </c>
    </row>
    <row r="467" spans="1:19" x14ac:dyDescent="0.3">
      <c r="B467"/>
      <c r="C467" s="79"/>
      <c r="D467" s="197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/>
      <c r="P467"/>
      <c r="Q467"/>
      <c r="R467"/>
      <c r="S467"/>
    </row>
  </sheetData>
  <dataValidations count="1">
    <dataValidation type="list" allowBlank="1" showInputMessage="1" showErrorMessage="1" sqref="E6" xr:uid="{2EBBC76A-45DB-4EF1-9A29-273AE64FFDDB}">
      <formula1>"YES,NO"</formula1>
    </dataValidation>
  </dataValidations>
  <pageMargins left="0.7" right="0.7" top="0.75" bottom="0.75" header="0.3" footer="0.3"/>
  <customProperties>
    <customPr name="_pios_id" r:id="rId1"/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C6A8A-5427-43AE-9940-C14942923A0A}">
  <sheetPr>
    <tabColor rgb="FF92D050"/>
  </sheetPr>
  <dimension ref="A1:R466"/>
  <sheetViews>
    <sheetView zoomScale="85" zoomScaleNormal="85" workbookViewId="0">
      <selection activeCell="F14" sqref="F14:R466"/>
    </sheetView>
  </sheetViews>
  <sheetFormatPr defaultRowHeight="14.4" x14ac:dyDescent="0.3"/>
  <cols>
    <col min="1" max="1" width="13.109375" style="195" customWidth="1"/>
    <col min="2" max="2" width="18" bestFit="1" customWidth="1"/>
    <col min="3" max="3" width="13.6640625" bestFit="1" customWidth="1"/>
    <col min="4" max="4" width="19.33203125" bestFit="1" customWidth="1"/>
    <col min="5" max="5" width="47.33203125" bestFit="1" customWidth="1"/>
    <col min="6" max="18" width="20.88671875" bestFit="1" customWidth="1"/>
  </cols>
  <sheetData>
    <row r="1" spans="1:18" x14ac:dyDescent="0.3">
      <c r="D1" s="195"/>
    </row>
    <row r="2" spans="1:18" ht="15" thickBot="1" x14ac:dyDescent="0.35">
      <c r="D2" s="195"/>
    </row>
    <row r="3" spans="1:18" ht="15" thickBot="1" x14ac:dyDescent="0.35">
      <c r="D3" s="196" t="s">
        <v>132</v>
      </c>
      <c r="E3" s="179" t="s">
        <v>1094</v>
      </c>
    </row>
    <row r="4" spans="1:18" ht="15" thickBot="1" x14ac:dyDescent="0.35">
      <c r="D4" s="196" t="s">
        <v>134</v>
      </c>
      <c r="E4" s="179" t="s">
        <v>135</v>
      </c>
    </row>
    <row r="5" spans="1:18" ht="15" thickBot="1" x14ac:dyDescent="0.35">
      <c r="D5" s="196" t="s">
        <v>136</v>
      </c>
      <c r="E5" s="179" t="s">
        <v>1095</v>
      </c>
    </row>
    <row r="6" spans="1:18" ht="15" thickBot="1" x14ac:dyDescent="0.35">
      <c r="D6" s="196" t="s">
        <v>138</v>
      </c>
      <c r="E6" s="180" t="s">
        <v>139</v>
      </c>
    </row>
    <row r="8" spans="1:18" x14ac:dyDescent="0.3">
      <c r="B8" s="181"/>
      <c r="C8" s="182"/>
      <c r="D8" s="198"/>
      <c r="E8" s="183"/>
    </row>
    <row r="9" spans="1:18" ht="25.2" x14ac:dyDescent="0.3">
      <c r="B9" s="184" t="s">
        <v>140</v>
      </c>
      <c r="C9" s="185"/>
      <c r="D9" s="199"/>
      <c r="E9" s="186"/>
    </row>
    <row r="10" spans="1:18" x14ac:dyDescent="0.3">
      <c r="B10" s="187"/>
      <c r="C10" s="188"/>
      <c r="D10" s="200"/>
      <c r="E10" s="189"/>
    </row>
    <row r="11" spans="1:18" x14ac:dyDescent="0.3">
      <c r="D11" s="195"/>
    </row>
    <row r="12" spans="1:18" ht="16.2" x14ac:dyDescent="0.3">
      <c r="B12" s="80" t="s">
        <v>1096</v>
      </c>
      <c r="C12" s="80" t="s">
        <v>1097</v>
      </c>
      <c r="D12" s="81"/>
      <c r="E12" s="82" t="s">
        <v>1098</v>
      </c>
      <c r="F12" s="84" t="s">
        <v>1099</v>
      </c>
      <c r="G12" s="84" t="s">
        <v>1099</v>
      </c>
      <c r="H12" s="84" t="s">
        <v>1099</v>
      </c>
      <c r="I12" s="84" t="s">
        <v>1099</v>
      </c>
      <c r="J12" s="84" t="s">
        <v>1099</v>
      </c>
      <c r="K12" s="84" t="s">
        <v>1099</v>
      </c>
      <c r="L12" s="84" t="s">
        <v>1099</v>
      </c>
      <c r="M12" s="84" t="s">
        <v>1099</v>
      </c>
      <c r="N12" s="84" t="s">
        <v>1099</v>
      </c>
      <c r="O12" s="84" t="s">
        <v>1099</v>
      </c>
      <c r="P12" s="84" t="s">
        <v>1099</v>
      </c>
      <c r="Q12" s="84" t="s">
        <v>1099</v>
      </c>
      <c r="R12" s="84" t="s">
        <v>1099</v>
      </c>
    </row>
    <row r="13" spans="1:18" ht="16.2" x14ac:dyDescent="0.3">
      <c r="B13" s="85" t="s">
        <v>1100</v>
      </c>
      <c r="C13" s="85" t="s">
        <v>1101</v>
      </c>
      <c r="D13" s="86" t="s">
        <v>1102</v>
      </c>
      <c r="E13" s="87" t="s">
        <v>1103</v>
      </c>
      <c r="F13" s="84" t="s">
        <v>1104</v>
      </c>
      <c r="G13" s="84" t="s">
        <v>1105</v>
      </c>
      <c r="H13" s="84" t="s">
        <v>1106</v>
      </c>
      <c r="I13" s="84" t="s">
        <v>1107</v>
      </c>
      <c r="J13" s="84" t="s">
        <v>1108</v>
      </c>
      <c r="K13" s="84" t="s">
        <v>1109</v>
      </c>
      <c r="L13" s="84" t="s">
        <v>1110</v>
      </c>
      <c r="M13" s="84" t="s">
        <v>1111</v>
      </c>
      <c r="N13" s="84" t="s">
        <v>1112</v>
      </c>
      <c r="O13" s="84" t="s">
        <v>1113</v>
      </c>
      <c r="P13" s="84" t="s">
        <v>1114</v>
      </c>
      <c r="Q13" s="84" t="s">
        <v>1115</v>
      </c>
      <c r="R13" s="84" t="s">
        <v>1116</v>
      </c>
    </row>
    <row r="14" spans="1:18" x14ac:dyDescent="0.3">
      <c r="A14" s="195">
        <v>101</v>
      </c>
      <c r="B14" s="177">
        <v>1001</v>
      </c>
      <c r="C14" s="177" t="s">
        <v>163</v>
      </c>
      <c r="D14" s="201" t="s">
        <v>164</v>
      </c>
      <c r="E14" s="88" t="s">
        <v>1117</v>
      </c>
      <c r="F14" s="88">
        <v>11571960811.700001</v>
      </c>
      <c r="G14" s="88">
        <v>11646604827.530001</v>
      </c>
      <c r="H14" s="88">
        <v>11699312509.530001</v>
      </c>
      <c r="I14" s="88">
        <v>11931074032.540001</v>
      </c>
      <c r="J14" s="88">
        <v>12227843933.66</v>
      </c>
      <c r="K14" s="88">
        <v>12620506628.41</v>
      </c>
      <c r="L14" s="88">
        <v>12677288185.309999</v>
      </c>
      <c r="M14" s="88">
        <v>12742732677.700001</v>
      </c>
      <c r="N14" s="88">
        <v>12812126338.200001</v>
      </c>
      <c r="O14" s="88">
        <v>12880285225.1</v>
      </c>
      <c r="P14" s="88">
        <v>12922495913.620001</v>
      </c>
      <c r="Q14" s="88">
        <v>13336395117.290001</v>
      </c>
      <c r="R14" s="88">
        <v>13336395117.290001</v>
      </c>
    </row>
    <row r="15" spans="1:18" x14ac:dyDescent="0.3">
      <c r="A15" s="195">
        <v>101</v>
      </c>
      <c r="B15" s="177">
        <v>1001</v>
      </c>
      <c r="C15" s="177" t="s">
        <v>163</v>
      </c>
      <c r="D15" s="201" t="s">
        <v>166</v>
      </c>
      <c r="E15" s="88" t="s">
        <v>1118</v>
      </c>
      <c r="F15" s="88">
        <v>32522352.653458599</v>
      </c>
      <c r="G15" s="88">
        <v>32304541.044683099</v>
      </c>
      <c r="H15" s="88">
        <v>32086282.0562828</v>
      </c>
      <c r="I15" s="88">
        <v>31867574.365232199</v>
      </c>
      <c r="J15" s="88">
        <v>31648416.644758299</v>
      </c>
      <c r="K15" s="88">
        <v>31428807.564331502</v>
      </c>
      <c r="L15" s="88">
        <v>31208745.789655399</v>
      </c>
      <c r="M15" s="88">
        <v>30988226.714790799</v>
      </c>
      <c r="N15" s="88">
        <v>30767248.985732999</v>
      </c>
      <c r="O15" s="88">
        <v>30699412.680068001</v>
      </c>
      <c r="P15" s="88">
        <v>30631647.5253786</v>
      </c>
      <c r="Q15" s="88">
        <v>30563953.851309299</v>
      </c>
      <c r="R15" s="88">
        <v>30563953.851309299</v>
      </c>
    </row>
    <row r="16" spans="1:18" x14ac:dyDescent="0.3">
      <c r="A16" s="195">
        <v>102</v>
      </c>
      <c r="B16" s="177">
        <v>1001</v>
      </c>
      <c r="C16" s="177" t="s">
        <v>163</v>
      </c>
      <c r="D16" s="201" t="s">
        <v>168</v>
      </c>
      <c r="E16" s="88" t="s">
        <v>1119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</row>
    <row r="17" spans="1:18" x14ac:dyDescent="0.3">
      <c r="A17" s="195">
        <v>103</v>
      </c>
      <c r="B17" s="177">
        <v>1001</v>
      </c>
      <c r="C17" s="177" t="s">
        <v>163</v>
      </c>
      <c r="D17" s="201" t="s">
        <v>170</v>
      </c>
      <c r="E17" s="88" t="s">
        <v>1120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</row>
    <row r="18" spans="1:18" x14ac:dyDescent="0.3">
      <c r="A18" s="195">
        <v>103</v>
      </c>
      <c r="B18" s="177">
        <v>1001</v>
      </c>
      <c r="C18" s="177" t="s">
        <v>163</v>
      </c>
      <c r="D18" s="201" t="s">
        <v>172</v>
      </c>
      <c r="E18" s="88" t="s">
        <v>1121</v>
      </c>
      <c r="F18" s="88">
        <v>0</v>
      </c>
      <c r="G18" s="88">
        <v>0</v>
      </c>
      <c r="H18" s="88">
        <v>0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</row>
    <row r="19" spans="1:18" x14ac:dyDescent="0.3">
      <c r="A19" s="195">
        <v>104</v>
      </c>
      <c r="B19" s="177">
        <v>1001</v>
      </c>
      <c r="C19" s="177" t="s">
        <v>163</v>
      </c>
      <c r="D19" s="201" t="s">
        <v>174</v>
      </c>
      <c r="E19" s="88" t="s">
        <v>1122</v>
      </c>
      <c r="F19" s="88">
        <v>0</v>
      </c>
      <c r="G19" s="88">
        <v>0</v>
      </c>
      <c r="H19" s="88">
        <v>0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</row>
    <row r="20" spans="1:18" x14ac:dyDescent="0.3">
      <c r="A20" s="195">
        <v>105</v>
      </c>
      <c r="B20" s="177">
        <v>1001</v>
      </c>
      <c r="C20" s="177" t="s">
        <v>163</v>
      </c>
      <c r="D20" s="201" t="s">
        <v>176</v>
      </c>
      <c r="E20" s="88" t="s">
        <v>1123</v>
      </c>
      <c r="F20" s="88">
        <v>64262399.530000001</v>
      </c>
      <c r="G20" s="88">
        <v>70262399.530000001</v>
      </c>
      <c r="H20" s="88">
        <v>70262399.530000001</v>
      </c>
      <c r="I20" s="88">
        <v>70262399.530000001</v>
      </c>
      <c r="J20" s="88">
        <v>70262399.530000001</v>
      </c>
      <c r="K20" s="88">
        <v>70264952.269999996</v>
      </c>
      <c r="L20" s="88">
        <v>70264952.269999996</v>
      </c>
      <c r="M20" s="88">
        <v>70264952.269999996</v>
      </c>
      <c r="N20" s="88">
        <v>70764952.269999996</v>
      </c>
      <c r="O20" s="88">
        <v>70764952.269999996</v>
      </c>
      <c r="P20" s="88">
        <v>70764952.269999996</v>
      </c>
      <c r="Q20" s="88">
        <v>70764952.269999996</v>
      </c>
      <c r="R20" s="88">
        <v>70764952.269999996</v>
      </c>
    </row>
    <row r="21" spans="1:18" x14ac:dyDescent="0.3">
      <c r="A21" s="195">
        <v>105</v>
      </c>
      <c r="B21" s="177">
        <v>1001</v>
      </c>
      <c r="C21" s="177" t="s">
        <v>163</v>
      </c>
      <c r="D21" s="201" t="s">
        <v>178</v>
      </c>
      <c r="E21" s="88" t="s">
        <v>1124</v>
      </c>
      <c r="F21" s="88">
        <v>0</v>
      </c>
      <c r="G21" s="88">
        <v>0</v>
      </c>
      <c r="H21" s="88">
        <v>0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</row>
    <row r="22" spans="1:18" x14ac:dyDescent="0.3">
      <c r="A22" s="195">
        <v>106</v>
      </c>
      <c r="B22" s="177">
        <v>1001</v>
      </c>
      <c r="C22" s="177" t="s">
        <v>163</v>
      </c>
      <c r="D22" s="201" t="s">
        <v>180</v>
      </c>
      <c r="E22" s="88" t="s">
        <v>1125</v>
      </c>
      <c r="F22" s="88">
        <v>2078381704.5999999</v>
      </c>
      <c r="G22" s="88">
        <v>2078381704.5999999</v>
      </c>
      <c r="H22" s="88">
        <v>2078381704.5999999</v>
      </c>
      <c r="I22" s="88">
        <v>2078381704.5999999</v>
      </c>
      <c r="J22" s="88">
        <v>2078381704.5999999</v>
      </c>
      <c r="K22" s="88">
        <v>2078381704.5999999</v>
      </c>
      <c r="L22" s="88">
        <v>2078381704.5999999</v>
      </c>
      <c r="M22" s="88">
        <v>2078381704.5999999</v>
      </c>
      <c r="N22" s="88">
        <v>2078381704.5999999</v>
      </c>
      <c r="O22" s="88">
        <v>2078381704.5999999</v>
      </c>
      <c r="P22" s="88">
        <v>2078381704.5999999</v>
      </c>
      <c r="Q22" s="88">
        <v>2078381704.5999999</v>
      </c>
      <c r="R22" s="88">
        <v>2078381704.5999999</v>
      </c>
    </row>
    <row r="23" spans="1:18" x14ac:dyDescent="0.3">
      <c r="A23" s="195">
        <v>107</v>
      </c>
      <c r="B23" s="177">
        <v>1001</v>
      </c>
      <c r="C23" s="177" t="s">
        <v>163</v>
      </c>
      <c r="D23" s="201" t="s">
        <v>182</v>
      </c>
      <c r="E23" s="88" t="s">
        <v>1126</v>
      </c>
      <c r="F23" s="88">
        <v>1214318497.9300001</v>
      </c>
      <c r="G23" s="88">
        <v>1262739751.25</v>
      </c>
      <c r="H23" s="88">
        <v>1343231884.01</v>
      </c>
      <c r="I23" s="88">
        <v>1234133481.72</v>
      </c>
      <c r="J23" s="88">
        <v>1049240158.98</v>
      </c>
      <c r="K23" s="88">
        <v>826404685.28999996</v>
      </c>
      <c r="L23" s="88">
        <v>945656796.55999994</v>
      </c>
      <c r="M23" s="88">
        <v>974098326.90999997</v>
      </c>
      <c r="N23" s="88">
        <v>989658225.41999996</v>
      </c>
      <c r="O23" s="88">
        <v>996139255.25</v>
      </c>
      <c r="P23" s="88">
        <v>1026714721.87</v>
      </c>
      <c r="Q23" s="88">
        <v>711966473.15999997</v>
      </c>
      <c r="R23" s="88">
        <v>711966473.15999997</v>
      </c>
    </row>
    <row r="24" spans="1:18" x14ac:dyDescent="0.3">
      <c r="A24" s="195">
        <v>108</v>
      </c>
      <c r="B24" s="177">
        <v>1001</v>
      </c>
      <c r="C24" s="177" t="s">
        <v>163</v>
      </c>
      <c r="D24" s="201" t="s">
        <v>184</v>
      </c>
      <c r="E24" s="88" t="s">
        <v>1127</v>
      </c>
      <c r="F24" s="88">
        <v>-3821735977.6700001</v>
      </c>
      <c r="G24" s="88">
        <v>-3854584185.54</v>
      </c>
      <c r="H24" s="88">
        <v>-3884507734.1399999</v>
      </c>
      <c r="I24" s="88">
        <v>-3916435951.4400001</v>
      </c>
      <c r="J24" s="88">
        <v>-3930343542.4000001</v>
      </c>
      <c r="K24" s="88">
        <v>-3960794560.75</v>
      </c>
      <c r="L24" s="88">
        <v>-3993731316.4000001</v>
      </c>
      <c r="M24" s="88">
        <v>-4030220234.46</v>
      </c>
      <c r="N24" s="88">
        <v>-4063828317.0100002</v>
      </c>
      <c r="O24" s="88">
        <v>-4090890449.6399999</v>
      </c>
      <c r="P24" s="88">
        <v>-4125195695.21</v>
      </c>
      <c r="Q24" s="88">
        <v>-4143340762.1500001</v>
      </c>
      <c r="R24" s="88">
        <v>-4143340762.1500001</v>
      </c>
    </row>
    <row r="25" spans="1:18" x14ac:dyDescent="0.3">
      <c r="A25" s="195">
        <v>111</v>
      </c>
      <c r="B25" s="177">
        <v>1001</v>
      </c>
      <c r="C25" s="177" t="s">
        <v>163</v>
      </c>
      <c r="D25" s="201" t="s">
        <v>186</v>
      </c>
      <c r="E25" s="88" t="s">
        <v>1128</v>
      </c>
      <c r="F25" s="88">
        <v>-176207753.63</v>
      </c>
      <c r="G25" s="88">
        <v>-179444675.59</v>
      </c>
      <c r="H25" s="88">
        <v>-182683910.24000001</v>
      </c>
      <c r="I25" s="88">
        <v>-185936065.91999999</v>
      </c>
      <c r="J25" s="88">
        <v>-189133203.63999999</v>
      </c>
      <c r="K25" s="88">
        <v>-192389054.81999999</v>
      </c>
      <c r="L25" s="88">
        <v>-195326725.13999999</v>
      </c>
      <c r="M25" s="88">
        <v>-198172591.03</v>
      </c>
      <c r="N25" s="88">
        <v>-201428782.78</v>
      </c>
      <c r="O25" s="88">
        <v>-204629874.08000001</v>
      </c>
      <c r="P25" s="88">
        <v>-208198853.63999999</v>
      </c>
      <c r="Q25" s="88">
        <v>-211782127.44999999</v>
      </c>
      <c r="R25" s="88">
        <v>-211782127.44999999</v>
      </c>
    </row>
    <row r="26" spans="1:18" x14ac:dyDescent="0.3">
      <c r="A26" s="195">
        <v>114</v>
      </c>
      <c r="B26" s="177">
        <v>1001</v>
      </c>
      <c r="C26" s="177" t="s">
        <v>163</v>
      </c>
      <c r="D26" s="201" t="s">
        <v>188</v>
      </c>
      <c r="E26" s="88" t="s">
        <v>1129</v>
      </c>
      <c r="F26" s="88">
        <v>7484822.7599999998</v>
      </c>
      <c r="G26" s="88">
        <v>7484822.7599999998</v>
      </c>
      <c r="H26" s="88">
        <v>7484822.7599999998</v>
      </c>
      <c r="I26" s="88">
        <v>7484822.7599999998</v>
      </c>
      <c r="J26" s="88">
        <v>7484822.7599999998</v>
      </c>
      <c r="K26" s="88">
        <v>7484822.7599999998</v>
      </c>
      <c r="L26" s="88">
        <v>7484822.7599999998</v>
      </c>
      <c r="M26" s="88">
        <v>7484822.7599999998</v>
      </c>
      <c r="N26" s="88">
        <v>7484822.7599999998</v>
      </c>
      <c r="O26" s="88">
        <v>7484822.7599999998</v>
      </c>
      <c r="P26" s="88">
        <v>7484822.7599999998</v>
      </c>
      <c r="Q26" s="88">
        <v>7484822.7599999998</v>
      </c>
      <c r="R26" s="88">
        <v>7484822.7599999998</v>
      </c>
    </row>
    <row r="27" spans="1:18" x14ac:dyDescent="0.3">
      <c r="A27" s="195">
        <v>115</v>
      </c>
      <c r="B27" s="177">
        <v>1001</v>
      </c>
      <c r="C27" s="177" t="s">
        <v>163</v>
      </c>
      <c r="D27" s="201" t="s">
        <v>190</v>
      </c>
      <c r="E27" s="88" t="s">
        <v>1130</v>
      </c>
      <c r="F27" s="88">
        <v>-6903091.9000000004</v>
      </c>
      <c r="G27" s="88">
        <v>-6922817.6299999999</v>
      </c>
      <c r="H27" s="88">
        <v>-6942543.3600000003</v>
      </c>
      <c r="I27" s="88">
        <v>-6962269.0899999999</v>
      </c>
      <c r="J27" s="88">
        <v>-6981994.8200000003</v>
      </c>
      <c r="K27" s="88">
        <v>-7001720.5499999998</v>
      </c>
      <c r="L27" s="88">
        <v>-7021446.2800000003</v>
      </c>
      <c r="M27" s="88">
        <v>-7041172.0099999998</v>
      </c>
      <c r="N27" s="88">
        <v>-7060897.7400000002</v>
      </c>
      <c r="O27" s="88">
        <v>-7080623.4699999997</v>
      </c>
      <c r="P27" s="88">
        <v>-7100349.2000000002</v>
      </c>
      <c r="Q27" s="88">
        <v>-7120074.9299999997</v>
      </c>
      <c r="R27" s="88">
        <v>-7120074.9299999997</v>
      </c>
    </row>
    <row r="28" spans="1:18" x14ac:dyDescent="0.3">
      <c r="A28" s="195">
        <v>116</v>
      </c>
      <c r="B28" s="177">
        <v>1001</v>
      </c>
      <c r="C28" s="177" t="s">
        <v>163</v>
      </c>
      <c r="D28" s="201" t="s">
        <v>192</v>
      </c>
      <c r="E28" s="88" t="s">
        <v>1131</v>
      </c>
      <c r="F28" s="88">
        <v>0</v>
      </c>
      <c r="G28" s="88">
        <v>0</v>
      </c>
      <c r="H28" s="88">
        <v>0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</row>
    <row r="29" spans="1:18" x14ac:dyDescent="0.3">
      <c r="A29" s="195">
        <v>117</v>
      </c>
      <c r="B29" s="177">
        <v>1001</v>
      </c>
      <c r="C29" s="177" t="s">
        <v>163</v>
      </c>
      <c r="D29" s="201" t="s">
        <v>194</v>
      </c>
      <c r="E29" s="88" t="s">
        <v>1132</v>
      </c>
      <c r="F29" s="88">
        <v>0</v>
      </c>
      <c r="G29" s="88">
        <v>0</v>
      </c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</row>
    <row r="30" spans="1:18" x14ac:dyDescent="0.3">
      <c r="A30" s="195">
        <v>117</v>
      </c>
      <c r="B30" s="177">
        <v>1001</v>
      </c>
      <c r="C30" s="177" t="s">
        <v>163</v>
      </c>
      <c r="D30" s="201" t="s">
        <v>196</v>
      </c>
      <c r="E30" s="88" t="s">
        <v>1133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</row>
    <row r="31" spans="1:18" x14ac:dyDescent="0.3">
      <c r="A31" s="195">
        <v>117</v>
      </c>
      <c r="B31" s="177">
        <v>1001</v>
      </c>
      <c r="C31" s="177" t="s">
        <v>163</v>
      </c>
      <c r="D31" s="201" t="s">
        <v>198</v>
      </c>
      <c r="E31" s="88" t="s">
        <v>1134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</row>
    <row r="32" spans="1:18" x14ac:dyDescent="0.3">
      <c r="A32" s="195">
        <v>117</v>
      </c>
      <c r="B32" s="177">
        <v>1001</v>
      </c>
      <c r="C32" s="177" t="s">
        <v>163</v>
      </c>
      <c r="D32" s="201" t="s">
        <v>200</v>
      </c>
      <c r="E32" s="88" t="s">
        <v>1135</v>
      </c>
      <c r="F32" s="88">
        <v>0</v>
      </c>
      <c r="G32" s="88">
        <v>0</v>
      </c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</row>
    <row r="33" spans="1:18" x14ac:dyDescent="0.3">
      <c r="A33" s="195">
        <v>118</v>
      </c>
      <c r="B33" s="177">
        <v>1001</v>
      </c>
      <c r="C33" s="177" t="s">
        <v>163</v>
      </c>
      <c r="D33" s="201" t="s">
        <v>202</v>
      </c>
      <c r="E33" s="88" t="s">
        <v>1136</v>
      </c>
      <c r="F33" s="88">
        <v>0</v>
      </c>
      <c r="G33" s="88">
        <v>0</v>
      </c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</row>
    <row r="34" spans="1:18" x14ac:dyDescent="0.3">
      <c r="A34" s="195">
        <v>119</v>
      </c>
      <c r="B34" s="177">
        <v>1001</v>
      </c>
      <c r="C34" s="177" t="s">
        <v>163</v>
      </c>
      <c r="D34" s="201" t="s">
        <v>204</v>
      </c>
      <c r="E34" s="88" t="s">
        <v>1137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</row>
    <row r="35" spans="1:18" x14ac:dyDescent="0.3">
      <c r="A35" s="195">
        <v>121</v>
      </c>
      <c r="B35" s="177">
        <v>1001</v>
      </c>
      <c r="C35" s="177" t="s">
        <v>163</v>
      </c>
      <c r="D35" s="201" t="s">
        <v>206</v>
      </c>
      <c r="E35" s="88" t="s">
        <v>1138</v>
      </c>
      <c r="F35" s="88">
        <v>24216635.353333302</v>
      </c>
      <c r="G35" s="88">
        <v>24302119.289999999</v>
      </c>
      <c r="H35" s="88">
        <v>24386070.516666699</v>
      </c>
      <c r="I35" s="88">
        <v>24470572.623333301</v>
      </c>
      <c r="J35" s="88">
        <v>24540049.289999999</v>
      </c>
      <c r="K35" s="88">
        <v>24618124.826666702</v>
      </c>
      <c r="L35" s="88">
        <v>24587159.1833333</v>
      </c>
      <c r="M35" s="88">
        <v>24605693.02</v>
      </c>
      <c r="N35" s="88">
        <v>24669946.776666701</v>
      </c>
      <c r="O35" s="88">
        <v>24707308.053333301</v>
      </c>
      <c r="P35" s="88">
        <v>24808146.48</v>
      </c>
      <c r="Q35" s="88">
        <v>24891627.456666701</v>
      </c>
      <c r="R35" s="88">
        <v>24891627.456666701</v>
      </c>
    </row>
    <row r="36" spans="1:18" x14ac:dyDescent="0.3">
      <c r="A36" s="195">
        <v>122</v>
      </c>
      <c r="B36" s="177">
        <v>1001</v>
      </c>
      <c r="C36" s="177" t="s">
        <v>163</v>
      </c>
      <c r="D36" s="201" t="s">
        <v>208</v>
      </c>
      <c r="E36" s="88" t="s">
        <v>1139</v>
      </c>
      <c r="F36" s="88">
        <v>-7928832.21</v>
      </c>
      <c r="G36" s="88">
        <v>-7994606.7699999996</v>
      </c>
      <c r="H36" s="88">
        <v>-8059442.2699999996</v>
      </c>
      <c r="I36" s="88">
        <v>-8125413.6600000001</v>
      </c>
      <c r="J36" s="88">
        <v>-8176947.7300000004</v>
      </c>
      <c r="K36" s="88">
        <v>-8237584.9000000004</v>
      </c>
      <c r="L36" s="88">
        <v>-8189733.1299999999</v>
      </c>
      <c r="M36" s="88">
        <v>-8191324.2699999996</v>
      </c>
      <c r="N36" s="88">
        <v>-8238855.1299999999</v>
      </c>
      <c r="O36" s="88">
        <v>-8259968.5800000001</v>
      </c>
      <c r="P36" s="88">
        <v>-8344884.0899999999</v>
      </c>
      <c r="Q36" s="88">
        <v>-8408943.3000000007</v>
      </c>
      <c r="R36" s="88">
        <v>-8408943.3000000007</v>
      </c>
    </row>
    <row r="37" spans="1:18" x14ac:dyDescent="0.3">
      <c r="A37" s="195">
        <v>123</v>
      </c>
      <c r="B37" s="177">
        <v>1001</v>
      </c>
      <c r="C37" s="177" t="s">
        <v>163</v>
      </c>
      <c r="D37" s="201" t="s">
        <v>210</v>
      </c>
      <c r="E37" s="88" t="s">
        <v>1140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</row>
    <row r="38" spans="1:18" x14ac:dyDescent="0.3">
      <c r="A38" s="195">
        <v>123</v>
      </c>
      <c r="B38" s="177">
        <v>1001</v>
      </c>
      <c r="C38" s="177" t="s">
        <v>163</v>
      </c>
      <c r="D38" s="201" t="s">
        <v>212</v>
      </c>
      <c r="E38" s="88" t="s">
        <v>1141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</row>
    <row r="39" spans="1:18" x14ac:dyDescent="0.3">
      <c r="A39" s="195">
        <v>124</v>
      </c>
      <c r="B39" s="177">
        <v>1001</v>
      </c>
      <c r="C39" s="177" t="s">
        <v>163</v>
      </c>
      <c r="D39" s="201" t="s">
        <v>214</v>
      </c>
      <c r="E39" s="88" t="s">
        <v>1142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</row>
    <row r="40" spans="1:18" x14ac:dyDescent="0.3">
      <c r="A40" s="195">
        <v>125</v>
      </c>
      <c r="B40" s="177">
        <v>1001</v>
      </c>
      <c r="C40" s="177" t="s">
        <v>163</v>
      </c>
      <c r="D40" s="201" t="s">
        <v>216</v>
      </c>
      <c r="E40" s="88" t="s">
        <v>1143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</row>
    <row r="41" spans="1:18" x14ac:dyDescent="0.3">
      <c r="A41" s="195">
        <v>126</v>
      </c>
      <c r="B41" s="177">
        <v>1001</v>
      </c>
      <c r="C41" s="177" t="s">
        <v>163</v>
      </c>
      <c r="D41" s="201" t="s">
        <v>218</v>
      </c>
      <c r="E41" s="88" t="s">
        <v>1144</v>
      </c>
      <c r="F41" s="88">
        <v>0</v>
      </c>
      <c r="G41" s="88">
        <v>0</v>
      </c>
      <c r="H41" s="88">
        <v>0</v>
      </c>
      <c r="I41" s="88">
        <v>0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0</v>
      </c>
      <c r="R41" s="88">
        <v>0</v>
      </c>
    </row>
    <row r="42" spans="1:18" x14ac:dyDescent="0.3">
      <c r="A42" s="195">
        <v>127</v>
      </c>
      <c r="B42" s="177">
        <v>1001</v>
      </c>
      <c r="C42" s="177" t="s">
        <v>163</v>
      </c>
      <c r="D42" s="201" t="s">
        <v>220</v>
      </c>
      <c r="E42" s="88" t="s">
        <v>1145</v>
      </c>
      <c r="F42" s="88">
        <v>0</v>
      </c>
      <c r="G42" s="88">
        <v>0</v>
      </c>
      <c r="H42" s="88">
        <v>0</v>
      </c>
      <c r="I42" s="88">
        <v>0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8">
        <v>0</v>
      </c>
      <c r="P42" s="88">
        <v>0</v>
      </c>
      <c r="Q42" s="88">
        <v>0</v>
      </c>
      <c r="R42" s="88">
        <v>0</v>
      </c>
    </row>
    <row r="43" spans="1:18" x14ac:dyDescent="0.3">
      <c r="A43" s="195">
        <v>128</v>
      </c>
      <c r="B43" s="177">
        <v>1001</v>
      </c>
      <c r="C43" s="177" t="s">
        <v>163</v>
      </c>
      <c r="D43" s="201" t="s">
        <v>222</v>
      </c>
      <c r="E43" s="88" t="s">
        <v>1146</v>
      </c>
      <c r="F43" s="88">
        <v>0</v>
      </c>
      <c r="G43" s="88">
        <v>0</v>
      </c>
      <c r="H43" s="88">
        <v>0</v>
      </c>
      <c r="I43" s="88">
        <v>0</v>
      </c>
      <c r="J43" s="88">
        <v>0</v>
      </c>
      <c r="K43" s="88">
        <v>0</v>
      </c>
      <c r="L43" s="88">
        <v>0</v>
      </c>
      <c r="M43" s="88">
        <v>0</v>
      </c>
      <c r="N43" s="88">
        <v>0</v>
      </c>
      <c r="O43" s="88">
        <v>0</v>
      </c>
      <c r="P43" s="88">
        <v>0</v>
      </c>
      <c r="Q43" s="88">
        <v>0</v>
      </c>
      <c r="R43" s="88">
        <v>0</v>
      </c>
    </row>
    <row r="44" spans="1:18" x14ac:dyDescent="0.3">
      <c r="A44" s="195">
        <v>131</v>
      </c>
      <c r="B44" s="177">
        <v>1001</v>
      </c>
      <c r="C44" s="177" t="s">
        <v>163</v>
      </c>
      <c r="D44" s="201" t="s">
        <v>224</v>
      </c>
      <c r="E44" s="88" t="s">
        <v>1147</v>
      </c>
      <c r="F44" s="88">
        <v>1000000</v>
      </c>
      <c r="G44" s="88">
        <v>1000000</v>
      </c>
      <c r="H44" s="88">
        <v>1000000</v>
      </c>
      <c r="I44" s="88">
        <v>1000000</v>
      </c>
      <c r="J44" s="88">
        <v>1000000</v>
      </c>
      <c r="K44" s="88">
        <v>1000000</v>
      </c>
      <c r="L44" s="88">
        <v>1000000</v>
      </c>
      <c r="M44" s="88">
        <v>1000000</v>
      </c>
      <c r="N44" s="88">
        <v>1000000</v>
      </c>
      <c r="O44" s="88">
        <v>1000000</v>
      </c>
      <c r="P44" s="88">
        <v>1000000</v>
      </c>
      <c r="Q44" s="88">
        <v>1000000</v>
      </c>
      <c r="R44" s="88">
        <v>1000000</v>
      </c>
    </row>
    <row r="45" spans="1:18" x14ac:dyDescent="0.3">
      <c r="A45" s="195">
        <v>132</v>
      </c>
      <c r="B45" s="177">
        <v>1001</v>
      </c>
      <c r="C45" s="177" t="s">
        <v>163</v>
      </c>
      <c r="D45" s="201" t="s">
        <v>226</v>
      </c>
      <c r="E45" s="88" t="s">
        <v>1148</v>
      </c>
      <c r="F45" s="88">
        <v>0</v>
      </c>
      <c r="G45" s="88">
        <v>0</v>
      </c>
      <c r="H45" s="88">
        <v>0</v>
      </c>
      <c r="I45" s="88">
        <v>0</v>
      </c>
      <c r="J45" s="88">
        <v>0</v>
      </c>
      <c r="K45" s="88">
        <v>0</v>
      </c>
      <c r="L45" s="88">
        <v>0</v>
      </c>
      <c r="M45" s="88">
        <v>0</v>
      </c>
      <c r="N45" s="88">
        <v>0</v>
      </c>
      <c r="O45" s="88">
        <v>0</v>
      </c>
      <c r="P45" s="88">
        <v>0</v>
      </c>
      <c r="Q45" s="88">
        <v>0</v>
      </c>
      <c r="R45" s="88">
        <v>0</v>
      </c>
    </row>
    <row r="46" spans="1:18" x14ac:dyDescent="0.3">
      <c r="A46" s="195">
        <v>133</v>
      </c>
      <c r="B46" s="177">
        <v>1001</v>
      </c>
      <c r="C46" s="177" t="s">
        <v>163</v>
      </c>
      <c r="D46" s="201" t="s">
        <v>228</v>
      </c>
      <c r="E46" s="88" t="s">
        <v>1149</v>
      </c>
      <c r="F46" s="88">
        <v>0</v>
      </c>
      <c r="G46" s="88">
        <v>0</v>
      </c>
      <c r="H46" s="88">
        <v>0</v>
      </c>
      <c r="I46" s="88">
        <v>0</v>
      </c>
      <c r="J46" s="88">
        <v>0</v>
      </c>
      <c r="K46" s="88">
        <v>0</v>
      </c>
      <c r="L46" s="88">
        <v>0</v>
      </c>
      <c r="M46" s="88">
        <v>0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</row>
    <row r="47" spans="1:18" x14ac:dyDescent="0.3">
      <c r="A47" s="195">
        <v>134</v>
      </c>
      <c r="B47" s="177">
        <v>1001</v>
      </c>
      <c r="C47" s="177" t="s">
        <v>163</v>
      </c>
      <c r="D47" s="201" t="s">
        <v>230</v>
      </c>
      <c r="E47" s="88" t="s">
        <v>1150</v>
      </c>
      <c r="F47" s="88">
        <v>0</v>
      </c>
      <c r="G47" s="88">
        <v>0</v>
      </c>
      <c r="H47" s="88">
        <v>0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</row>
    <row r="48" spans="1:18" x14ac:dyDescent="0.3">
      <c r="A48" s="195">
        <v>135</v>
      </c>
      <c r="B48" s="177">
        <v>1001</v>
      </c>
      <c r="C48" s="177" t="s">
        <v>163</v>
      </c>
      <c r="D48" s="201" t="s">
        <v>232</v>
      </c>
      <c r="E48" s="88" t="s">
        <v>1151</v>
      </c>
      <c r="F48" s="88">
        <v>52665.39</v>
      </c>
      <c r="G48" s="88">
        <v>52665.39</v>
      </c>
      <c r="H48" s="88">
        <v>52665.39</v>
      </c>
      <c r="I48" s="88">
        <v>52665.39</v>
      </c>
      <c r="J48" s="88">
        <v>52665.39</v>
      </c>
      <c r="K48" s="88">
        <v>52665.39</v>
      </c>
      <c r="L48" s="88">
        <v>52665.39</v>
      </c>
      <c r="M48" s="88">
        <v>52665.39</v>
      </c>
      <c r="N48" s="88">
        <v>52665.39</v>
      </c>
      <c r="O48" s="88">
        <v>52665.39</v>
      </c>
      <c r="P48" s="88">
        <v>52665.39</v>
      </c>
      <c r="Q48" s="88">
        <v>52665.39</v>
      </c>
      <c r="R48" s="88">
        <v>52665.39</v>
      </c>
    </row>
    <row r="49" spans="1:18" x14ac:dyDescent="0.3">
      <c r="A49" s="195">
        <v>136</v>
      </c>
      <c r="B49" s="177">
        <v>1001</v>
      </c>
      <c r="C49" s="177" t="s">
        <v>163</v>
      </c>
      <c r="D49" s="201" t="s">
        <v>234</v>
      </c>
      <c r="E49" s="88" t="s">
        <v>1152</v>
      </c>
      <c r="F49" s="88">
        <v>0</v>
      </c>
      <c r="G49" s="88">
        <v>0</v>
      </c>
      <c r="H49" s="88">
        <v>0</v>
      </c>
      <c r="I49" s="88">
        <v>0</v>
      </c>
      <c r="J49" s="88">
        <v>0</v>
      </c>
      <c r="K49" s="88">
        <v>0</v>
      </c>
      <c r="L49" s="88">
        <v>0</v>
      </c>
      <c r="M49" s="88">
        <v>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</row>
    <row r="50" spans="1:18" x14ac:dyDescent="0.3">
      <c r="A50" s="195">
        <v>141</v>
      </c>
      <c r="B50" s="177">
        <v>1001</v>
      </c>
      <c r="C50" s="177" t="s">
        <v>163</v>
      </c>
      <c r="D50" s="201" t="s">
        <v>236</v>
      </c>
      <c r="E50" s="88" t="s">
        <v>1153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</row>
    <row r="51" spans="1:18" x14ac:dyDescent="0.3">
      <c r="A51" s="195">
        <v>142</v>
      </c>
      <c r="B51" s="177">
        <v>1001</v>
      </c>
      <c r="C51" s="177" t="s">
        <v>163</v>
      </c>
      <c r="D51" s="201" t="s">
        <v>238</v>
      </c>
      <c r="E51" s="88" t="s">
        <v>1154</v>
      </c>
      <c r="F51" s="88">
        <v>173009246.999834</v>
      </c>
      <c r="G51" s="88">
        <v>165047297.21224299</v>
      </c>
      <c r="H51" s="88">
        <v>140015681.88248</v>
      </c>
      <c r="I51" s="88">
        <v>154991579.90402499</v>
      </c>
      <c r="J51" s="88">
        <v>163881398.73599201</v>
      </c>
      <c r="K51" s="88">
        <v>188769353.61418501</v>
      </c>
      <c r="L51" s="88">
        <v>210495252.39529699</v>
      </c>
      <c r="M51" s="88">
        <v>196848323.61847401</v>
      </c>
      <c r="N51" s="88">
        <v>222306767.60531101</v>
      </c>
      <c r="O51" s="88">
        <v>200264038.373308</v>
      </c>
      <c r="P51" s="88">
        <v>181498088.89238501</v>
      </c>
      <c r="Q51" s="88">
        <v>174116238.38903299</v>
      </c>
      <c r="R51" s="88">
        <v>174116238.38903299</v>
      </c>
    </row>
    <row r="52" spans="1:18" x14ac:dyDescent="0.3">
      <c r="A52" s="195">
        <v>143</v>
      </c>
      <c r="B52" s="177">
        <v>1001</v>
      </c>
      <c r="C52" s="177" t="s">
        <v>163</v>
      </c>
      <c r="D52" s="201" t="s">
        <v>240</v>
      </c>
      <c r="E52" s="88" t="s">
        <v>1155</v>
      </c>
      <c r="F52" s="88">
        <v>7421305.9500000002</v>
      </c>
      <c r="G52" s="88">
        <v>7434496.75</v>
      </c>
      <c r="H52" s="88">
        <v>7402617.3499999996</v>
      </c>
      <c r="I52" s="88">
        <v>7349947.9500000002</v>
      </c>
      <c r="J52" s="88">
        <v>7374767.5499999998</v>
      </c>
      <c r="K52" s="88">
        <v>7308363.75</v>
      </c>
      <c r="L52" s="88">
        <v>7322322.9500000002</v>
      </c>
      <c r="M52" s="88">
        <v>7326976.3499999996</v>
      </c>
      <c r="N52" s="88">
        <v>7367350.9500000002</v>
      </c>
      <c r="O52" s="88">
        <v>7369924.1500000004</v>
      </c>
      <c r="P52" s="88">
        <v>7410339.9500000002</v>
      </c>
      <c r="Q52" s="88">
        <v>7380411.9500000002</v>
      </c>
      <c r="R52" s="88">
        <v>7380411.9500000002</v>
      </c>
    </row>
    <row r="53" spans="1:18" x14ac:dyDescent="0.3">
      <c r="A53" s="195">
        <v>144</v>
      </c>
      <c r="B53" s="177">
        <v>1001</v>
      </c>
      <c r="C53" s="177" t="s">
        <v>163</v>
      </c>
      <c r="D53" s="201" t="s">
        <v>242</v>
      </c>
      <c r="E53" s="88" t="s">
        <v>1156</v>
      </c>
      <c r="F53" s="88">
        <v>-1635198.6410513001</v>
      </c>
      <c r="G53" s="88">
        <v>-1620466.9520413</v>
      </c>
      <c r="H53" s="88">
        <v>-1605465.3161810001</v>
      </c>
      <c r="I53" s="88">
        <v>-1625072.0627957999</v>
      </c>
      <c r="J53" s="88">
        <v>-1648690.7433267999</v>
      </c>
      <c r="K53" s="88">
        <v>-1676820.3370260999</v>
      </c>
      <c r="L53" s="88">
        <v>-1699824.3491972999</v>
      </c>
      <c r="M53" s="88">
        <v>-1690178.5661128999</v>
      </c>
      <c r="N53" s="88">
        <v>-1697256.3299954999</v>
      </c>
      <c r="O53" s="88">
        <v>-1668291.6619067001</v>
      </c>
      <c r="P53" s="88">
        <v>-1636908.2698927999</v>
      </c>
      <c r="Q53" s="88">
        <v>-1625664.0538892001</v>
      </c>
      <c r="R53" s="88">
        <v>-1625664.0538892001</v>
      </c>
    </row>
    <row r="54" spans="1:18" x14ac:dyDescent="0.3">
      <c r="A54" s="195">
        <v>145</v>
      </c>
      <c r="B54" s="177">
        <v>1001</v>
      </c>
      <c r="C54" s="177" t="s">
        <v>163</v>
      </c>
      <c r="D54" s="201" t="s">
        <v>244</v>
      </c>
      <c r="E54" s="88" t="s">
        <v>1157</v>
      </c>
      <c r="F54" s="88">
        <v>0</v>
      </c>
      <c r="G54" s="88">
        <v>0</v>
      </c>
      <c r="H54" s="88">
        <v>0</v>
      </c>
      <c r="I54" s="88">
        <v>0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0</v>
      </c>
    </row>
    <row r="55" spans="1:18" x14ac:dyDescent="0.3">
      <c r="A55" s="195">
        <v>146</v>
      </c>
      <c r="B55" s="177">
        <v>1001</v>
      </c>
      <c r="C55" s="177" t="s">
        <v>163</v>
      </c>
      <c r="D55" s="201" t="s">
        <v>246</v>
      </c>
      <c r="E55" s="88" t="s">
        <v>1158</v>
      </c>
      <c r="F55" s="88">
        <v>13090069.084339499</v>
      </c>
      <c r="G55" s="88">
        <v>13252895.3767097</v>
      </c>
      <c r="H55" s="88">
        <v>13593220.6556895</v>
      </c>
      <c r="I55" s="88">
        <v>13545194.1461844</v>
      </c>
      <c r="J55" s="88">
        <v>13518604.458171399</v>
      </c>
      <c r="K55" s="88">
        <v>13515718.264170401</v>
      </c>
      <c r="L55" s="88">
        <v>13695137.0338569</v>
      </c>
      <c r="M55" s="88">
        <v>13697818.707056301</v>
      </c>
      <c r="N55" s="88">
        <v>13610870.6793324</v>
      </c>
      <c r="O55" s="88">
        <v>13984823.202485001</v>
      </c>
      <c r="P55" s="88">
        <v>14120404.4339804</v>
      </c>
      <c r="Q55" s="88">
        <v>14237267.8527372</v>
      </c>
      <c r="R55" s="88">
        <v>14237267.8527372</v>
      </c>
    </row>
    <row r="56" spans="1:18" x14ac:dyDescent="0.3">
      <c r="A56" s="195">
        <v>151</v>
      </c>
      <c r="B56" s="177">
        <v>1001</v>
      </c>
      <c r="C56" s="177" t="s">
        <v>163</v>
      </c>
      <c r="D56" s="201" t="s">
        <v>248</v>
      </c>
      <c r="E56" s="88" t="s">
        <v>1159</v>
      </c>
      <c r="F56" s="88">
        <v>36662000</v>
      </c>
      <c r="G56" s="88">
        <v>37797000</v>
      </c>
      <c r="H56" s="88">
        <v>38154000</v>
      </c>
      <c r="I56" s="88">
        <v>38047000</v>
      </c>
      <c r="J56" s="88">
        <v>37974000</v>
      </c>
      <c r="K56" s="88">
        <v>37937000</v>
      </c>
      <c r="L56" s="88">
        <v>35507000</v>
      </c>
      <c r="M56" s="88">
        <v>35438000</v>
      </c>
      <c r="N56" s="88">
        <v>36894000</v>
      </c>
      <c r="O56" s="88">
        <v>36847000</v>
      </c>
      <c r="P56" s="88">
        <v>36023000</v>
      </c>
      <c r="Q56" s="88">
        <v>36044000</v>
      </c>
      <c r="R56" s="88">
        <v>36044000</v>
      </c>
    </row>
    <row r="57" spans="1:18" x14ac:dyDescent="0.3">
      <c r="A57" s="195">
        <v>152</v>
      </c>
      <c r="B57" s="177">
        <v>1001</v>
      </c>
      <c r="C57" s="177" t="s">
        <v>163</v>
      </c>
      <c r="D57" s="201" t="s">
        <v>250</v>
      </c>
      <c r="E57" s="88" t="s">
        <v>1160</v>
      </c>
      <c r="F57" s="88">
        <v>0</v>
      </c>
      <c r="G57" s="88">
        <v>0</v>
      </c>
      <c r="H57" s="88">
        <v>0</v>
      </c>
      <c r="I57" s="88">
        <v>0</v>
      </c>
      <c r="J57" s="88">
        <v>0</v>
      </c>
      <c r="K57" s="88">
        <v>0</v>
      </c>
      <c r="L57" s="88">
        <v>0</v>
      </c>
      <c r="M57" s="88">
        <v>0</v>
      </c>
      <c r="N57" s="88">
        <v>0</v>
      </c>
      <c r="O57" s="88">
        <v>0</v>
      </c>
      <c r="P57" s="88">
        <v>0</v>
      </c>
      <c r="Q57" s="88">
        <v>0</v>
      </c>
      <c r="R57" s="88">
        <v>0</v>
      </c>
    </row>
    <row r="58" spans="1:18" x14ac:dyDescent="0.3">
      <c r="A58" s="195">
        <v>153</v>
      </c>
      <c r="B58" s="177">
        <v>1001</v>
      </c>
      <c r="C58" s="177" t="s">
        <v>163</v>
      </c>
      <c r="D58" s="201" t="s">
        <v>252</v>
      </c>
      <c r="E58" s="88" t="s">
        <v>1161</v>
      </c>
      <c r="F58" s="88">
        <v>0</v>
      </c>
      <c r="G58" s="88">
        <v>0</v>
      </c>
      <c r="H58" s="88">
        <v>0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</row>
    <row r="59" spans="1:18" x14ac:dyDescent="0.3">
      <c r="A59" s="195">
        <v>154</v>
      </c>
      <c r="B59" s="177">
        <v>1001</v>
      </c>
      <c r="C59" s="177" t="s">
        <v>163</v>
      </c>
      <c r="D59" s="201" t="s">
        <v>254</v>
      </c>
      <c r="E59" s="88" t="s">
        <v>1162</v>
      </c>
      <c r="F59" s="88">
        <v>162822150</v>
      </c>
      <c r="G59" s="88">
        <v>162822150</v>
      </c>
      <c r="H59" s="88">
        <v>162822150</v>
      </c>
      <c r="I59" s="88">
        <v>162822150</v>
      </c>
      <c r="J59" s="88">
        <v>162822150</v>
      </c>
      <c r="K59" s="88">
        <v>162822150</v>
      </c>
      <c r="L59" s="88">
        <v>162822150</v>
      </c>
      <c r="M59" s="88">
        <v>162822150</v>
      </c>
      <c r="N59" s="88">
        <v>162822150</v>
      </c>
      <c r="O59" s="88">
        <v>162822150</v>
      </c>
      <c r="P59" s="88">
        <v>162822150</v>
      </c>
      <c r="Q59" s="88">
        <v>162822150</v>
      </c>
      <c r="R59" s="88">
        <v>162822150</v>
      </c>
    </row>
    <row r="60" spans="1:18" x14ac:dyDescent="0.3">
      <c r="A60" s="195">
        <v>155</v>
      </c>
      <c r="B60" s="177">
        <v>1001</v>
      </c>
      <c r="C60" s="177" t="s">
        <v>163</v>
      </c>
      <c r="D60" s="201" t="s">
        <v>256</v>
      </c>
      <c r="E60" s="88" t="s">
        <v>1163</v>
      </c>
      <c r="F60" s="88">
        <v>0</v>
      </c>
      <c r="G60" s="88">
        <v>0</v>
      </c>
      <c r="H60" s="88">
        <v>0</v>
      </c>
      <c r="I60" s="88">
        <v>0</v>
      </c>
      <c r="J60" s="88">
        <v>0</v>
      </c>
      <c r="K60" s="88">
        <v>0</v>
      </c>
      <c r="L60" s="88">
        <v>0</v>
      </c>
      <c r="M60" s="88">
        <v>0</v>
      </c>
      <c r="N60" s="88">
        <v>0</v>
      </c>
      <c r="O60" s="88">
        <v>0</v>
      </c>
      <c r="P60" s="88">
        <v>0</v>
      </c>
      <c r="Q60" s="88">
        <v>0</v>
      </c>
      <c r="R60" s="88">
        <v>0</v>
      </c>
    </row>
    <row r="61" spans="1:18" x14ac:dyDescent="0.3">
      <c r="A61" s="195">
        <v>156</v>
      </c>
      <c r="B61" s="177">
        <v>1001</v>
      </c>
      <c r="C61" s="177" t="s">
        <v>163</v>
      </c>
      <c r="D61" s="201" t="s">
        <v>258</v>
      </c>
      <c r="E61" s="88" t="s">
        <v>1164</v>
      </c>
      <c r="F61" s="88">
        <v>0</v>
      </c>
      <c r="G61" s="88">
        <v>0</v>
      </c>
      <c r="H61" s="88">
        <v>0</v>
      </c>
      <c r="I61" s="88">
        <v>0</v>
      </c>
      <c r="J61" s="88">
        <v>0</v>
      </c>
      <c r="K61" s="88">
        <v>0</v>
      </c>
      <c r="L61" s="88">
        <v>0</v>
      </c>
      <c r="M61" s="88">
        <v>0</v>
      </c>
      <c r="N61" s="88">
        <v>0</v>
      </c>
      <c r="O61" s="88">
        <v>0</v>
      </c>
      <c r="P61" s="88">
        <v>0</v>
      </c>
      <c r="Q61" s="88">
        <v>0</v>
      </c>
      <c r="R61" s="88">
        <v>0</v>
      </c>
    </row>
    <row r="62" spans="1:18" x14ac:dyDescent="0.3">
      <c r="A62" s="195">
        <v>158</v>
      </c>
      <c r="B62" s="177">
        <v>1001</v>
      </c>
      <c r="C62" s="177" t="s">
        <v>163</v>
      </c>
      <c r="D62" s="201" t="s">
        <v>260</v>
      </c>
      <c r="E62" s="88" t="s">
        <v>1165</v>
      </c>
      <c r="F62" s="88">
        <v>0</v>
      </c>
      <c r="G62" s="88">
        <v>0</v>
      </c>
      <c r="H62" s="88">
        <v>0</v>
      </c>
      <c r="I62" s="88">
        <v>0</v>
      </c>
      <c r="J62" s="88">
        <v>0</v>
      </c>
      <c r="K62" s="88">
        <v>0</v>
      </c>
      <c r="L62" s="88">
        <v>0</v>
      </c>
      <c r="M62" s="88">
        <v>0</v>
      </c>
      <c r="N62" s="88">
        <v>0</v>
      </c>
      <c r="O62" s="88">
        <v>0</v>
      </c>
      <c r="P62" s="88">
        <v>0</v>
      </c>
      <c r="Q62" s="88">
        <v>0</v>
      </c>
      <c r="R62" s="88">
        <v>0</v>
      </c>
    </row>
    <row r="63" spans="1:18" x14ac:dyDescent="0.3">
      <c r="A63" s="195">
        <v>158</v>
      </c>
      <c r="B63" s="177">
        <v>1001</v>
      </c>
      <c r="C63" s="177" t="s">
        <v>163</v>
      </c>
      <c r="D63" s="201" t="s">
        <v>262</v>
      </c>
      <c r="E63" s="88" t="s">
        <v>1166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  <c r="K63" s="88">
        <v>0</v>
      </c>
      <c r="L63" s="88">
        <v>0</v>
      </c>
      <c r="M63" s="88">
        <v>0</v>
      </c>
      <c r="N63" s="88">
        <v>0</v>
      </c>
      <c r="O63" s="88">
        <v>0</v>
      </c>
      <c r="P63" s="88">
        <v>0</v>
      </c>
      <c r="Q63" s="88">
        <v>0</v>
      </c>
      <c r="R63" s="88">
        <v>0</v>
      </c>
    </row>
    <row r="64" spans="1:18" x14ac:dyDescent="0.3">
      <c r="A64" s="195">
        <v>163</v>
      </c>
      <c r="B64" s="177">
        <v>1001</v>
      </c>
      <c r="C64" s="177" t="s">
        <v>163</v>
      </c>
      <c r="D64" s="201" t="s">
        <v>264</v>
      </c>
      <c r="E64" s="88" t="s">
        <v>1167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</row>
    <row r="65" spans="1:18" x14ac:dyDescent="0.3">
      <c r="A65" s="195">
        <v>164</v>
      </c>
      <c r="B65" s="177">
        <v>1001</v>
      </c>
      <c r="C65" s="177" t="s">
        <v>163</v>
      </c>
      <c r="D65" s="201" t="s">
        <v>266</v>
      </c>
      <c r="E65" s="88" t="s">
        <v>1168</v>
      </c>
      <c r="F65" s="88">
        <v>0</v>
      </c>
      <c r="G65" s="88">
        <v>0</v>
      </c>
      <c r="H65" s="88">
        <v>0</v>
      </c>
      <c r="I65" s="88">
        <v>0</v>
      </c>
      <c r="J65" s="88">
        <v>0</v>
      </c>
      <c r="K65" s="88">
        <v>0</v>
      </c>
      <c r="L65" s="88">
        <v>0</v>
      </c>
      <c r="M65" s="88">
        <v>0</v>
      </c>
      <c r="N65" s="88">
        <v>0</v>
      </c>
      <c r="O65" s="88">
        <v>0</v>
      </c>
      <c r="P65" s="88">
        <v>0</v>
      </c>
      <c r="Q65" s="88">
        <v>0</v>
      </c>
      <c r="R65" s="88">
        <v>0</v>
      </c>
    </row>
    <row r="66" spans="1:18" x14ac:dyDescent="0.3">
      <c r="A66" s="195">
        <v>164</v>
      </c>
      <c r="B66" s="177">
        <v>1001</v>
      </c>
      <c r="C66" s="177" t="s">
        <v>163</v>
      </c>
      <c r="D66" s="201" t="s">
        <v>268</v>
      </c>
      <c r="E66" s="88" t="s">
        <v>1169</v>
      </c>
      <c r="F66" s="88">
        <v>0</v>
      </c>
      <c r="G66" s="88">
        <v>0</v>
      </c>
      <c r="H66" s="88">
        <v>0</v>
      </c>
      <c r="I66" s="88">
        <v>0</v>
      </c>
      <c r="J66" s="88">
        <v>0</v>
      </c>
      <c r="K66" s="88">
        <v>0</v>
      </c>
      <c r="L66" s="88">
        <v>0</v>
      </c>
      <c r="M66" s="88">
        <v>0</v>
      </c>
      <c r="N66" s="88">
        <v>0</v>
      </c>
      <c r="O66" s="88">
        <v>0</v>
      </c>
      <c r="P66" s="88">
        <v>0</v>
      </c>
      <c r="Q66" s="88">
        <v>0</v>
      </c>
      <c r="R66" s="88">
        <v>0</v>
      </c>
    </row>
    <row r="67" spans="1:18" x14ac:dyDescent="0.3">
      <c r="A67" s="195">
        <v>164</v>
      </c>
      <c r="B67" s="177">
        <v>1001</v>
      </c>
      <c r="C67" s="177" t="s">
        <v>163</v>
      </c>
      <c r="D67" s="201" t="s">
        <v>270</v>
      </c>
      <c r="E67" s="88" t="s">
        <v>1170</v>
      </c>
      <c r="F67" s="88">
        <v>0</v>
      </c>
      <c r="G67" s="88">
        <v>0</v>
      </c>
      <c r="H67" s="88">
        <v>0</v>
      </c>
      <c r="I67" s="88">
        <v>0</v>
      </c>
      <c r="J67" s="88">
        <v>0</v>
      </c>
      <c r="K67" s="88">
        <v>0</v>
      </c>
      <c r="L67" s="88">
        <v>0</v>
      </c>
      <c r="M67" s="88">
        <v>0</v>
      </c>
      <c r="N67" s="88">
        <v>0</v>
      </c>
      <c r="O67" s="88">
        <v>0</v>
      </c>
      <c r="P67" s="88">
        <v>0</v>
      </c>
      <c r="Q67" s="88">
        <v>0</v>
      </c>
      <c r="R67" s="88">
        <v>0</v>
      </c>
    </row>
    <row r="68" spans="1:18" x14ac:dyDescent="0.3">
      <c r="A68" s="195">
        <v>165</v>
      </c>
      <c r="B68" s="177">
        <v>1001</v>
      </c>
      <c r="C68" s="177" t="s">
        <v>163</v>
      </c>
      <c r="D68" s="201" t="s">
        <v>272</v>
      </c>
      <c r="E68" s="88" t="s">
        <v>1171</v>
      </c>
      <c r="F68" s="88">
        <v>26545217.4082768</v>
      </c>
      <c r="G68" s="88">
        <v>23099631.387729701</v>
      </c>
      <c r="H68" s="88">
        <v>34167462.464924999</v>
      </c>
      <c r="I68" s="88">
        <v>30083894.3493618</v>
      </c>
      <c r="J68" s="88">
        <v>26174077.231496599</v>
      </c>
      <c r="K68" s="88">
        <v>42599036.225499198</v>
      </c>
      <c r="L68" s="88">
        <v>40940094.114392601</v>
      </c>
      <c r="M68" s="88">
        <v>37304571.302171201</v>
      </c>
      <c r="N68" s="88">
        <v>32990471.889352299</v>
      </c>
      <c r="O68" s="88">
        <v>29666102.099628899</v>
      </c>
      <c r="P68" s="88">
        <v>26490491.907150801</v>
      </c>
      <c r="Q68" s="88">
        <v>24364502.786596298</v>
      </c>
      <c r="R68" s="88">
        <v>24364502.786596298</v>
      </c>
    </row>
    <row r="69" spans="1:18" x14ac:dyDescent="0.3">
      <c r="A69" s="195">
        <v>171</v>
      </c>
      <c r="B69" s="177">
        <v>1001</v>
      </c>
      <c r="C69" s="177" t="s">
        <v>163</v>
      </c>
      <c r="D69" s="201" t="s">
        <v>274</v>
      </c>
      <c r="E69" s="88" t="s">
        <v>1172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</row>
    <row r="70" spans="1:18" x14ac:dyDescent="0.3">
      <c r="A70" s="195">
        <v>172</v>
      </c>
      <c r="B70" s="177">
        <v>1001</v>
      </c>
      <c r="C70" s="177" t="s">
        <v>163</v>
      </c>
      <c r="D70" s="201" t="s">
        <v>276</v>
      </c>
      <c r="E70" s="88" t="s">
        <v>1173</v>
      </c>
      <c r="F70" s="88">
        <v>0</v>
      </c>
      <c r="G70" s="88">
        <v>0</v>
      </c>
      <c r="H70" s="88">
        <v>0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</row>
    <row r="71" spans="1:18" x14ac:dyDescent="0.3">
      <c r="A71" s="195">
        <v>173</v>
      </c>
      <c r="B71" s="177">
        <v>1001</v>
      </c>
      <c r="C71" s="177" t="s">
        <v>163</v>
      </c>
      <c r="D71" s="201" t="s">
        <v>278</v>
      </c>
      <c r="E71" s="88" t="s">
        <v>1174</v>
      </c>
      <c r="F71" s="88">
        <v>71061000.329999998</v>
      </c>
      <c r="G71" s="88">
        <v>65978523</v>
      </c>
      <c r="H71" s="88">
        <v>70682536</v>
      </c>
      <c r="I71" s="88">
        <v>75107868</v>
      </c>
      <c r="J71" s="88">
        <v>85428984</v>
      </c>
      <c r="K71" s="88">
        <v>89018443</v>
      </c>
      <c r="L71" s="88">
        <v>91484849</v>
      </c>
      <c r="M71" s="88">
        <v>96122569</v>
      </c>
      <c r="N71" s="88">
        <v>87044014</v>
      </c>
      <c r="O71" s="88">
        <v>82054446</v>
      </c>
      <c r="P71" s="88">
        <v>72861231</v>
      </c>
      <c r="Q71" s="88">
        <v>73315543</v>
      </c>
      <c r="R71" s="88">
        <v>73315543</v>
      </c>
    </row>
    <row r="72" spans="1:18" x14ac:dyDescent="0.3">
      <c r="A72" s="195">
        <v>174</v>
      </c>
      <c r="B72" s="177">
        <v>1001</v>
      </c>
      <c r="C72" s="177" t="s">
        <v>163</v>
      </c>
      <c r="D72" s="201" t="s">
        <v>280</v>
      </c>
      <c r="E72" s="88" t="s">
        <v>1175</v>
      </c>
      <c r="F72" s="88">
        <v>0</v>
      </c>
      <c r="G72" s="88">
        <v>0</v>
      </c>
      <c r="H72" s="88">
        <v>0</v>
      </c>
      <c r="I72" s="88">
        <v>0</v>
      </c>
      <c r="J72" s="88">
        <v>0</v>
      </c>
      <c r="K72" s="88">
        <v>0</v>
      </c>
      <c r="L72" s="88">
        <v>0</v>
      </c>
      <c r="M72" s="88">
        <v>0</v>
      </c>
      <c r="N72" s="88">
        <v>0</v>
      </c>
      <c r="O72" s="88">
        <v>0</v>
      </c>
      <c r="P72" s="88">
        <v>0</v>
      </c>
      <c r="Q72" s="88">
        <v>0</v>
      </c>
      <c r="R72" s="88">
        <v>0</v>
      </c>
    </row>
    <row r="73" spans="1:18" x14ac:dyDescent="0.3">
      <c r="A73" s="195">
        <v>176</v>
      </c>
      <c r="B73" s="177">
        <v>1001</v>
      </c>
      <c r="C73" s="177" t="s">
        <v>163</v>
      </c>
      <c r="D73" s="201" t="s">
        <v>282</v>
      </c>
      <c r="E73" s="88" t="s">
        <v>1176</v>
      </c>
      <c r="F73" s="88">
        <v>528000</v>
      </c>
      <c r="G73" s="88">
        <v>528000</v>
      </c>
      <c r="H73" s="88">
        <v>528000</v>
      </c>
      <c r="I73" s="88">
        <v>528000</v>
      </c>
      <c r="J73" s="88">
        <v>528000</v>
      </c>
      <c r="K73" s="88">
        <v>528000</v>
      </c>
      <c r="L73" s="88">
        <v>528000</v>
      </c>
      <c r="M73" s="88">
        <v>528000</v>
      </c>
      <c r="N73" s="88">
        <v>528000</v>
      </c>
      <c r="O73" s="88">
        <v>528000</v>
      </c>
      <c r="P73" s="88">
        <v>528000</v>
      </c>
      <c r="Q73" s="88">
        <v>528000</v>
      </c>
      <c r="R73" s="88">
        <v>528000</v>
      </c>
    </row>
    <row r="74" spans="1:18" x14ac:dyDescent="0.3">
      <c r="A74" s="195">
        <v>181</v>
      </c>
      <c r="B74" s="177">
        <v>1001</v>
      </c>
      <c r="C74" s="177" t="s">
        <v>163</v>
      </c>
      <c r="D74" s="201" t="s">
        <v>284</v>
      </c>
      <c r="E74" s="88" t="s">
        <v>1177</v>
      </c>
      <c r="F74" s="88">
        <v>27868408.309999999</v>
      </c>
      <c r="G74" s="88">
        <v>27703176.84</v>
      </c>
      <c r="H74" s="88">
        <v>30046266.34</v>
      </c>
      <c r="I74" s="88">
        <v>29868522.84</v>
      </c>
      <c r="J74" s="88">
        <v>29690779.34</v>
      </c>
      <c r="K74" s="88">
        <v>29325534.84</v>
      </c>
      <c r="L74" s="88">
        <v>29147791.34</v>
      </c>
      <c r="M74" s="88">
        <v>28970047.84</v>
      </c>
      <c r="N74" s="88">
        <v>28792304.34</v>
      </c>
      <c r="O74" s="88">
        <v>28614560.84</v>
      </c>
      <c r="P74" s="88">
        <v>28436817.34</v>
      </c>
      <c r="Q74" s="88">
        <v>28259073.84</v>
      </c>
      <c r="R74" s="88">
        <v>28259073.84</v>
      </c>
    </row>
    <row r="75" spans="1:18" x14ac:dyDescent="0.3">
      <c r="A75" s="195">
        <v>182</v>
      </c>
      <c r="B75" s="177">
        <v>1001</v>
      </c>
      <c r="C75" s="177" t="s">
        <v>163</v>
      </c>
      <c r="D75" s="201" t="s">
        <v>286</v>
      </c>
      <c r="E75" s="88" t="s">
        <v>1178</v>
      </c>
      <c r="F75" s="88">
        <v>0</v>
      </c>
      <c r="G75" s="88">
        <v>0</v>
      </c>
      <c r="H75" s="88">
        <v>0</v>
      </c>
      <c r="I75" s="88">
        <v>0</v>
      </c>
      <c r="J75" s="88">
        <v>0</v>
      </c>
      <c r="K75" s="88">
        <v>0</v>
      </c>
      <c r="L75" s="88">
        <v>0</v>
      </c>
      <c r="M75" s="88">
        <v>0</v>
      </c>
      <c r="N75" s="88">
        <v>0</v>
      </c>
      <c r="O75" s="88">
        <v>0</v>
      </c>
      <c r="P75" s="88">
        <v>0</v>
      </c>
      <c r="Q75" s="88">
        <v>0</v>
      </c>
      <c r="R75" s="88">
        <v>0</v>
      </c>
    </row>
    <row r="76" spans="1:18" x14ac:dyDescent="0.3">
      <c r="A76" s="195">
        <v>182</v>
      </c>
      <c r="B76" s="177">
        <v>1001</v>
      </c>
      <c r="C76" s="177" t="s">
        <v>163</v>
      </c>
      <c r="D76" s="201" t="s">
        <v>288</v>
      </c>
      <c r="E76" s="88" t="s">
        <v>1179</v>
      </c>
      <c r="F76" s="88">
        <v>512260890.95000011</v>
      </c>
      <c r="G76" s="88">
        <v>513735596.5199995</v>
      </c>
      <c r="H76" s="88">
        <v>515600746.05999988</v>
      </c>
      <c r="I76" s="88">
        <v>517227295.59999973</v>
      </c>
      <c r="J76" s="88">
        <v>518772845.1699996</v>
      </c>
      <c r="K76" s="88">
        <v>520367394.72000033</v>
      </c>
      <c r="L76" s="88">
        <v>522210322.26999938</v>
      </c>
      <c r="M76" s="88">
        <v>524635771.81999952</v>
      </c>
      <c r="N76" s="88">
        <v>525878120.35999978</v>
      </c>
      <c r="O76" s="88">
        <v>527822569.91000021</v>
      </c>
      <c r="P76" s="88">
        <v>528162119.44999993</v>
      </c>
      <c r="Q76" s="88">
        <v>530727869.04999948</v>
      </c>
      <c r="R76" s="88">
        <v>530727869.04999948</v>
      </c>
    </row>
    <row r="77" spans="1:18" x14ac:dyDescent="0.3">
      <c r="A77" s="195">
        <v>182</v>
      </c>
      <c r="B77" s="177">
        <v>1001</v>
      </c>
      <c r="C77" s="177" t="s">
        <v>163</v>
      </c>
      <c r="D77" s="201" t="s">
        <v>290</v>
      </c>
      <c r="E77" s="88" t="s">
        <v>1180</v>
      </c>
      <c r="F77" s="88">
        <v>380699260.39996022</v>
      </c>
      <c r="G77" s="88">
        <v>386502976.2007736</v>
      </c>
      <c r="H77" s="88">
        <v>389282707.28508371</v>
      </c>
      <c r="I77" s="88">
        <v>397658927.54175192</v>
      </c>
      <c r="J77" s="88">
        <v>399112244.58260459</v>
      </c>
      <c r="K77" s="88">
        <v>398788663.77173507</v>
      </c>
      <c r="L77" s="88">
        <v>397872980.11063689</v>
      </c>
      <c r="M77" s="88">
        <v>397216611.64973718</v>
      </c>
      <c r="N77" s="88">
        <v>396492422.82341319</v>
      </c>
      <c r="O77" s="88">
        <v>397198336.69000483</v>
      </c>
      <c r="P77" s="88">
        <v>399664799.22150809</v>
      </c>
      <c r="Q77" s="88">
        <v>402878903.97367728</v>
      </c>
      <c r="R77" s="88">
        <v>402878903.97367728</v>
      </c>
    </row>
    <row r="78" spans="1:18" x14ac:dyDescent="0.3">
      <c r="A78" s="195">
        <v>183</v>
      </c>
      <c r="B78" s="177">
        <v>1001</v>
      </c>
      <c r="C78" s="177" t="s">
        <v>163</v>
      </c>
      <c r="D78" s="201" t="s">
        <v>292</v>
      </c>
      <c r="E78" s="88" t="s">
        <v>1181</v>
      </c>
      <c r="F78" s="88">
        <v>6756821.5499999998</v>
      </c>
      <c r="G78" s="88">
        <v>6803821.5499999998</v>
      </c>
      <c r="H78" s="88">
        <v>6884821.5499999998</v>
      </c>
      <c r="I78" s="88">
        <v>6952821.5499999998</v>
      </c>
      <c r="J78" s="88">
        <v>6990821.5499999998</v>
      </c>
      <c r="K78" s="88">
        <v>7028821.5499999998</v>
      </c>
      <c r="L78" s="88">
        <v>7091821.5499999998</v>
      </c>
      <c r="M78" s="88">
        <v>7129821.5499999998</v>
      </c>
      <c r="N78" s="88">
        <v>3866821.55</v>
      </c>
      <c r="O78" s="88">
        <v>3904821.55</v>
      </c>
      <c r="P78" s="88">
        <v>3942821.55</v>
      </c>
      <c r="Q78" s="88">
        <v>3692821.55</v>
      </c>
      <c r="R78" s="88">
        <v>3692821.55</v>
      </c>
    </row>
    <row r="79" spans="1:18" x14ac:dyDescent="0.3">
      <c r="A79" s="195">
        <v>183</v>
      </c>
      <c r="B79" s="177">
        <v>1001</v>
      </c>
      <c r="C79" s="177" t="s">
        <v>163</v>
      </c>
      <c r="D79" s="201" t="s">
        <v>294</v>
      </c>
      <c r="E79" s="88" t="s">
        <v>1182</v>
      </c>
      <c r="F79" s="88">
        <v>0</v>
      </c>
      <c r="G79" s="88">
        <v>0</v>
      </c>
      <c r="H79" s="88">
        <v>0</v>
      </c>
      <c r="I79" s="88">
        <v>0</v>
      </c>
      <c r="J79" s="88">
        <v>0</v>
      </c>
      <c r="K79" s="88">
        <v>0</v>
      </c>
      <c r="L79" s="88">
        <v>0</v>
      </c>
      <c r="M79" s="88">
        <v>0</v>
      </c>
      <c r="N79" s="88">
        <v>0</v>
      </c>
      <c r="O79" s="88">
        <v>0</v>
      </c>
      <c r="P79" s="88">
        <v>0</v>
      </c>
      <c r="Q79" s="88">
        <v>0</v>
      </c>
      <c r="R79" s="88">
        <v>0</v>
      </c>
    </row>
    <row r="80" spans="1:18" x14ac:dyDescent="0.3">
      <c r="A80" s="195">
        <v>183</v>
      </c>
      <c r="B80" s="177">
        <v>1001</v>
      </c>
      <c r="C80" s="177" t="s">
        <v>163</v>
      </c>
      <c r="D80" s="201" t="s">
        <v>296</v>
      </c>
      <c r="E80" s="88" t="s">
        <v>1183</v>
      </c>
      <c r="F80" s="88">
        <v>0</v>
      </c>
      <c r="G80" s="88">
        <v>0</v>
      </c>
      <c r="H80" s="88">
        <v>0</v>
      </c>
      <c r="I80" s="88">
        <v>0</v>
      </c>
      <c r="J80" s="88">
        <v>0</v>
      </c>
      <c r="K80" s="88">
        <v>0</v>
      </c>
      <c r="L80" s="88">
        <v>0</v>
      </c>
      <c r="M80" s="88">
        <v>0</v>
      </c>
      <c r="N80" s="88">
        <v>0</v>
      </c>
      <c r="O80" s="88">
        <v>0</v>
      </c>
      <c r="P80" s="88">
        <v>0</v>
      </c>
      <c r="Q80" s="88">
        <v>0</v>
      </c>
      <c r="R80" s="88">
        <v>0</v>
      </c>
    </row>
    <row r="81" spans="1:18" x14ac:dyDescent="0.3">
      <c r="A81" s="195">
        <v>184</v>
      </c>
      <c r="B81" s="177">
        <v>1001</v>
      </c>
      <c r="C81" s="177" t="s">
        <v>163</v>
      </c>
      <c r="D81" s="201" t="s">
        <v>298</v>
      </c>
      <c r="E81" s="88" t="s">
        <v>1184</v>
      </c>
      <c r="F81" s="88">
        <v>0</v>
      </c>
      <c r="G81" s="88">
        <v>0</v>
      </c>
      <c r="H81" s="88">
        <v>0</v>
      </c>
      <c r="I81" s="88">
        <v>0</v>
      </c>
      <c r="J81" s="88">
        <v>0</v>
      </c>
      <c r="K81" s="88">
        <v>0</v>
      </c>
      <c r="L81" s="88">
        <v>0</v>
      </c>
      <c r="M81" s="88">
        <v>0</v>
      </c>
      <c r="N81" s="88">
        <v>0</v>
      </c>
      <c r="O81" s="88">
        <v>0</v>
      </c>
      <c r="P81" s="88">
        <v>0</v>
      </c>
      <c r="Q81" s="88">
        <v>0</v>
      </c>
      <c r="R81" s="88">
        <v>0</v>
      </c>
    </row>
    <row r="82" spans="1:18" x14ac:dyDescent="0.3">
      <c r="A82" s="195">
        <v>184</v>
      </c>
      <c r="B82" s="177">
        <v>1001</v>
      </c>
      <c r="C82" s="177" t="s">
        <v>163</v>
      </c>
      <c r="D82" s="201" t="s">
        <v>300</v>
      </c>
      <c r="E82" s="88" t="s">
        <v>1185</v>
      </c>
      <c r="F82" s="88">
        <v>0</v>
      </c>
      <c r="G82" s="88">
        <v>0</v>
      </c>
      <c r="H82" s="88">
        <v>0</v>
      </c>
      <c r="I82" s="88">
        <v>0</v>
      </c>
      <c r="J82" s="88">
        <v>0</v>
      </c>
      <c r="K82" s="88">
        <v>0</v>
      </c>
      <c r="L82" s="88">
        <v>0</v>
      </c>
      <c r="M82" s="88">
        <v>0</v>
      </c>
      <c r="N82" s="88">
        <v>0</v>
      </c>
      <c r="O82" s="88">
        <v>0</v>
      </c>
      <c r="P82" s="88">
        <v>0</v>
      </c>
      <c r="Q82" s="88">
        <v>0</v>
      </c>
      <c r="R82" s="88">
        <v>0</v>
      </c>
    </row>
    <row r="83" spans="1:18" x14ac:dyDescent="0.3">
      <c r="A83" s="195">
        <v>186</v>
      </c>
      <c r="B83" s="177">
        <v>1001</v>
      </c>
      <c r="C83" s="177" t="s">
        <v>163</v>
      </c>
      <c r="D83" s="201" t="s">
        <v>302</v>
      </c>
      <c r="E83" s="88" t="s">
        <v>1186</v>
      </c>
      <c r="F83" s="88">
        <v>3140028.57</v>
      </c>
      <c r="G83" s="88">
        <v>3275627.1</v>
      </c>
      <c r="H83" s="88">
        <v>3040416.04</v>
      </c>
      <c r="I83" s="88">
        <v>2954192.99</v>
      </c>
      <c r="J83" s="88">
        <v>2828625.98</v>
      </c>
      <c r="K83" s="88">
        <v>3118578.89</v>
      </c>
      <c r="L83" s="88">
        <v>5276054.87</v>
      </c>
      <c r="M83" s="88">
        <v>5607650.6799999997</v>
      </c>
      <c r="N83" s="88">
        <v>5263817.9400000004</v>
      </c>
      <c r="O83" s="88">
        <v>5144099.05</v>
      </c>
      <c r="P83" s="88">
        <v>5053512.88</v>
      </c>
      <c r="Q83" s="88">
        <v>2988385.36</v>
      </c>
      <c r="R83" s="88">
        <v>2988385.36</v>
      </c>
    </row>
    <row r="84" spans="1:18" x14ac:dyDescent="0.3">
      <c r="A84" s="195">
        <v>187</v>
      </c>
      <c r="B84" s="177">
        <v>1001</v>
      </c>
      <c r="C84" s="177" t="s">
        <v>163</v>
      </c>
      <c r="D84" s="201" t="s">
        <v>304</v>
      </c>
      <c r="E84" s="88" t="s">
        <v>1187</v>
      </c>
      <c r="F84" s="88">
        <v>0</v>
      </c>
      <c r="G84" s="88">
        <v>0</v>
      </c>
      <c r="H84" s="88">
        <v>0</v>
      </c>
      <c r="I84" s="88">
        <v>0</v>
      </c>
      <c r="J84" s="88">
        <v>0</v>
      </c>
      <c r="K84" s="88">
        <v>0</v>
      </c>
      <c r="L84" s="88">
        <v>0</v>
      </c>
      <c r="M84" s="88">
        <v>0</v>
      </c>
      <c r="N84" s="88">
        <v>0</v>
      </c>
      <c r="O84" s="88">
        <v>0</v>
      </c>
      <c r="P84" s="88">
        <v>0</v>
      </c>
      <c r="Q84" s="88">
        <v>0</v>
      </c>
      <c r="R84" s="88">
        <v>0</v>
      </c>
    </row>
    <row r="85" spans="1:18" x14ac:dyDescent="0.3">
      <c r="A85" s="195">
        <v>188</v>
      </c>
      <c r="B85" s="177">
        <v>1001</v>
      </c>
      <c r="C85" s="177" t="s">
        <v>163</v>
      </c>
      <c r="D85" s="201" t="s">
        <v>306</v>
      </c>
      <c r="E85" s="88" t="s">
        <v>1188</v>
      </c>
      <c r="F85" s="88">
        <v>0</v>
      </c>
      <c r="G85" s="88">
        <v>0</v>
      </c>
      <c r="H85" s="88">
        <v>0</v>
      </c>
      <c r="I85" s="88">
        <v>0</v>
      </c>
      <c r="J85" s="88">
        <v>0</v>
      </c>
      <c r="K85" s="88">
        <v>0</v>
      </c>
      <c r="L85" s="88">
        <v>0</v>
      </c>
      <c r="M85" s="88">
        <v>0</v>
      </c>
      <c r="N85" s="88">
        <v>0</v>
      </c>
      <c r="O85" s="88">
        <v>0</v>
      </c>
      <c r="P85" s="88">
        <v>0</v>
      </c>
      <c r="Q85" s="88">
        <v>0</v>
      </c>
      <c r="R85" s="88">
        <v>0</v>
      </c>
    </row>
    <row r="86" spans="1:18" x14ac:dyDescent="0.3">
      <c r="A86" s="195">
        <v>189</v>
      </c>
      <c r="B86" s="177">
        <v>1001</v>
      </c>
      <c r="C86" s="177" t="s">
        <v>163</v>
      </c>
      <c r="D86" s="201" t="s">
        <v>308</v>
      </c>
      <c r="E86" s="88" t="s">
        <v>1189</v>
      </c>
      <c r="F86" s="88">
        <v>2885186.19</v>
      </c>
      <c r="G86" s="88">
        <v>2853339.62</v>
      </c>
      <c r="H86" s="88">
        <v>2821493.05</v>
      </c>
      <c r="I86" s="88">
        <v>2789646.48</v>
      </c>
      <c r="J86" s="88">
        <v>2757799.91</v>
      </c>
      <c r="K86" s="88">
        <v>2725953.34</v>
      </c>
      <c r="L86" s="88">
        <v>2694106.77</v>
      </c>
      <c r="M86" s="88">
        <v>2662260.2000000002</v>
      </c>
      <c r="N86" s="88">
        <v>2630413.63</v>
      </c>
      <c r="O86" s="88">
        <v>2598567.06</v>
      </c>
      <c r="P86" s="88">
        <v>2566720.4900000002</v>
      </c>
      <c r="Q86" s="88">
        <v>2534873.92</v>
      </c>
      <c r="R86" s="88">
        <v>2534873.92</v>
      </c>
    </row>
    <row r="87" spans="1:18" x14ac:dyDescent="0.3">
      <c r="A87" s="195">
        <v>190</v>
      </c>
      <c r="B87" s="177">
        <v>1001</v>
      </c>
      <c r="C87" s="177" t="s">
        <v>163</v>
      </c>
      <c r="D87" s="201" t="s">
        <v>310</v>
      </c>
      <c r="E87" s="88" t="s">
        <v>1190</v>
      </c>
      <c r="F87" s="88">
        <v>771155590.33999956</v>
      </c>
      <c r="G87" s="88">
        <v>793953966.1699996</v>
      </c>
      <c r="H87" s="88">
        <v>797202290.07999957</v>
      </c>
      <c r="I87" s="88">
        <v>834679557.77999961</v>
      </c>
      <c r="J87" s="88">
        <v>839628076.81999969</v>
      </c>
      <c r="K87" s="88">
        <v>843501754.56999969</v>
      </c>
      <c r="L87" s="88">
        <v>847516117.98999965</v>
      </c>
      <c r="M87" s="88">
        <v>851727128.65999973</v>
      </c>
      <c r="N87" s="88">
        <v>854909995.92999971</v>
      </c>
      <c r="O87" s="88">
        <v>858928000.52999973</v>
      </c>
      <c r="P87" s="88">
        <v>862235894.78999972</v>
      </c>
      <c r="Q87" s="88">
        <v>866921800.00999975</v>
      </c>
      <c r="R87" s="88">
        <v>866921800.00999975</v>
      </c>
    </row>
    <row r="88" spans="1:18" x14ac:dyDescent="0.3">
      <c r="A88" s="195">
        <v>191</v>
      </c>
      <c r="B88" s="177">
        <v>1001</v>
      </c>
      <c r="C88" s="177" t="s">
        <v>163</v>
      </c>
      <c r="D88" s="201" t="s">
        <v>312</v>
      </c>
      <c r="E88" s="88" t="s">
        <v>1191</v>
      </c>
      <c r="F88" s="88">
        <v>0</v>
      </c>
      <c r="G88" s="88">
        <v>0</v>
      </c>
      <c r="H88" s="88">
        <v>0</v>
      </c>
      <c r="I88" s="88">
        <v>0</v>
      </c>
      <c r="J88" s="88">
        <v>0</v>
      </c>
      <c r="K88" s="88">
        <v>0</v>
      </c>
      <c r="L88" s="88">
        <v>0</v>
      </c>
      <c r="M88" s="88">
        <v>0</v>
      </c>
      <c r="N88" s="88">
        <v>0</v>
      </c>
      <c r="O88" s="88">
        <v>0</v>
      </c>
      <c r="P88" s="88">
        <v>0</v>
      </c>
      <c r="Q88" s="88">
        <v>0</v>
      </c>
      <c r="R88" s="88">
        <v>0</v>
      </c>
    </row>
    <row r="89" spans="1:18" x14ac:dyDescent="0.3">
      <c r="A89" s="195">
        <v>201</v>
      </c>
      <c r="B89" s="177">
        <v>1001</v>
      </c>
      <c r="C89" s="177" t="s">
        <v>163</v>
      </c>
      <c r="D89" s="201" t="s">
        <v>314</v>
      </c>
      <c r="E89" s="88" t="s">
        <v>1192</v>
      </c>
      <c r="F89" s="88">
        <v>119696800</v>
      </c>
      <c r="G89" s="88">
        <v>119696800</v>
      </c>
      <c r="H89" s="88">
        <v>119696800</v>
      </c>
      <c r="I89" s="88">
        <v>119696800</v>
      </c>
      <c r="J89" s="88">
        <v>119696800</v>
      </c>
      <c r="K89" s="88">
        <v>119696800</v>
      </c>
      <c r="L89" s="88">
        <v>119696800</v>
      </c>
      <c r="M89" s="88">
        <v>119696800</v>
      </c>
      <c r="N89" s="88">
        <v>119696800</v>
      </c>
      <c r="O89" s="88">
        <v>119696800</v>
      </c>
      <c r="P89" s="88">
        <v>119696800</v>
      </c>
      <c r="Q89" s="88">
        <v>119696800</v>
      </c>
      <c r="R89" s="88">
        <v>119696800</v>
      </c>
    </row>
    <row r="90" spans="1:18" x14ac:dyDescent="0.3">
      <c r="A90" s="195">
        <v>207</v>
      </c>
      <c r="B90" s="177">
        <v>1001</v>
      </c>
      <c r="C90" s="177" t="s">
        <v>163</v>
      </c>
      <c r="D90" s="201" t="s">
        <v>316</v>
      </c>
      <c r="E90" s="88" t="s">
        <v>1193</v>
      </c>
      <c r="F90" s="88">
        <v>0</v>
      </c>
      <c r="G90" s="88">
        <v>0</v>
      </c>
      <c r="H90" s="88">
        <v>0</v>
      </c>
      <c r="I90" s="88">
        <v>0</v>
      </c>
      <c r="J90" s="88">
        <v>0</v>
      </c>
      <c r="K90" s="88">
        <v>0</v>
      </c>
      <c r="L90" s="88">
        <v>0</v>
      </c>
      <c r="M90" s="88">
        <v>0</v>
      </c>
      <c r="N90" s="88">
        <v>0</v>
      </c>
      <c r="O90" s="88">
        <v>0</v>
      </c>
      <c r="P90" s="88">
        <v>0</v>
      </c>
      <c r="Q90" s="88">
        <v>0</v>
      </c>
      <c r="R90" s="88">
        <v>0</v>
      </c>
    </row>
    <row r="91" spans="1:18" x14ac:dyDescent="0.3">
      <c r="A91" s="195">
        <v>208</v>
      </c>
      <c r="B91" s="177">
        <v>1001</v>
      </c>
      <c r="C91" s="177" t="s">
        <v>163</v>
      </c>
      <c r="D91" s="201" t="s">
        <v>318</v>
      </c>
      <c r="E91" s="88" t="s">
        <v>1194</v>
      </c>
      <c r="F91" s="88">
        <v>0</v>
      </c>
      <c r="G91" s="88">
        <v>0</v>
      </c>
      <c r="H91" s="88">
        <v>0</v>
      </c>
      <c r="I91" s="88">
        <v>0</v>
      </c>
      <c r="J91" s="88">
        <v>0</v>
      </c>
      <c r="K91" s="88">
        <v>0</v>
      </c>
      <c r="L91" s="88">
        <v>0</v>
      </c>
      <c r="M91" s="88">
        <v>0</v>
      </c>
      <c r="N91" s="88">
        <v>0</v>
      </c>
      <c r="O91" s="88">
        <v>0</v>
      </c>
      <c r="P91" s="88">
        <v>0</v>
      </c>
      <c r="Q91" s="88">
        <v>0</v>
      </c>
      <c r="R91" s="88">
        <v>0</v>
      </c>
    </row>
    <row r="92" spans="1:18" x14ac:dyDescent="0.3">
      <c r="A92" s="195">
        <v>211</v>
      </c>
      <c r="B92" s="177">
        <v>1001</v>
      </c>
      <c r="C92" s="177" t="s">
        <v>163</v>
      </c>
      <c r="D92" s="201" t="s">
        <v>320</v>
      </c>
      <c r="E92" s="88" t="s">
        <v>1195</v>
      </c>
      <c r="F92" s="88">
        <v>4985840200</v>
      </c>
      <c r="G92" s="88">
        <v>5145840200</v>
      </c>
      <c r="H92" s="88">
        <v>5145840200</v>
      </c>
      <c r="I92" s="88">
        <v>5145840200</v>
      </c>
      <c r="J92" s="88">
        <v>5300840200</v>
      </c>
      <c r="K92" s="88">
        <v>5300840200</v>
      </c>
      <c r="L92" s="88">
        <v>5300840200</v>
      </c>
      <c r="M92" s="88">
        <v>5450840200</v>
      </c>
      <c r="N92" s="88">
        <v>5450840200</v>
      </c>
      <c r="O92" s="88">
        <v>5450840200</v>
      </c>
      <c r="P92" s="88">
        <v>5565840200</v>
      </c>
      <c r="Q92" s="88">
        <v>5565840200</v>
      </c>
      <c r="R92" s="88">
        <v>5565840200</v>
      </c>
    </row>
    <row r="93" spans="1:18" x14ac:dyDescent="0.3">
      <c r="A93" s="195">
        <v>214</v>
      </c>
      <c r="B93" s="177">
        <v>1001</v>
      </c>
      <c r="C93" s="177" t="s">
        <v>163</v>
      </c>
      <c r="D93" s="201" t="s">
        <v>322</v>
      </c>
      <c r="E93" s="88" t="s">
        <v>1196</v>
      </c>
      <c r="F93" s="88">
        <v>-700900</v>
      </c>
      <c r="G93" s="88">
        <v>-700900</v>
      </c>
      <c r="H93" s="88">
        <v>-700900</v>
      </c>
      <c r="I93" s="88">
        <v>-700900</v>
      </c>
      <c r="J93" s="88">
        <v>-700900</v>
      </c>
      <c r="K93" s="88">
        <v>-700900</v>
      </c>
      <c r="L93" s="88">
        <v>-700900</v>
      </c>
      <c r="M93" s="88">
        <v>-700900</v>
      </c>
      <c r="N93" s="88">
        <v>-700900</v>
      </c>
      <c r="O93" s="88">
        <v>-700900</v>
      </c>
      <c r="P93" s="88">
        <v>-700900</v>
      </c>
      <c r="Q93" s="88">
        <v>-700900</v>
      </c>
      <c r="R93" s="88">
        <v>-700900</v>
      </c>
    </row>
    <row r="94" spans="1:18" x14ac:dyDescent="0.3">
      <c r="A94" s="195">
        <v>215</v>
      </c>
      <c r="B94" s="177">
        <v>1001</v>
      </c>
      <c r="C94" s="177" t="s">
        <v>163</v>
      </c>
      <c r="D94" s="201" t="s">
        <v>324</v>
      </c>
      <c r="E94" s="88" t="s">
        <v>1197</v>
      </c>
      <c r="F94" s="88">
        <v>0</v>
      </c>
      <c r="G94" s="88">
        <v>0</v>
      </c>
      <c r="H94" s="88">
        <v>0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</row>
    <row r="95" spans="1:18" x14ac:dyDescent="0.3">
      <c r="A95" s="195">
        <v>215</v>
      </c>
      <c r="B95" s="177">
        <v>1001</v>
      </c>
      <c r="C95" s="177" t="s">
        <v>163</v>
      </c>
      <c r="D95" s="201" t="s">
        <v>326</v>
      </c>
      <c r="E95" s="88" t="s">
        <v>1198</v>
      </c>
      <c r="F95" s="88">
        <v>0</v>
      </c>
      <c r="G95" s="88">
        <v>0</v>
      </c>
      <c r="H95" s="88">
        <v>0</v>
      </c>
      <c r="I95" s="88">
        <v>0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8">
        <v>0</v>
      </c>
      <c r="P95" s="88">
        <v>0</v>
      </c>
      <c r="Q95" s="88">
        <v>0</v>
      </c>
      <c r="R95" s="88">
        <v>0</v>
      </c>
    </row>
    <row r="96" spans="1:18" x14ac:dyDescent="0.3">
      <c r="A96" s="195">
        <v>216</v>
      </c>
      <c r="B96" s="177">
        <v>1001</v>
      </c>
      <c r="C96" s="177" t="s">
        <v>163</v>
      </c>
      <c r="D96" s="201" t="s">
        <v>328</v>
      </c>
      <c r="E96" s="88" t="s">
        <v>1199</v>
      </c>
      <c r="F96" s="88">
        <v>249197472.95984101</v>
      </c>
      <c r="G96" s="88">
        <v>187957939.655599</v>
      </c>
      <c r="H96" s="88">
        <v>207636872.95460099</v>
      </c>
      <c r="I96" s="88">
        <v>238440591.93904799</v>
      </c>
      <c r="J96" s="88">
        <v>207498484.991283</v>
      </c>
      <c r="K96" s="88">
        <v>254959369.25075999</v>
      </c>
      <c r="L96" s="88">
        <v>308954616.65669</v>
      </c>
      <c r="M96" s="88">
        <v>242825255.34687701</v>
      </c>
      <c r="N96" s="88">
        <v>294000311.82010603</v>
      </c>
      <c r="O96" s="88">
        <v>327392874.27941799</v>
      </c>
      <c r="P96" s="88">
        <v>186334372.71725199</v>
      </c>
      <c r="Q96" s="88">
        <v>199314502.54972699</v>
      </c>
      <c r="R96" s="88">
        <v>199314502.54972699</v>
      </c>
    </row>
    <row r="97" spans="1:18" x14ac:dyDescent="0.3">
      <c r="A97" s="195">
        <v>216</v>
      </c>
      <c r="B97" s="177">
        <v>1001</v>
      </c>
      <c r="C97" s="177" t="s">
        <v>163</v>
      </c>
      <c r="D97" s="201" t="s">
        <v>330</v>
      </c>
      <c r="E97" s="88" t="s">
        <v>1200</v>
      </c>
      <c r="F97" s="88">
        <v>0</v>
      </c>
      <c r="G97" s="88">
        <v>0</v>
      </c>
      <c r="H97" s="88">
        <v>0</v>
      </c>
      <c r="I97" s="88">
        <v>0</v>
      </c>
      <c r="J97" s="88">
        <v>0</v>
      </c>
      <c r="K97" s="88">
        <v>0</v>
      </c>
      <c r="L97" s="88">
        <v>0</v>
      </c>
      <c r="M97" s="88">
        <v>0</v>
      </c>
      <c r="N97" s="88">
        <v>0</v>
      </c>
      <c r="O97" s="88">
        <v>0</v>
      </c>
      <c r="P97" s="88">
        <v>0</v>
      </c>
      <c r="Q97" s="88">
        <v>0</v>
      </c>
      <c r="R97" s="88">
        <v>0</v>
      </c>
    </row>
    <row r="98" spans="1:18" x14ac:dyDescent="0.3">
      <c r="A98" s="195">
        <v>219</v>
      </c>
      <c r="B98" s="177">
        <v>1001</v>
      </c>
      <c r="C98" s="177" t="s">
        <v>163</v>
      </c>
      <c r="D98" s="201" t="s">
        <v>332</v>
      </c>
      <c r="E98" s="88" t="s">
        <v>1201</v>
      </c>
      <c r="F98" s="88">
        <v>-729639.89000040002</v>
      </c>
      <c r="G98" s="88">
        <v>-721489.09000039997</v>
      </c>
      <c r="H98" s="88">
        <v>-713338.29000040004</v>
      </c>
      <c r="I98" s="88">
        <v>-705187.48000039998</v>
      </c>
      <c r="J98" s="88">
        <v>-697036.68000030005</v>
      </c>
      <c r="K98" s="88">
        <v>-688885.88000030001</v>
      </c>
      <c r="L98" s="88">
        <v>-680735.07000029995</v>
      </c>
      <c r="M98" s="88">
        <v>-672584.27000030002</v>
      </c>
      <c r="N98" s="88">
        <v>-664433.47000029997</v>
      </c>
      <c r="O98" s="88">
        <v>-656282.67000030004</v>
      </c>
      <c r="P98" s="88">
        <v>-648131.86000029999</v>
      </c>
      <c r="Q98" s="88">
        <v>-639981.06000030006</v>
      </c>
      <c r="R98" s="88">
        <v>-639981.06000030006</v>
      </c>
    </row>
    <row r="99" spans="1:18" x14ac:dyDescent="0.3">
      <c r="A99" s="195">
        <v>221</v>
      </c>
      <c r="B99" s="177">
        <v>1001</v>
      </c>
      <c r="C99" s="177" t="s">
        <v>163</v>
      </c>
      <c r="D99" s="201" t="s">
        <v>334</v>
      </c>
      <c r="E99" s="88" t="s">
        <v>1202</v>
      </c>
      <c r="F99" s="88">
        <v>3975000000</v>
      </c>
      <c r="G99" s="88">
        <v>3975000000</v>
      </c>
      <c r="H99" s="88">
        <v>4475000000</v>
      </c>
      <c r="I99" s="88">
        <v>4475000000</v>
      </c>
      <c r="J99" s="88">
        <v>4475000000</v>
      </c>
      <c r="K99" s="88">
        <v>4475000000</v>
      </c>
      <c r="L99" s="88">
        <v>4475000000</v>
      </c>
      <c r="M99" s="88">
        <v>4475000000</v>
      </c>
      <c r="N99" s="88">
        <v>4475000000</v>
      </c>
      <c r="O99" s="88">
        <v>4475000000</v>
      </c>
      <c r="P99" s="88">
        <v>4475000000</v>
      </c>
      <c r="Q99" s="88">
        <v>4475000000</v>
      </c>
      <c r="R99" s="88">
        <v>4475000000</v>
      </c>
    </row>
    <row r="100" spans="1:18" x14ac:dyDescent="0.3">
      <c r="A100" s="195">
        <v>223</v>
      </c>
      <c r="B100" s="177">
        <v>1001</v>
      </c>
      <c r="C100" s="177" t="s">
        <v>163</v>
      </c>
      <c r="D100" s="201" t="s">
        <v>336</v>
      </c>
      <c r="E100" s="88" t="s">
        <v>1203</v>
      </c>
      <c r="F100" s="88">
        <v>0</v>
      </c>
      <c r="G100" s="88">
        <v>0</v>
      </c>
      <c r="H100" s="88">
        <v>0</v>
      </c>
      <c r="I100" s="88">
        <v>0</v>
      </c>
      <c r="J100" s="88">
        <v>0</v>
      </c>
      <c r="K100" s="88">
        <v>0</v>
      </c>
      <c r="L100" s="88">
        <v>0</v>
      </c>
      <c r="M100" s="88">
        <v>0</v>
      </c>
      <c r="N100" s="88">
        <v>0</v>
      </c>
      <c r="O100" s="88">
        <v>0</v>
      </c>
      <c r="P100" s="88">
        <v>0</v>
      </c>
      <c r="Q100" s="88">
        <v>0</v>
      </c>
      <c r="R100" s="88">
        <v>0</v>
      </c>
    </row>
    <row r="101" spans="1:18" x14ac:dyDescent="0.3">
      <c r="A101" s="195">
        <v>224</v>
      </c>
      <c r="B101" s="177">
        <v>1001</v>
      </c>
      <c r="C101" s="177" t="s">
        <v>163</v>
      </c>
      <c r="D101" s="201" t="s">
        <v>338</v>
      </c>
      <c r="E101" s="88" t="s">
        <v>1204</v>
      </c>
      <c r="F101" s="88">
        <v>0</v>
      </c>
      <c r="G101" s="88">
        <v>0</v>
      </c>
      <c r="H101" s="88">
        <v>0</v>
      </c>
      <c r="I101" s="88">
        <v>0</v>
      </c>
      <c r="J101" s="88">
        <v>0</v>
      </c>
      <c r="K101" s="88">
        <v>0</v>
      </c>
      <c r="L101" s="88">
        <v>0</v>
      </c>
      <c r="M101" s="88">
        <v>0</v>
      </c>
      <c r="N101" s="88">
        <v>0</v>
      </c>
      <c r="O101" s="88">
        <v>0</v>
      </c>
      <c r="P101" s="88">
        <v>0</v>
      </c>
      <c r="Q101" s="88">
        <v>0</v>
      </c>
      <c r="R101" s="88">
        <v>0</v>
      </c>
    </row>
    <row r="102" spans="1:18" x14ac:dyDescent="0.3">
      <c r="A102" s="195">
        <v>225</v>
      </c>
      <c r="B102" s="177">
        <v>1001</v>
      </c>
      <c r="C102" s="177" t="s">
        <v>163</v>
      </c>
      <c r="D102" s="201" t="s">
        <v>340</v>
      </c>
      <c r="E102" s="88" t="s">
        <v>1205</v>
      </c>
      <c r="F102" s="88">
        <v>0</v>
      </c>
      <c r="G102" s="88">
        <v>0</v>
      </c>
      <c r="H102" s="88">
        <v>0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</row>
    <row r="103" spans="1:18" x14ac:dyDescent="0.3">
      <c r="A103" s="195">
        <v>226</v>
      </c>
      <c r="B103" s="177">
        <v>1001</v>
      </c>
      <c r="C103" s="177" t="s">
        <v>163</v>
      </c>
      <c r="D103" s="201" t="s">
        <v>342</v>
      </c>
      <c r="E103" s="88" t="s">
        <v>1206</v>
      </c>
      <c r="F103" s="88">
        <v>-12404314.359999999</v>
      </c>
      <c r="G103" s="88">
        <v>-14807175.08</v>
      </c>
      <c r="H103" s="88">
        <v>-14689202.800000001</v>
      </c>
      <c r="I103" s="88">
        <v>-14571230.52</v>
      </c>
      <c r="J103" s="88">
        <v>-14453258.24</v>
      </c>
      <c r="K103" s="88">
        <v>-14335285.960000001</v>
      </c>
      <c r="L103" s="88">
        <v>-14217313.68</v>
      </c>
      <c r="M103" s="88">
        <v>-14099341.4</v>
      </c>
      <c r="N103" s="88">
        <v>-13981369.119999999</v>
      </c>
      <c r="O103" s="88">
        <v>-13863396.84</v>
      </c>
      <c r="P103" s="88">
        <v>-13745424.560000001</v>
      </c>
      <c r="Q103" s="88">
        <v>-13627452.279999999</v>
      </c>
      <c r="R103" s="88">
        <v>-13627452.279999999</v>
      </c>
    </row>
    <row r="104" spans="1:18" x14ac:dyDescent="0.3">
      <c r="A104" s="195">
        <v>227</v>
      </c>
      <c r="B104" s="177">
        <v>1001</v>
      </c>
      <c r="C104" s="177" t="s">
        <v>163</v>
      </c>
      <c r="D104" s="201" t="s">
        <v>344</v>
      </c>
      <c r="E104" s="88" t="s">
        <v>1207</v>
      </c>
      <c r="F104" s="88">
        <v>32343736.136528999</v>
      </c>
      <c r="G104" s="88">
        <v>32311710.364902899</v>
      </c>
      <c r="H104" s="88">
        <v>32279684.887395099</v>
      </c>
      <c r="I104" s="88">
        <v>32247659.916442901</v>
      </c>
      <c r="J104" s="88">
        <v>32215080.849410899</v>
      </c>
      <c r="K104" s="88">
        <v>32182501.932230301</v>
      </c>
      <c r="L104" s="88">
        <v>32149028.306661699</v>
      </c>
      <c r="M104" s="88">
        <v>32115551.9339494</v>
      </c>
      <c r="N104" s="88">
        <v>32082073.017966099</v>
      </c>
      <c r="O104" s="88">
        <v>32048591.763839699</v>
      </c>
      <c r="P104" s="88">
        <v>32015108.3779606</v>
      </c>
      <c r="Q104" s="88">
        <v>31980076.6468652</v>
      </c>
      <c r="R104" s="88">
        <v>31980076.6468652</v>
      </c>
    </row>
    <row r="105" spans="1:18" x14ac:dyDescent="0.3">
      <c r="A105" s="195">
        <v>228</v>
      </c>
      <c r="B105" s="177">
        <v>1001</v>
      </c>
      <c r="C105" s="177" t="s">
        <v>163</v>
      </c>
      <c r="D105" s="201" t="s">
        <v>346</v>
      </c>
      <c r="E105" s="88" t="s">
        <v>1208</v>
      </c>
      <c r="F105" s="88">
        <v>17835455.5666667</v>
      </c>
      <c r="G105" s="88">
        <v>17835455.5666667</v>
      </c>
      <c r="H105" s="88">
        <v>17835455.5666667</v>
      </c>
      <c r="I105" s="88">
        <v>17835455.5666667</v>
      </c>
      <c r="J105" s="88">
        <v>17835455.5666667</v>
      </c>
      <c r="K105" s="88">
        <v>17835455.5666667</v>
      </c>
      <c r="L105" s="88">
        <v>17835455.5666667</v>
      </c>
      <c r="M105" s="88">
        <v>17835455.5666667</v>
      </c>
      <c r="N105" s="88">
        <v>17835455.5666667</v>
      </c>
      <c r="O105" s="88">
        <v>17835455.5666667</v>
      </c>
      <c r="P105" s="88">
        <v>17835455.5666667</v>
      </c>
      <c r="Q105" s="88">
        <v>17835455.5666667</v>
      </c>
      <c r="R105" s="88">
        <v>17835455.5666667</v>
      </c>
    </row>
    <row r="106" spans="1:18" x14ac:dyDescent="0.3">
      <c r="A106" s="195">
        <v>228</v>
      </c>
      <c r="B106" s="177">
        <v>1001</v>
      </c>
      <c r="C106" s="177" t="s">
        <v>163</v>
      </c>
      <c r="D106" s="201" t="s">
        <v>348</v>
      </c>
      <c r="E106" s="88" t="s">
        <v>1209</v>
      </c>
      <c r="F106" s="88">
        <v>7933228.3333333004</v>
      </c>
      <c r="G106" s="88">
        <v>7938994.6666666996</v>
      </c>
      <c r="H106" s="88">
        <v>7944761</v>
      </c>
      <c r="I106" s="88">
        <v>7950527.3333333004</v>
      </c>
      <c r="J106" s="88">
        <v>7956293.6666666996</v>
      </c>
      <c r="K106" s="88">
        <v>7962060</v>
      </c>
      <c r="L106" s="88">
        <v>7967826.3333333004</v>
      </c>
      <c r="M106" s="88">
        <v>7973592.6666666996</v>
      </c>
      <c r="N106" s="88">
        <v>7979359</v>
      </c>
      <c r="O106" s="88">
        <v>7985125.3333333004</v>
      </c>
      <c r="P106" s="88">
        <v>7990891.6666666996</v>
      </c>
      <c r="Q106" s="88">
        <v>7996658</v>
      </c>
      <c r="R106" s="88">
        <v>7996658</v>
      </c>
    </row>
    <row r="107" spans="1:18" x14ac:dyDescent="0.3">
      <c r="A107" s="195">
        <v>228</v>
      </c>
      <c r="B107" s="177">
        <v>1001</v>
      </c>
      <c r="C107" s="177" t="s">
        <v>163</v>
      </c>
      <c r="D107" s="201" t="s">
        <v>350</v>
      </c>
      <c r="E107" s="88" t="s">
        <v>1210</v>
      </c>
      <c r="F107" s="88">
        <v>80976149.230000004</v>
      </c>
      <c r="G107" s="88">
        <v>80501815.230000004</v>
      </c>
      <c r="H107" s="88">
        <v>81027631.230000004</v>
      </c>
      <c r="I107" s="88">
        <v>77774710.230000004</v>
      </c>
      <c r="J107" s="88">
        <v>76750376.230000004</v>
      </c>
      <c r="K107" s="88">
        <v>77501192.230000004</v>
      </c>
      <c r="L107" s="88">
        <v>74048271.230000004</v>
      </c>
      <c r="M107" s="88">
        <v>73223937.230000004</v>
      </c>
      <c r="N107" s="88">
        <v>70988753.230000004</v>
      </c>
      <c r="O107" s="88">
        <v>70221833.230000004</v>
      </c>
      <c r="P107" s="88">
        <v>69197499.230000004</v>
      </c>
      <c r="Q107" s="88">
        <v>69823314.230000004</v>
      </c>
      <c r="R107" s="88">
        <v>69823314.230000004</v>
      </c>
    </row>
    <row r="108" spans="1:18" x14ac:dyDescent="0.3">
      <c r="A108" s="195">
        <v>228</v>
      </c>
      <c r="B108" s="177">
        <v>1001</v>
      </c>
      <c r="C108" s="177" t="s">
        <v>163</v>
      </c>
      <c r="D108" s="201" t="s">
        <v>352</v>
      </c>
      <c r="E108" s="88" t="s">
        <v>1211</v>
      </c>
      <c r="F108" s="88">
        <v>783000</v>
      </c>
      <c r="G108" s="88">
        <v>783000</v>
      </c>
      <c r="H108" s="88">
        <v>783000</v>
      </c>
      <c r="I108" s="88">
        <v>783000</v>
      </c>
      <c r="J108" s="88">
        <v>783000</v>
      </c>
      <c r="K108" s="88">
        <v>783000</v>
      </c>
      <c r="L108" s="88">
        <v>783000</v>
      </c>
      <c r="M108" s="88">
        <v>783000</v>
      </c>
      <c r="N108" s="88">
        <v>783000</v>
      </c>
      <c r="O108" s="88">
        <v>783000</v>
      </c>
      <c r="P108" s="88">
        <v>783000</v>
      </c>
      <c r="Q108" s="88">
        <v>783000</v>
      </c>
      <c r="R108" s="88">
        <v>783000</v>
      </c>
    </row>
    <row r="109" spans="1:18" x14ac:dyDescent="0.3">
      <c r="A109" s="195">
        <v>229</v>
      </c>
      <c r="B109" s="177">
        <v>1001</v>
      </c>
      <c r="C109" s="177" t="s">
        <v>163</v>
      </c>
      <c r="D109" s="201" t="s">
        <v>354</v>
      </c>
      <c r="E109" s="88" t="s">
        <v>1212</v>
      </c>
      <c r="F109" s="88">
        <v>0</v>
      </c>
      <c r="G109" s="88">
        <v>0</v>
      </c>
      <c r="H109" s="88">
        <v>0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</row>
    <row r="110" spans="1:18" x14ac:dyDescent="0.3">
      <c r="A110" s="195">
        <v>230</v>
      </c>
      <c r="B110" s="177">
        <v>1001</v>
      </c>
      <c r="C110" s="177" t="s">
        <v>163</v>
      </c>
      <c r="D110" s="201" t="s">
        <v>356</v>
      </c>
      <c r="E110" s="88" t="s">
        <v>1213</v>
      </c>
      <c r="F110" s="88">
        <v>33930254.340000004</v>
      </c>
      <c r="G110" s="88">
        <v>34071630.399999999</v>
      </c>
      <c r="H110" s="88">
        <v>34213595.530000001</v>
      </c>
      <c r="I110" s="88">
        <v>34356152.18</v>
      </c>
      <c r="J110" s="88">
        <v>34499302.810000002</v>
      </c>
      <c r="K110" s="88">
        <v>34643049.909999996</v>
      </c>
      <c r="L110" s="88">
        <v>34787395.950000003</v>
      </c>
      <c r="M110" s="88">
        <v>34932343.43</v>
      </c>
      <c r="N110" s="88">
        <v>35077894.859999999</v>
      </c>
      <c r="O110" s="88">
        <v>35224052.759999998</v>
      </c>
      <c r="P110" s="88">
        <v>35370819.649999999</v>
      </c>
      <c r="Q110" s="88">
        <v>35518198.07</v>
      </c>
      <c r="R110" s="88">
        <v>35518198.07</v>
      </c>
    </row>
    <row r="111" spans="1:18" x14ac:dyDescent="0.3">
      <c r="A111" s="195">
        <v>231</v>
      </c>
      <c r="B111" s="177">
        <v>1001</v>
      </c>
      <c r="C111" s="177" t="s">
        <v>163</v>
      </c>
      <c r="D111" s="201" t="s">
        <v>358</v>
      </c>
      <c r="E111" s="88" t="s">
        <v>1214</v>
      </c>
      <c r="F111" s="88">
        <v>598422401.24888897</v>
      </c>
      <c r="G111" s="88">
        <v>655705087.29093599</v>
      </c>
      <c r="H111" s="88">
        <v>260252506.72569099</v>
      </c>
      <c r="I111" s="88">
        <v>333921046.648453</v>
      </c>
      <c r="J111" s="88">
        <v>304118438.47153699</v>
      </c>
      <c r="K111" s="88">
        <v>369466307.93546301</v>
      </c>
      <c r="L111" s="88">
        <v>437362472.03191102</v>
      </c>
      <c r="M111" s="88">
        <v>456960329.66298002</v>
      </c>
      <c r="N111" s="88">
        <v>471462430.03022301</v>
      </c>
      <c r="O111" s="88">
        <v>432650869.85359597</v>
      </c>
      <c r="P111" s="88">
        <v>596370821.03931797</v>
      </c>
      <c r="Q111" s="88">
        <v>553907777.94710696</v>
      </c>
      <c r="R111" s="88">
        <v>553907777.94710696</v>
      </c>
    </row>
    <row r="112" spans="1:18" x14ac:dyDescent="0.3">
      <c r="A112" s="195">
        <v>232</v>
      </c>
      <c r="B112" s="177">
        <v>1001</v>
      </c>
      <c r="C112" s="177" t="s">
        <v>163</v>
      </c>
      <c r="D112" s="201" t="s">
        <v>360</v>
      </c>
      <c r="E112" s="88" t="s">
        <v>1215</v>
      </c>
      <c r="F112" s="88">
        <v>339737630.67706448</v>
      </c>
      <c r="G112" s="88">
        <v>247478150.4243924</v>
      </c>
      <c r="H112" s="88">
        <v>227390351.62002149</v>
      </c>
      <c r="I112" s="88">
        <v>220884407.95066369</v>
      </c>
      <c r="J112" s="88">
        <v>235318004.19600761</v>
      </c>
      <c r="K112" s="88">
        <v>298071729.48933327</v>
      </c>
      <c r="L112" s="88">
        <v>315776797.57735699</v>
      </c>
      <c r="M112" s="88">
        <v>230719802.45241421</v>
      </c>
      <c r="N112" s="88">
        <v>237948962.5108822</v>
      </c>
      <c r="O112" s="88">
        <v>240980546.59163851</v>
      </c>
      <c r="P112" s="88">
        <v>222959032.91933629</v>
      </c>
      <c r="Q112" s="88">
        <v>338131365.55483079</v>
      </c>
      <c r="R112" s="88">
        <v>338131365.55483079</v>
      </c>
    </row>
    <row r="113" spans="1:18" x14ac:dyDescent="0.3">
      <c r="A113" s="195">
        <v>233</v>
      </c>
      <c r="B113" s="177">
        <v>1001</v>
      </c>
      <c r="C113" s="177" t="s">
        <v>163</v>
      </c>
      <c r="D113" s="201" t="s">
        <v>362</v>
      </c>
      <c r="E113" s="88" t="s">
        <v>1216</v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</row>
    <row r="114" spans="1:18" x14ac:dyDescent="0.3">
      <c r="A114" s="195">
        <v>234</v>
      </c>
      <c r="B114" s="177">
        <v>1001</v>
      </c>
      <c r="C114" s="177" t="s">
        <v>163</v>
      </c>
      <c r="D114" s="201" t="s">
        <v>364</v>
      </c>
      <c r="E114" s="88" t="s">
        <v>1217</v>
      </c>
      <c r="F114" s="88">
        <v>9848433.6426465008</v>
      </c>
      <c r="G114" s="88">
        <v>9701871.3093058001</v>
      </c>
      <c r="H114" s="88">
        <v>9697924.9325977005</v>
      </c>
      <c r="I114" s="88">
        <v>9707287.8082184009</v>
      </c>
      <c r="J114" s="88">
        <v>10899350.7640184</v>
      </c>
      <c r="K114" s="88">
        <v>11983335.163357301</v>
      </c>
      <c r="L114" s="88">
        <v>13279255.0650157</v>
      </c>
      <c r="M114" s="88">
        <v>13475250.425035199</v>
      </c>
      <c r="N114" s="88">
        <v>13212938.1018323</v>
      </c>
      <c r="O114" s="88">
        <v>12240444.7332101</v>
      </c>
      <c r="P114" s="88">
        <v>11262049.3756712</v>
      </c>
      <c r="Q114" s="88">
        <v>11344714.865146199</v>
      </c>
      <c r="R114" s="88">
        <v>11344714.865146199</v>
      </c>
    </row>
    <row r="115" spans="1:18" x14ac:dyDescent="0.3">
      <c r="A115" s="195">
        <v>235</v>
      </c>
      <c r="B115" s="177">
        <v>1001</v>
      </c>
      <c r="C115" s="177" t="s">
        <v>163</v>
      </c>
      <c r="D115" s="201" t="s">
        <v>366</v>
      </c>
      <c r="E115" s="88" t="s">
        <v>1218</v>
      </c>
      <c r="F115" s="88">
        <v>121289448.734596</v>
      </c>
      <c r="G115" s="88">
        <v>121339986.00490201</v>
      </c>
      <c r="H115" s="88">
        <v>121390544.332404</v>
      </c>
      <c r="I115" s="88">
        <v>121441123.725876</v>
      </c>
      <c r="J115" s="88">
        <v>121491724.194095</v>
      </c>
      <c r="K115" s="88">
        <v>121542345.74584299</v>
      </c>
      <c r="L115" s="88">
        <v>121592988.38990299</v>
      </c>
      <c r="M115" s="88">
        <v>121643652.135066</v>
      </c>
      <c r="N115" s="88">
        <v>121694336.99012201</v>
      </c>
      <c r="O115" s="88">
        <v>121745042.96386801</v>
      </c>
      <c r="P115" s="88">
        <v>121795770.06510299</v>
      </c>
      <c r="Q115" s="88">
        <v>121846518.30263001</v>
      </c>
      <c r="R115" s="88">
        <v>121846518.30263001</v>
      </c>
    </row>
    <row r="116" spans="1:18" x14ac:dyDescent="0.3">
      <c r="A116" s="195">
        <v>236</v>
      </c>
      <c r="B116" s="177">
        <v>1001</v>
      </c>
      <c r="C116" s="177" t="s">
        <v>163</v>
      </c>
      <c r="D116" s="201" t="s">
        <v>368</v>
      </c>
      <c r="E116" s="88" t="s">
        <v>1219</v>
      </c>
      <c r="F116" s="88">
        <v>21434892.624605101</v>
      </c>
      <c r="G116" s="88">
        <v>28453867.986593802</v>
      </c>
      <c r="H116" s="88">
        <v>25716469.1903916</v>
      </c>
      <c r="I116" s="88">
        <v>25515454.138750002</v>
      </c>
      <c r="J116" s="88">
        <v>39734240.031656303</v>
      </c>
      <c r="K116" s="88">
        <v>48937574.386763103</v>
      </c>
      <c r="L116" s="88">
        <v>66854972.394986004</v>
      </c>
      <c r="M116" s="88">
        <v>85395750.400206298</v>
      </c>
      <c r="N116" s="88">
        <v>91395382.583481595</v>
      </c>
      <c r="O116" s="88">
        <v>101560047.67511509</v>
      </c>
      <c r="P116" s="88">
        <v>15395935.2889768</v>
      </c>
      <c r="Q116" s="88">
        <v>12848947.166446701</v>
      </c>
      <c r="R116" s="88">
        <v>12848947.166446701</v>
      </c>
    </row>
    <row r="117" spans="1:18" x14ac:dyDescent="0.3">
      <c r="A117" s="195">
        <v>237</v>
      </c>
      <c r="B117" s="177">
        <v>1001</v>
      </c>
      <c r="C117" s="177" t="s">
        <v>163</v>
      </c>
      <c r="D117" s="201" t="s">
        <v>370</v>
      </c>
      <c r="E117" s="88" t="s">
        <v>1220</v>
      </c>
      <c r="F117" s="88">
        <v>33897180.190670803</v>
      </c>
      <c r="G117" s="88">
        <v>48561636.644592099</v>
      </c>
      <c r="H117" s="88">
        <v>39209230.128644198</v>
      </c>
      <c r="I117" s="88">
        <v>55820195.5838333</v>
      </c>
      <c r="J117" s="88">
        <v>44872746.143696599</v>
      </c>
      <c r="K117" s="88">
        <v>40279159.729879901</v>
      </c>
      <c r="L117" s="88">
        <v>49478948.601337299</v>
      </c>
      <c r="M117" s="88">
        <v>60038928.277803198</v>
      </c>
      <c r="N117" s="88">
        <v>52801305.604492098</v>
      </c>
      <c r="O117" s="88">
        <v>69471935.775480807</v>
      </c>
      <c r="P117" s="88">
        <v>46287491.646638297</v>
      </c>
      <c r="Q117" s="88">
        <v>32834563.451576099</v>
      </c>
      <c r="R117" s="88">
        <v>32834563.451576099</v>
      </c>
    </row>
    <row r="118" spans="1:18" x14ac:dyDescent="0.3">
      <c r="A118" s="195">
        <v>238</v>
      </c>
      <c r="B118" s="177">
        <v>1001</v>
      </c>
      <c r="C118" s="177" t="s">
        <v>163</v>
      </c>
      <c r="D118" s="201" t="s">
        <v>372</v>
      </c>
      <c r="E118" s="88" t="s">
        <v>1221</v>
      </c>
      <c r="F118" s="88">
        <v>0</v>
      </c>
      <c r="G118" s="88">
        <v>0</v>
      </c>
      <c r="H118" s="88">
        <v>0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</row>
    <row r="119" spans="1:18" x14ac:dyDescent="0.3">
      <c r="A119" s="195">
        <v>241</v>
      </c>
      <c r="B119" s="177">
        <v>1001</v>
      </c>
      <c r="C119" s="177" t="s">
        <v>163</v>
      </c>
      <c r="D119" s="201" t="s">
        <v>374</v>
      </c>
      <c r="E119" s="88" t="s">
        <v>1222</v>
      </c>
      <c r="F119" s="88">
        <v>12702460.179999899</v>
      </c>
      <c r="G119" s="88">
        <v>12862380.1800001</v>
      </c>
      <c r="H119" s="88">
        <v>12773820.179999899</v>
      </c>
      <c r="I119" s="88">
        <v>13220660.1800001</v>
      </c>
      <c r="J119" s="88">
        <v>13896460.18</v>
      </c>
      <c r="K119" s="88">
        <v>14763420.18</v>
      </c>
      <c r="L119" s="88">
        <v>15349060.18</v>
      </c>
      <c r="M119" s="88">
        <v>16002240.18</v>
      </c>
      <c r="N119" s="88">
        <v>16211700.179999899</v>
      </c>
      <c r="O119" s="88">
        <v>15119784.98</v>
      </c>
      <c r="P119" s="88">
        <v>13950181.779999901</v>
      </c>
      <c r="Q119" s="88">
        <v>14342125.779999999</v>
      </c>
      <c r="R119" s="88">
        <v>14342125.779999999</v>
      </c>
    </row>
    <row r="120" spans="1:18" x14ac:dyDescent="0.3">
      <c r="A120" s="195">
        <v>242</v>
      </c>
      <c r="B120" s="177">
        <v>1001</v>
      </c>
      <c r="C120" s="177" t="s">
        <v>163</v>
      </c>
      <c r="D120" s="201" t="s">
        <v>376</v>
      </c>
      <c r="E120" s="88" t="s">
        <v>1223</v>
      </c>
      <c r="F120" s="88">
        <v>40681791.109303497</v>
      </c>
      <c r="G120" s="88">
        <v>40775791.109303497</v>
      </c>
      <c r="H120" s="88">
        <v>40601597.965887196</v>
      </c>
      <c r="I120" s="88">
        <v>40679597.965887196</v>
      </c>
      <c r="J120" s="88">
        <v>40734597.965887196</v>
      </c>
      <c r="K120" s="88">
        <v>41597857.204693198</v>
      </c>
      <c r="L120" s="88">
        <v>41608857.204693198</v>
      </c>
      <c r="M120" s="88">
        <v>41653857.204693198</v>
      </c>
      <c r="N120" s="88">
        <v>42486116.4434992</v>
      </c>
      <c r="O120" s="88">
        <v>42531116.4434992</v>
      </c>
      <c r="P120" s="88">
        <v>42576116.4434992</v>
      </c>
      <c r="Q120" s="88">
        <v>43192375.682305098</v>
      </c>
      <c r="R120" s="88">
        <v>43192375.682305098</v>
      </c>
    </row>
    <row r="121" spans="1:18" x14ac:dyDescent="0.3">
      <c r="A121" s="195">
        <v>243</v>
      </c>
      <c r="B121" s="177">
        <v>1001</v>
      </c>
      <c r="C121" s="177" t="s">
        <v>163</v>
      </c>
      <c r="D121" s="201" t="s">
        <v>378</v>
      </c>
      <c r="E121" s="88" t="s">
        <v>1224</v>
      </c>
      <c r="F121" s="88">
        <v>1672506.9455502001</v>
      </c>
      <c r="G121" s="88">
        <v>1513143.2575343</v>
      </c>
      <c r="H121" s="88">
        <v>1353270.0313303</v>
      </c>
      <c r="I121" s="88">
        <v>1192885.6458079999</v>
      </c>
      <c r="J121" s="88">
        <v>1032000.6764398</v>
      </c>
      <c r="K121" s="88">
        <v>870601.30740429997</v>
      </c>
      <c r="L121" s="88">
        <v>708701.72860949999</v>
      </c>
      <c r="M121" s="88">
        <v>546284.53074329998</v>
      </c>
      <c r="N121" s="88">
        <v>383348.06712199998</v>
      </c>
      <c r="O121" s="88">
        <v>387175.93584009999</v>
      </c>
      <c r="P121" s="88">
        <v>391013.75446560001</v>
      </c>
      <c r="Q121" s="88">
        <v>394921.03353840002</v>
      </c>
      <c r="R121" s="88">
        <v>394921.03353840002</v>
      </c>
    </row>
    <row r="122" spans="1:18" x14ac:dyDescent="0.3">
      <c r="A122" s="195">
        <v>245</v>
      </c>
      <c r="B122" s="177">
        <v>1001</v>
      </c>
      <c r="C122" s="177" t="s">
        <v>163</v>
      </c>
      <c r="D122" s="201" t="s">
        <v>380</v>
      </c>
      <c r="E122" s="88" t="s">
        <v>1225</v>
      </c>
      <c r="F122" s="88">
        <v>0</v>
      </c>
      <c r="G122" s="88">
        <v>0</v>
      </c>
      <c r="H122" s="88">
        <v>0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</row>
    <row r="123" spans="1:18" x14ac:dyDescent="0.3">
      <c r="A123" s="195">
        <v>252</v>
      </c>
      <c r="B123" s="177">
        <v>1001</v>
      </c>
      <c r="C123" s="177" t="s">
        <v>163</v>
      </c>
      <c r="D123" s="201" t="s">
        <v>382</v>
      </c>
      <c r="E123" s="88" t="s">
        <v>1226</v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</row>
    <row r="124" spans="1:18" x14ac:dyDescent="0.3">
      <c r="A124" s="195">
        <v>253</v>
      </c>
      <c r="B124" s="177">
        <v>1001</v>
      </c>
      <c r="C124" s="177" t="s">
        <v>163</v>
      </c>
      <c r="D124" s="201" t="s">
        <v>384</v>
      </c>
      <c r="E124" s="88" t="s">
        <v>1227</v>
      </c>
      <c r="F124" s="88">
        <v>48733488.673501</v>
      </c>
      <c r="G124" s="88">
        <v>50597464.078821696</v>
      </c>
      <c r="H124" s="88">
        <v>47459862.379175</v>
      </c>
      <c r="I124" s="88">
        <v>45638536.178742498</v>
      </c>
      <c r="J124" s="88">
        <v>46474827.189593397</v>
      </c>
      <c r="K124" s="88">
        <v>42648314.895821497</v>
      </c>
      <c r="L124" s="88">
        <v>39427322.898039401</v>
      </c>
      <c r="M124" s="88">
        <v>35523171.071460702</v>
      </c>
      <c r="N124" s="88">
        <v>26564114.122590099</v>
      </c>
      <c r="O124" s="88">
        <v>19267860.784241099</v>
      </c>
      <c r="P124" s="88">
        <v>14546107.606709</v>
      </c>
      <c r="Q124" s="88">
        <v>15778410.867560999</v>
      </c>
      <c r="R124" s="88">
        <v>15778410.867560999</v>
      </c>
    </row>
    <row r="125" spans="1:18" x14ac:dyDescent="0.3">
      <c r="A125" s="195">
        <v>254</v>
      </c>
      <c r="B125" s="177">
        <v>1001</v>
      </c>
      <c r="C125" s="177" t="s">
        <v>163</v>
      </c>
      <c r="D125" s="201" t="s">
        <v>386</v>
      </c>
      <c r="E125" s="88" t="s">
        <v>1228</v>
      </c>
      <c r="F125" s="88">
        <v>532576661.01495433</v>
      </c>
      <c r="G125" s="88">
        <v>529893967.91988081</v>
      </c>
      <c r="H125" s="88">
        <v>528224670.77014178</v>
      </c>
      <c r="I125" s="88">
        <v>529572296.74536961</v>
      </c>
      <c r="J125" s="88">
        <v>525807839.48273659</v>
      </c>
      <c r="K125" s="88">
        <v>525897620.86134613</v>
      </c>
      <c r="L125" s="88">
        <v>524588130.96277022</v>
      </c>
      <c r="M125" s="88">
        <v>522017084.16155457</v>
      </c>
      <c r="N125" s="88">
        <v>513244584.61082989</v>
      </c>
      <c r="O125" s="88">
        <v>512333588.69717532</v>
      </c>
      <c r="P125" s="88">
        <v>511127506.24224639</v>
      </c>
      <c r="Q125" s="88">
        <v>508342291.73172992</v>
      </c>
      <c r="R125" s="88">
        <v>508342291.73172992</v>
      </c>
    </row>
    <row r="126" spans="1:18" x14ac:dyDescent="0.3">
      <c r="A126" s="195">
        <v>255</v>
      </c>
      <c r="B126" s="177">
        <v>1001</v>
      </c>
      <c r="C126" s="177" t="s">
        <v>163</v>
      </c>
      <c r="D126" s="201" t="s">
        <v>388</v>
      </c>
      <c r="E126" s="88" t="s">
        <v>1229</v>
      </c>
      <c r="F126" s="88">
        <v>233862150.03</v>
      </c>
      <c r="G126" s="88">
        <v>248250479.84999999</v>
      </c>
      <c r="H126" s="88">
        <v>247299337.69999999</v>
      </c>
      <c r="I126" s="88">
        <v>271995264.55000001</v>
      </c>
      <c r="J126" s="88">
        <v>270830395.73000002</v>
      </c>
      <c r="K126" s="88">
        <v>269665526.93000001</v>
      </c>
      <c r="L126" s="88">
        <v>268500658.13</v>
      </c>
      <c r="M126" s="88">
        <v>267335789.31</v>
      </c>
      <c r="N126" s="88">
        <v>266170920.50999999</v>
      </c>
      <c r="O126" s="88">
        <v>265006051.71000001</v>
      </c>
      <c r="P126" s="88">
        <v>263841182.88999999</v>
      </c>
      <c r="Q126" s="88">
        <v>264120667.28999999</v>
      </c>
      <c r="R126" s="88">
        <v>264120667.28999999</v>
      </c>
    </row>
    <row r="127" spans="1:18" x14ac:dyDescent="0.3">
      <c r="A127" s="195">
        <v>256</v>
      </c>
      <c r="B127" s="177">
        <v>1001</v>
      </c>
      <c r="C127" s="177" t="s">
        <v>163</v>
      </c>
      <c r="D127" s="201" t="s">
        <v>390</v>
      </c>
      <c r="E127" s="88" t="s">
        <v>1230</v>
      </c>
      <c r="F127" s="88">
        <v>-7876.12</v>
      </c>
      <c r="G127" s="88">
        <v>-7876.12</v>
      </c>
      <c r="H127" s="88">
        <v>-7876.12</v>
      </c>
      <c r="I127" s="88">
        <v>-7876.12</v>
      </c>
      <c r="J127" s="88">
        <v>-7876.12</v>
      </c>
      <c r="K127" s="88">
        <v>-7876.12</v>
      </c>
      <c r="L127" s="88">
        <v>-7876.12</v>
      </c>
      <c r="M127" s="88">
        <v>-7876.12</v>
      </c>
      <c r="N127" s="88">
        <v>-7876.12</v>
      </c>
      <c r="O127" s="88">
        <v>-7876.12</v>
      </c>
      <c r="P127" s="88">
        <v>-7876.12</v>
      </c>
      <c r="Q127" s="88">
        <v>-7876.12</v>
      </c>
      <c r="R127" s="88">
        <v>-7876.12</v>
      </c>
    </row>
    <row r="128" spans="1:18" x14ac:dyDescent="0.3">
      <c r="A128" s="195">
        <v>257</v>
      </c>
      <c r="B128" s="177">
        <v>1001</v>
      </c>
      <c r="C128" s="177" t="s">
        <v>163</v>
      </c>
      <c r="D128" s="201" t="s">
        <v>392</v>
      </c>
      <c r="E128" s="88" t="s">
        <v>1231</v>
      </c>
      <c r="F128" s="88">
        <v>0</v>
      </c>
      <c r="G128" s="88">
        <v>0</v>
      </c>
      <c r="H128" s="88">
        <v>0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</row>
    <row r="129" spans="1:18" x14ac:dyDescent="0.3">
      <c r="A129" s="195">
        <v>281</v>
      </c>
      <c r="B129" s="177">
        <v>1001</v>
      </c>
      <c r="C129" s="177" t="s">
        <v>163</v>
      </c>
      <c r="D129" s="201" t="s">
        <v>394</v>
      </c>
      <c r="E129" s="88" t="s">
        <v>1232</v>
      </c>
      <c r="F129" s="88">
        <v>52922970.030000001</v>
      </c>
      <c r="G129" s="88">
        <v>52718068.880000003</v>
      </c>
      <c r="H129" s="88">
        <v>52513167.719999999</v>
      </c>
      <c r="I129" s="88">
        <v>52308266.579999998</v>
      </c>
      <c r="J129" s="88">
        <v>52103365.420000002</v>
      </c>
      <c r="K129" s="88">
        <v>51898464.270000003</v>
      </c>
      <c r="L129" s="88">
        <v>51693563.109999999</v>
      </c>
      <c r="M129" s="88">
        <v>51488661.960000001</v>
      </c>
      <c r="N129" s="88">
        <v>51283760.799999997</v>
      </c>
      <c r="O129" s="88">
        <v>51078859.659999996</v>
      </c>
      <c r="P129" s="88">
        <v>50873958.5</v>
      </c>
      <c r="Q129" s="88">
        <v>50669057.350000001</v>
      </c>
      <c r="R129" s="88">
        <v>50669057.350000001</v>
      </c>
    </row>
    <row r="130" spans="1:18" x14ac:dyDescent="0.3">
      <c r="A130" s="195">
        <v>282</v>
      </c>
      <c r="B130" s="177">
        <v>1001</v>
      </c>
      <c r="C130" s="177" t="s">
        <v>163</v>
      </c>
      <c r="D130" s="201" t="s">
        <v>396</v>
      </c>
      <c r="E130" s="88" t="s">
        <v>1233</v>
      </c>
      <c r="F130" s="88">
        <v>1588611273.0799999</v>
      </c>
      <c r="G130" s="88">
        <v>1597454603.29</v>
      </c>
      <c r="H130" s="88">
        <v>1600086356.75</v>
      </c>
      <c r="I130" s="88">
        <v>1610383855.79</v>
      </c>
      <c r="J130" s="88">
        <v>1617254709.8699999</v>
      </c>
      <c r="K130" s="88">
        <v>1624031080.27</v>
      </c>
      <c r="L130" s="88">
        <v>1630565536.6700001</v>
      </c>
      <c r="M130" s="88">
        <v>1637209106.6500001</v>
      </c>
      <c r="N130" s="88">
        <v>1653946447.6099999</v>
      </c>
      <c r="O130" s="88">
        <v>1660685131.3800001</v>
      </c>
      <c r="P130" s="88">
        <v>1667304733.72</v>
      </c>
      <c r="Q130" s="88">
        <v>1668101447.1900001</v>
      </c>
      <c r="R130" s="88">
        <v>1668101447.1900001</v>
      </c>
    </row>
    <row r="131" spans="1:18" x14ac:dyDescent="0.3">
      <c r="A131" s="195">
        <v>283</v>
      </c>
      <c r="B131" s="177">
        <v>1001</v>
      </c>
      <c r="C131" s="177" t="s">
        <v>163</v>
      </c>
      <c r="D131" s="201" t="s">
        <v>398</v>
      </c>
      <c r="E131" s="88" t="s">
        <v>1234</v>
      </c>
      <c r="F131" s="88">
        <v>49607357.57</v>
      </c>
      <c r="G131" s="88">
        <v>52347972.82</v>
      </c>
      <c r="H131" s="88">
        <v>64527857.439999998</v>
      </c>
      <c r="I131" s="88">
        <v>68028297.950000003</v>
      </c>
      <c r="J131" s="88">
        <v>69868323.459999993</v>
      </c>
      <c r="K131" s="88">
        <v>70073396.989999995</v>
      </c>
      <c r="L131" s="88">
        <v>71316952.840000004</v>
      </c>
      <c r="M131" s="88">
        <v>72575927.599999994</v>
      </c>
      <c r="N131" s="88">
        <v>66313700.159999996</v>
      </c>
      <c r="O131" s="88">
        <v>67875643.640000001</v>
      </c>
      <c r="P131" s="88">
        <v>70030560.069999993</v>
      </c>
      <c r="Q131" s="88">
        <v>75368406.760000005</v>
      </c>
      <c r="R131" s="88">
        <v>75368406.760000005</v>
      </c>
    </row>
    <row r="132" spans="1:18" x14ac:dyDescent="0.3">
      <c r="A132" s="195">
        <v>403</v>
      </c>
      <c r="B132" s="177">
        <v>1001</v>
      </c>
      <c r="C132" s="177" t="s">
        <v>163</v>
      </c>
      <c r="D132" s="201" t="s">
        <v>400</v>
      </c>
      <c r="E132" s="88" t="s">
        <v>1235</v>
      </c>
      <c r="F132" s="88">
        <v>41488847.694078602</v>
      </c>
      <c r="G132" s="88">
        <v>41562832.422909297</v>
      </c>
      <c r="H132" s="88">
        <v>42041628.790323198</v>
      </c>
      <c r="I132" s="88">
        <v>42227311.198399603</v>
      </c>
      <c r="J132" s="88">
        <v>43251045.110362202</v>
      </c>
      <c r="K132" s="88">
        <v>43922736.657113597</v>
      </c>
      <c r="L132" s="88">
        <v>44604061.810109802</v>
      </c>
      <c r="M132" s="88">
        <v>44844156.736036003</v>
      </c>
      <c r="N132" s="88">
        <v>45042037.210545696</v>
      </c>
      <c r="O132" s="88">
        <v>45195764.0979596</v>
      </c>
      <c r="P132" s="88">
        <v>45327609.105373502</v>
      </c>
      <c r="Q132" s="88">
        <v>45463647.863449901</v>
      </c>
      <c r="R132" s="88">
        <v>524971678.696661</v>
      </c>
    </row>
    <row r="133" spans="1:18" x14ac:dyDescent="0.3">
      <c r="A133" s="195">
        <v>403</v>
      </c>
      <c r="B133" s="177">
        <v>1001</v>
      </c>
      <c r="C133" s="177" t="s">
        <v>163</v>
      </c>
      <c r="D133" s="201" t="s">
        <v>402</v>
      </c>
      <c r="E133" s="88" t="s">
        <v>1236</v>
      </c>
      <c r="F133" s="88">
        <v>0</v>
      </c>
      <c r="G133" s="88">
        <v>0</v>
      </c>
      <c r="H133" s="88">
        <v>0</v>
      </c>
      <c r="I133" s="88">
        <v>0</v>
      </c>
      <c r="J133" s="88">
        <v>0</v>
      </c>
      <c r="K133" s="88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</row>
    <row r="134" spans="1:18" x14ac:dyDescent="0.3">
      <c r="A134" s="195">
        <v>404</v>
      </c>
      <c r="B134" s="177">
        <v>1001</v>
      </c>
      <c r="C134" s="177" t="s">
        <v>163</v>
      </c>
      <c r="D134" s="201" t="s">
        <v>404</v>
      </c>
      <c r="E134" s="88" t="s">
        <v>1237</v>
      </c>
      <c r="F134" s="88">
        <v>3275438.7564149001</v>
      </c>
      <c r="G134" s="88">
        <v>3274748.2864148999</v>
      </c>
      <c r="H134" s="88">
        <v>3277060.9764148998</v>
      </c>
      <c r="I134" s="88">
        <v>3289982.0064149001</v>
      </c>
      <c r="J134" s="88">
        <v>3292618.8364149001</v>
      </c>
      <c r="K134" s="88">
        <v>3293677.5064149001</v>
      </c>
      <c r="L134" s="88">
        <v>3295058.0764148999</v>
      </c>
      <c r="M134" s="88">
        <v>3294933.6064149002</v>
      </c>
      <c r="N134" s="88">
        <v>3294018.0764148999</v>
      </c>
      <c r="O134" s="88">
        <v>3430006.2364149</v>
      </c>
      <c r="P134" s="88">
        <v>3606805.8864149</v>
      </c>
      <c r="Q134" s="88">
        <v>3621100.1364149</v>
      </c>
      <c r="R134" s="88">
        <v>40245448.386978798</v>
      </c>
    </row>
    <row r="135" spans="1:18" x14ac:dyDescent="0.3">
      <c r="A135" s="195">
        <v>404</v>
      </c>
      <c r="B135" s="177">
        <v>1001</v>
      </c>
      <c r="C135" s="177" t="s">
        <v>163</v>
      </c>
      <c r="D135" s="201" t="s">
        <v>406</v>
      </c>
      <c r="E135" s="88" t="s">
        <v>1238</v>
      </c>
      <c r="F135" s="88">
        <v>0</v>
      </c>
      <c r="G135" s="88">
        <v>0</v>
      </c>
      <c r="H135" s="88">
        <v>0</v>
      </c>
      <c r="I135" s="88">
        <v>0</v>
      </c>
      <c r="J135" s="88">
        <v>0</v>
      </c>
      <c r="K135" s="88">
        <v>0</v>
      </c>
      <c r="L135" s="88">
        <v>0</v>
      </c>
      <c r="M135" s="88">
        <v>0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</row>
    <row r="136" spans="1:18" x14ac:dyDescent="0.3">
      <c r="A136" s="195">
        <v>404</v>
      </c>
      <c r="B136" s="177">
        <v>1001</v>
      </c>
      <c r="C136" s="177" t="s">
        <v>163</v>
      </c>
      <c r="D136" s="201" t="s">
        <v>408</v>
      </c>
      <c r="E136" s="88" t="s">
        <v>1239</v>
      </c>
      <c r="F136" s="88">
        <v>0</v>
      </c>
      <c r="G136" s="88">
        <v>0</v>
      </c>
      <c r="H136" s="88">
        <v>0</v>
      </c>
      <c r="I136" s="88">
        <v>0</v>
      </c>
      <c r="J136" s="88">
        <v>0</v>
      </c>
      <c r="K136" s="88">
        <v>0</v>
      </c>
      <c r="L136" s="88">
        <v>0</v>
      </c>
      <c r="M136" s="88">
        <v>0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</row>
    <row r="137" spans="1:18" x14ac:dyDescent="0.3">
      <c r="A137" s="195">
        <v>404</v>
      </c>
      <c r="B137" s="177">
        <v>1001</v>
      </c>
      <c r="C137" s="177" t="s">
        <v>163</v>
      </c>
      <c r="D137" s="201" t="s">
        <v>410</v>
      </c>
      <c r="E137" s="88" t="s">
        <v>1240</v>
      </c>
      <c r="F137" s="88">
        <v>0</v>
      </c>
      <c r="G137" s="88">
        <v>0</v>
      </c>
      <c r="H137" s="88">
        <v>0</v>
      </c>
      <c r="I137" s="88">
        <v>0</v>
      </c>
      <c r="J137" s="88">
        <v>0</v>
      </c>
      <c r="K137" s="88">
        <v>0</v>
      </c>
      <c r="L137" s="88">
        <v>0</v>
      </c>
      <c r="M137" s="88">
        <v>0</v>
      </c>
      <c r="N137" s="88">
        <v>0</v>
      </c>
      <c r="O137" s="88">
        <v>0</v>
      </c>
      <c r="P137" s="88">
        <v>0</v>
      </c>
      <c r="Q137" s="88">
        <v>0</v>
      </c>
      <c r="R137" s="88">
        <v>0</v>
      </c>
    </row>
    <row r="138" spans="1:18" x14ac:dyDescent="0.3">
      <c r="A138" s="195">
        <v>405</v>
      </c>
      <c r="B138" s="177">
        <v>1001</v>
      </c>
      <c r="C138" s="177" t="s">
        <v>163</v>
      </c>
      <c r="D138" s="201" t="s">
        <v>412</v>
      </c>
      <c r="E138" s="88" t="s">
        <v>1241</v>
      </c>
      <c r="F138" s="88">
        <v>0</v>
      </c>
      <c r="G138" s="88">
        <v>0</v>
      </c>
      <c r="H138" s="88">
        <v>0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</row>
    <row r="139" spans="1:18" x14ac:dyDescent="0.3">
      <c r="A139" s="195">
        <v>406</v>
      </c>
      <c r="B139" s="177">
        <v>1001</v>
      </c>
      <c r="C139" s="177" t="s">
        <v>163</v>
      </c>
      <c r="D139" s="201" t="s">
        <v>414</v>
      </c>
      <c r="E139" s="88" t="s">
        <v>1242</v>
      </c>
      <c r="F139" s="88">
        <v>15479.11</v>
      </c>
      <c r="G139" s="88">
        <v>15479.11</v>
      </c>
      <c r="H139" s="88">
        <v>15479.11</v>
      </c>
      <c r="I139" s="88">
        <v>15479.11</v>
      </c>
      <c r="J139" s="88">
        <v>15479.11</v>
      </c>
      <c r="K139" s="88">
        <v>15479.11</v>
      </c>
      <c r="L139" s="88">
        <v>15479.11</v>
      </c>
      <c r="M139" s="88">
        <v>15479.11</v>
      </c>
      <c r="N139" s="88">
        <v>15479.11</v>
      </c>
      <c r="O139" s="88">
        <v>15479.11</v>
      </c>
      <c r="P139" s="88">
        <v>15479.11</v>
      </c>
      <c r="Q139" s="88">
        <v>15479.11</v>
      </c>
      <c r="R139" s="88">
        <v>185749.32</v>
      </c>
    </row>
    <row r="140" spans="1:18" x14ac:dyDescent="0.3">
      <c r="A140" s="195">
        <v>407</v>
      </c>
      <c r="B140" s="177">
        <v>1001</v>
      </c>
      <c r="C140" s="177" t="s">
        <v>163</v>
      </c>
      <c r="D140" s="201" t="s">
        <v>416</v>
      </c>
      <c r="E140" s="88" t="s">
        <v>1243</v>
      </c>
      <c r="F140" s="88">
        <v>1821528.62</v>
      </c>
      <c r="G140" s="88">
        <v>1821528.62</v>
      </c>
      <c r="H140" s="88">
        <v>1821528.62</v>
      </c>
      <c r="I140" s="88">
        <v>1821528.62</v>
      </c>
      <c r="J140" s="88">
        <v>1821528.62</v>
      </c>
      <c r="K140" s="88">
        <v>1821528.62</v>
      </c>
      <c r="L140" s="88">
        <v>1821528.62</v>
      </c>
      <c r="M140" s="88">
        <v>1821528.62</v>
      </c>
      <c r="N140" s="88">
        <v>1821528.62</v>
      </c>
      <c r="O140" s="88">
        <v>1821528.62</v>
      </c>
      <c r="P140" s="88">
        <v>1821528.62</v>
      </c>
      <c r="Q140" s="88">
        <v>1821528.53</v>
      </c>
      <c r="R140" s="88">
        <v>21858343.350000001</v>
      </c>
    </row>
    <row r="141" spans="1:18" x14ac:dyDescent="0.3">
      <c r="A141" s="195">
        <v>407.1</v>
      </c>
      <c r="B141" s="177">
        <v>1001</v>
      </c>
      <c r="C141" s="177" t="s">
        <v>163</v>
      </c>
      <c r="D141" s="201" t="s">
        <v>418</v>
      </c>
      <c r="E141" s="88" t="s">
        <v>1244</v>
      </c>
      <c r="F141" s="88">
        <v>0</v>
      </c>
      <c r="G141" s="88">
        <v>0</v>
      </c>
      <c r="H141" s="88">
        <v>0</v>
      </c>
      <c r="I141" s="88">
        <v>0</v>
      </c>
      <c r="J141" s="88">
        <v>0</v>
      </c>
      <c r="K141" s="88">
        <v>0</v>
      </c>
      <c r="L141" s="88">
        <v>0</v>
      </c>
      <c r="M141" s="88">
        <v>0</v>
      </c>
      <c r="N141" s="88">
        <v>0</v>
      </c>
      <c r="O141" s="88">
        <v>0</v>
      </c>
      <c r="P141" s="88">
        <v>0</v>
      </c>
      <c r="Q141" s="88">
        <v>0</v>
      </c>
      <c r="R141" s="88">
        <v>0</v>
      </c>
    </row>
    <row r="142" spans="1:18" x14ac:dyDescent="0.3">
      <c r="A142" s="195">
        <v>407.2</v>
      </c>
      <c r="B142" s="177">
        <v>1001</v>
      </c>
      <c r="C142" s="177" t="s">
        <v>163</v>
      </c>
      <c r="D142" s="201" t="s">
        <v>420</v>
      </c>
      <c r="E142" s="88" t="s">
        <v>1245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  <c r="K142" s="88">
        <v>0</v>
      </c>
      <c r="L142" s="88">
        <v>0</v>
      </c>
      <c r="M142" s="88">
        <v>0</v>
      </c>
      <c r="N142" s="88">
        <v>0</v>
      </c>
      <c r="O142" s="88">
        <v>0</v>
      </c>
      <c r="P142" s="88">
        <v>0</v>
      </c>
      <c r="Q142" s="88">
        <v>0</v>
      </c>
      <c r="R142" s="88">
        <v>0</v>
      </c>
    </row>
    <row r="143" spans="1:18" x14ac:dyDescent="0.3">
      <c r="A143" s="195">
        <v>407.3</v>
      </c>
      <c r="B143" s="177">
        <v>1001</v>
      </c>
      <c r="C143" s="177" t="s">
        <v>163</v>
      </c>
      <c r="D143" s="201" t="s">
        <v>422</v>
      </c>
      <c r="E143" s="88" t="s">
        <v>1246</v>
      </c>
      <c r="F143" s="88">
        <v>-7774.9732567999999</v>
      </c>
      <c r="G143" s="88">
        <v>-49848.639766400003</v>
      </c>
      <c r="H143" s="88">
        <v>238336.30655420001</v>
      </c>
      <c r="I143" s="88">
        <v>-24636.452563999999</v>
      </c>
      <c r="J143" s="88">
        <v>690817.25900840003</v>
      </c>
      <c r="K143" s="88">
        <v>5371337.0593633</v>
      </c>
      <c r="L143" s="88">
        <v>4263219.8883001003</v>
      </c>
      <c r="M143" s="88">
        <v>2814911.3854621002</v>
      </c>
      <c r="N143" s="88">
        <v>10250727.6839789</v>
      </c>
      <c r="O143" s="88">
        <v>3539022.1612995998</v>
      </c>
      <c r="P143" s="88">
        <v>3191743.7693457999</v>
      </c>
      <c r="Q143" s="88">
        <v>348055.87583500001</v>
      </c>
      <c r="R143" s="88">
        <v>30625911.323560201</v>
      </c>
    </row>
    <row r="144" spans="1:18" x14ac:dyDescent="0.3">
      <c r="A144" s="195">
        <v>407.4</v>
      </c>
      <c r="B144" s="177">
        <v>1001</v>
      </c>
      <c r="C144" s="177" t="s">
        <v>163</v>
      </c>
      <c r="D144" s="201" t="s">
        <v>424</v>
      </c>
      <c r="E144" s="88" t="s">
        <v>1247</v>
      </c>
      <c r="F144" s="88">
        <v>-8348681.6682722</v>
      </c>
      <c r="G144" s="88">
        <v>-6052339.4800795</v>
      </c>
      <c r="H144" s="88">
        <v>-6316091.7233058996</v>
      </c>
      <c r="I144" s="88">
        <v>-5670334.7558963001</v>
      </c>
      <c r="J144" s="88">
        <v>-1867764</v>
      </c>
      <c r="K144" s="88">
        <v>-1018702</v>
      </c>
      <c r="L144" s="88">
        <v>-1018702.4822816</v>
      </c>
      <c r="M144" s="88">
        <v>-1018702.6855728</v>
      </c>
      <c r="N144" s="88">
        <v>-1018702</v>
      </c>
      <c r="O144" s="88">
        <v>-1399819</v>
      </c>
      <c r="P144" s="88">
        <v>-3090877.2551767998</v>
      </c>
      <c r="Q144" s="88">
        <v>-10737053.7194106</v>
      </c>
      <c r="R144" s="88">
        <v>-47557770.769995697</v>
      </c>
    </row>
    <row r="145" spans="1:18" x14ac:dyDescent="0.3">
      <c r="A145" s="195">
        <v>408</v>
      </c>
      <c r="B145" s="177">
        <v>1001</v>
      </c>
      <c r="C145" s="177" t="s">
        <v>163</v>
      </c>
      <c r="D145" s="201" t="s">
        <v>426</v>
      </c>
      <c r="E145" s="88" t="s">
        <v>1248</v>
      </c>
      <c r="F145" s="88">
        <v>18246787.511582699</v>
      </c>
      <c r="G145" s="88">
        <v>17528678.929778598</v>
      </c>
      <c r="H145" s="88">
        <v>17309449.666929498</v>
      </c>
      <c r="I145" s="88">
        <v>17728813.733107999</v>
      </c>
      <c r="J145" s="88">
        <v>19145271.940115299</v>
      </c>
      <c r="K145" s="88">
        <v>20137804.965055998</v>
      </c>
      <c r="L145" s="88">
        <v>20783022.348366499</v>
      </c>
      <c r="M145" s="88">
        <v>20548288.764339902</v>
      </c>
      <c r="N145" s="88">
        <v>20989536.235991001</v>
      </c>
      <c r="O145" s="88">
        <v>20555572.970065299</v>
      </c>
      <c r="P145" s="88">
        <v>17572975.135949198</v>
      </c>
      <c r="Q145" s="88">
        <v>17812460.5198287</v>
      </c>
      <c r="R145" s="88">
        <v>228358662.7211107</v>
      </c>
    </row>
    <row r="146" spans="1:18" x14ac:dyDescent="0.3">
      <c r="A146" s="195">
        <v>408</v>
      </c>
      <c r="B146" s="177">
        <v>1001</v>
      </c>
      <c r="C146" s="177" t="s">
        <v>163</v>
      </c>
      <c r="D146" s="201" t="s">
        <v>428</v>
      </c>
      <c r="E146" s="88" t="s">
        <v>1249</v>
      </c>
      <c r="F146" s="88">
        <v>14167.6212782</v>
      </c>
      <c r="G146" s="88">
        <v>13805.2196344</v>
      </c>
      <c r="H146" s="88">
        <v>13809.379686</v>
      </c>
      <c r="I146" s="88">
        <v>13992.7143817</v>
      </c>
      <c r="J146" s="88">
        <v>14251.987278299999</v>
      </c>
      <c r="K146" s="88">
        <v>13697.3801542</v>
      </c>
      <c r="L146" s="88">
        <v>14251.987278299999</v>
      </c>
      <c r="M146" s="88">
        <v>14067.1183714</v>
      </c>
      <c r="N146" s="88">
        <v>13882.2494647</v>
      </c>
      <c r="O146" s="88">
        <v>14256.5435251</v>
      </c>
      <c r="P146" s="88">
        <v>13886.4095163</v>
      </c>
      <c r="Q146" s="88">
        <v>14071.476520599999</v>
      </c>
      <c r="R146" s="88">
        <v>168140.08708920001</v>
      </c>
    </row>
    <row r="147" spans="1:18" x14ac:dyDescent="0.3">
      <c r="A147" s="195">
        <v>409</v>
      </c>
      <c r="B147" s="177">
        <v>1001</v>
      </c>
      <c r="C147" s="177" t="s">
        <v>163</v>
      </c>
      <c r="D147" s="201" t="s">
        <v>430</v>
      </c>
      <c r="E147" s="88" t="s">
        <v>1250</v>
      </c>
      <c r="F147" s="88">
        <v>1087301.83</v>
      </c>
      <c r="G147" s="88">
        <v>-582658.01</v>
      </c>
      <c r="H147" s="88">
        <v>-9111980.7899999991</v>
      </c>
      <c r="I147" s="88">
        <v>227182.27</v>
      </c>
      <c r="J147" s="88">
        <v>5055310.8</v>
      </c>
      <c r="K147" s="88">
        <v>7483095.7800000003</v>
      </c>
      <c r="L147" s="88">
        <v>9156823.3200000003</v>
      </c>
      <c r="M147" s="88">
        <v>10014215.4</v>
      </c>
      <c r="N147" s="88">
        <v>5433674.8200000003</v>
      </c>
      <c r="O147" s="88">
        <v>3108141.63</v>
      </c>
      <c r="P147" s="88">
        <v>-2126205.92</v>
      </c>
      <c r="Q147" s="88">
        <v>-2300576.62</v>
      </c>
      <c r="R147" s="88">
        <v>27444324.510000002</v>
      </c>
    </row>
    <row r="148" spans="1:18" x14ac:dyDescent="0.3">
      <c r="A148" s="195">
        <v>409</v>
      </c>
      <c r="B148" s="177">
        <v>1001</v>
      </c>
      <c r="C148" s="177" t="s">
        <v>163</v>
      </c>
      <c r="D148" s="201" t="s">
        <v>432</v>
      </c>
      <c r="E148" s="88" t="s">
        <v>1251</v>
      </c>
      <c r="F148" s="88">
        <v>295143.81</v>
      </c>
      <c r="G148" s="88">
        <v>337053.38</v>
      </c>
      <c r="H148" s="88">
        <v>355556.22</v>
      </c>
      <c r="I148" s="88">
        <v>328532.89</v>
      </c>
      <c r="J148" s="88">
        <v>350446.19</v>
      </c>
      <c r="K148" s="88">
        <v>335056.61</v>
      </c>
      <c r="L148" s="88">
        <v>1060837.22</v>
      </c>
      <c r="M148" s="88">
        <v>694193.95</v>
      </c>
      <c r="N148" s="88">
        <v>360895.35</v>
      </c>
      <c r="O148" s="88">
        <v>365894.45</v>
      </c>
      <c r="P148" s="88">
        <v>376061</v>
      </c>
      <c r="Q148" s="88">
        <v>334659.15999999997</v>
      </c>
      <c r="R148" s="88">
        <v>5194330.2300000004</v>
      </c>
    </row>
    <row r="149" spans="1:18" x14ac:dyDescent="0.3">
      <c r="A149" s="195">
        <v>409</v>
      </c>
      <c r="B149" s="177">
        <v>1001</v>
      </c>
      <c r="C149" s="177" t="s">
        <v>163</v>
      </c>
      <c r="D149" s="201" t="s">
        <v>434</v>
      </c>
      <c r="E149" s="88" t="s">
        <v>1252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0</v>
      </c>
      <c r="M149" s="88">
        <v>0</v>
      </c>
      <c r="N149" s="88">
        <v>0</v>
      </c>
      <c r="O149" s="88">
        <v>0</v>
      </c>
      <c r="P149" s="88">
        <v>0</v>
      </c>
      <c r="Q149" s="88">
        <v>0</v>
      </c>
      <c r="R149" s="88">
        <v>0</v>
      </c>
    </row>
    <row r="150" spans="1:18" x14ac:dyDescent="0.3">
      <c r="A150" s="195">
        <v>410</v>
      </c>
      <c r="B150" s="177">
        <v>1001</v>
      </c>
      <c r="C150" s="177" t="s">
        <v>163</v>
      </c>
      <c r="D150" s="201" t="s">
        <v>436</v>
      </c>
      <c r="E150" s="88" t="s">
        <v>1253</v>
      </c>
      <c r="F150" s="88">
        <v>8850148.4700000007</v>
      </c>
      <c r="G150" s="88">
        <v>8912913.3599999994</v>
      </c>
      <c r="H150" s="88">
        <v>21367418.73</v>
      </c>
      <c r="I150" s="88">
        <v>9275235.4700000007</v>
      </c>
      <c r="J150" s="88">
        <v>8791473.6899999995</v>
      </c>
      <c r="K150" s="88">
        <v>9046956.3599999994</v>
      </c>
      <c r="L150" s="88">
        <v>8555737.6199999992</v>
      </c>
      <c r="M150" s="88">
        <v>8723774.6099999994</v>
      </c>
      <c r="N150" s="88">
        <v>9090251.2300000004</v>
      </c>
      <c r="O150" s="88">
        <v>8693599.1400000006</v>
      </c>
      <c r="P150" s="88">
        <v>8653620.4100000001</v>
      </c>
      <c r="Q150" s="88">
        <v>15935137.49</v>
      </c>
      <c r="R150" s="88">
        <v>125896266.58</v>
      </c>
    </row>
    <row r="151" spans="1:18" x14ac:dyDescent="0.3">
      <c r="A151" s="195">
        <v>410</v>
      </c>
      <c r="B151" s="177">
        <v>1001</v>
      </c>
      <c r="C151" s="177" t="s">
        <v>163</v>
      </c>
      <c r="D151" s="201" t="s">
        <v>438</v>
      </c>
      <c r="E151" s="88" t="s">
        <v>1254</v>
      </c>
      <c r="F151" s="88">
        <v>0</v>
      </c>
      <c r="G151" s="88">
        <v>0</v>
      </c>
      <c r="H151" s="88">
        <v>0</v>
      </c>
      <c r="I151" s="88">
        <v>0</v>
      </c>
      <c r="J151" s="88">
        <v>0</v>
      </c>
      <c r="K151" s="88">
        <v>0</v>
      </c>
      <c r="L151" s="88">
        <v>0</v>
      </c>
      <c r="M151" s="88">
        <v>0</v>
      </c>
      <c r="N151" s="88">
        <v>0</v>
      </c>
      <c r="O151" s="88">
        <v>0</v>
      </c>
      <c r="P151" s="88">
        <v>0</v>
      </c>
      <c r="Q151" s="88">
        <v>0</v>
      </c>
      <c r="R151" s="88">
        <v>0</v>
      </c>
    </row>
    <row r="152" spans="1:18" x14ac:dyDescent="0.3">
      <c r="A152" s="195">
        <v>411</v>
      </c>
      <c r="B152" s="177">
        <v>1001</v>
      </c>
      <c r="C152" s="177" t="s">
        <v>163</v>
      </c>
      <c r="D152" s="201" t="s">
        <v>440</v>
      </c>
      <c r="E152" s="88" t="s">
        <v>1255</v>
      </c>
      <c r="F152" s="88">
        <v>-6889488.8399999999</v>
      </c>
      <c r="G152" s="88">
        <v>-7187832.8099999996</v>
      </c>
      <c r="H152" s="88">
        <v>-8169992.8200000003</v>
      </c>
      <c r="I152" s="88">
        <v>-8622087.7400000002</v>
      </c>
      <c r="J152" s="88">
        <v>-9255438.4399999995</v>
      </c>
      <c r="K152" s="88">
        <v>-10067480.01</v>
      </c>
      <c r="L152" s="88">
        <v>-8636589.2899999991</v>
      </c>
      <c r="M152" s="88">
        <v>-8957544.3699999992</v>
      </c>
      <c r="N152" s="88">
        <v>-19306906.190000001</v>
      </c>
      <c r="O152" s="88">
        <v>-8416476.6999999993</v>
      </c>
      <c r="P152" s="88">
        <v>-7212555.8200000003</v>
      </c>
      <c r="Q152" s="88">
        <v>-8890188.8000000007</v>
      </c>
      <c r="R152" s="88">
        <v>-111612581.83</v>
      </c>
    </row>
    <row r="153" spans="1:18" x14ac:dyDescent="0.3">
      <c r="A153" s="195">
        <v>411</v>
      </c>
      <c r="B153" s="177">
        <v>1001</v>
      </c>
      <c r="C153" s="177" t="s">
        <v>163</v>
      </c>
      <c r="D153" s="201" t="s">
        <v>442</v>
      </c>
      <c r="E153" s="88" t="s">
        <v>1256</v>
      </c>
      <c r="F153" s="88">
        <v>0</v>
      </c>
      <c r="G153" s="88">
        <v>0</v>
      </c>
      <c r="H153" s="88">
        <v>0</v>
      </c>
      <c r="I153" s="88">
        <v>0</v>
      </c>
      <c r="J153" s="88">
        <v>0</v>
      </c>
      <c r="K153" s="88">
        <v>0</v>
      </c>
      <c r="L153" s="88">
        <v>0</v>
      </c>
      <c r="M153" s="88">
        <v>0</v>
      </c>
      <c r="N153" s="88">
        <v>0</v>
      </c>
      <c r="O153" s="88">
        <v>0</v>
      </c>
      <c r="P153" s="88">
        <v>0</v>
      </c>
      <c r="Q153" s="88">
        <v>0</v>
      </c>
      <c r="R153" s="88">
        <v>0</v>
      </c>
    </row>
    <row r="154" spans="1:18" x14ac:dyDescent="0.3">
      <c r="A154" s="195">
        <v>411</v>
      </c>
      <c r="B154" s="177">
        <v>1001</v>
      </c>
      <c r="C154" s="177" t="s">
        <v>163</v>
      </c>
      <c r="D154" s="201" t="s">
        <v>444</v>
      </c>
      <c r="E154" s="88" t="s">
        <v>1257</v>
      </c>
      <c r="F154" s="88">
        <v>-1073001.75</v>
      </c>
      <c r="G154" s="88">
        <v>-1073001.75</v>
      </c>
      <c r="H154" s="88">
        <v>-1073001.75</v>
      </c>
      <c r="I154" s="88">
        <v>-1073001.75</v>
      </c>
      <c r="J154" s="88">
        <v>-1073001.75</v>
      </c>
      <c r="K154" s="88">
        <v>-1073001.75</v>
      </c>
      <c r="L154" s="88">
        <v>-1073001.75</v>
      </c>
      <c r="M154" s="88">
        <v>-1073001.75</v>
      </c>
      <c r="N154" s="88">
        <v>-1073001.75</v>
      </c>
      <c r="O154" s="88">
        <v>-1073001.75</v>
      </c>
      <c r="P154" s="88">
        <v>-1073001.75</v>
      </c>
      <c r="Q154" s="88">
        <v>-1073001.75</v>
      </c>
      <c r="R154" s="88">
        <v>-12876021</v>
      </c>
    </row>
    <row r="155" spans="1:18" x14ac:dyDescent="0.3">
      <c r="A155" s="195">
        <v>411</v>
      </c>
      <c r="B155" s="177">
        <v>1001</v>
      </c>
      <c r="C155" s="177" t="s">
        <v>163</v>
      </c>
      <c r="D155" s="201" t="s">
        <v>446</v>
      </c>
      <c r="E155" s="88" t="s">
        <v>1258</v>
      </c>
      <c r="F155" s="88">
        <v>-927.92</v>
      </c>
      <c r="G155" s="88">
        <v>-927.91</v>
      </c>
      <c r="H155" s="88">
        <v>-927.92</v>
      </c>
      <c r="I155" s="88">
        <v>-927.92</v>
      </c>
      <c r="J155" s="88">
        <v>-927.91</v>
      </c>
      <c r="K155" s="88">
        <v>-927.92</v>
      </c>
      <c r="L155" s="88">
        <v>-927.92</v>
      </c>
      <c r="M155" s="88">
        <v>-927.91</v>
      </c>
      <c r="N155" s="88">
        <v>-927.92</v>
      </c>
      <c r="O155" s="88">
        <v>-927.92</v>
      </c>
      <c r="P155" s="88">
        <v>-927.91</v>
      </c>
      <c r="Q155" s="88">
        <v>-927.92</v>
      </c>
      <c r="R155" s="88">
        <v>-11135</v>
      </c>
    </row>
    <row r="156" spans="1:18" x14ac:dyDescent="0.3">
      <c r="A156" s="195">
        <v>411</v>
      </c>
      <c r="B156" s="177">
        <v>1001</v>
      </c>
      <c r="C156" s="177" t="s">
        <v>163</v>
      </c>
      <c r="D156" s="201" t="s">
        <v>448</v>
      </c>
      <c r="E156" s="88" t="s">
        <v>1259</v>
      </c>
      <c r="F156" s="88">
        <v>0</v>
      </c>
      <c r="G156" s="88">
        <v>0</v>
      </c>
      <c r="H156" s="88">
        <v>0</v>
      </c>
      <c r="I156" s="88">
        <v>0</v>
      </c>
      <c r="J156" s="88">
        <v>0</v>
      </c>
      <c r="K156" s="88">
        <v>0</v>
      </c>
      <c r="L156" s="88">
        <v>0</v>
      </c>
      <c r="M156" s="88">
        <v>0</v>
      </c>
      <c r="N156" s="88">
        <v>0</v>
      </c>
      <c r="O156" s="88">
        <v>0</v>
      </c>
      <c r="P156" s="88">
        <v>0</v>
      </c>
      <c r="Q156" s="88">
        <v>0</v>
      </c>
      <c r="R156" s="88">
        <v>0</v>
      </c>
    </row>
    <row r="157" spans="1:18" x14ac:dyDescent="0.3">
      <c r="A157" s="195">
        <v>411</v>
      </c>
      <c r="B157" s="177">
        <v>1001</v>
      </c>
      <c r="C157" s="177" t="s">
        <v>163</v>
      </c>
      <c r="D157" s="201" t="s">
        <v>450</v>
      </c>
      <c r="E157" s="88" t="s">
        <v>1260</v>
      </c>
      <c r="F157" s="88">
        <v>0</v>
      </c>
      <c r="G157" s="88">
        <v>0</v>
      </c>
      <c r="H157" s="88">
        <v>0</v>
      </c>
      <c r="I157" s="88">
        <v>0</v>
      </c>
      <c r="J157" s="88">
        <v>0</v>
      </c>
      <c r="K157" s="88">
        <v>0</v>
      </c>
      <c r="L157" s="88">
        <v>0</v>
      </c>
      <c r="M157" s="88">
        <v>0</v>
      </c>
      <c r="N157" s="88">
        <v>0</v>
      </c>
      <c r="O157" s="88">
        <v>0</v>
      </c>
      <c r="P157" s="88">
        <v>0</v>
      </c>
      <c r="Q157" s="88">
        <v>0</v>
      </c>
      <c r="R157" s="88">
        <v>0</v>
      </c>
    </row>
    <row r="158" spans="1:18" x14ac:dyDescent="0.3">
      <c r="A158" s="195">
        <v>411</v>
      </c>
      <c r="B158" s="177">
        <v>1001</v>
      </c>
      <c r="C158" s="177" t="s">
        <v>163</v>
      </c>
      <c r="D158" s="201" t="s">
        <v>452</v>
      </c>
      <c r="E158" s="88" t="s">
        <v>1261</v>
      </c>
      <c r="F158" s="88">
        <v>303440</v>
      </c>
      <c r="G158" s="88">
        <v>283864</v>
      </c>
      <c r="H158" s="88">
        <v>303440</v>
      </c>
      <c r="I158" s="88">
        <v>293652</v>
      </c>
      <c r="J158" s="88">
        <v>303440</v>
      </c>
      <c r="K158" s="88">
        <v>293652</v>
      </c>
      <c r="L158" s="88">
        <v>303440</v>
      </c>
      <c r="M158" s="88">
        <v>303440</v>
      </c>
      <c r="N158" s="88">
        <v>293652</v>
      </c>
      <c r="O158" s="88">
        <v>303440</v>
      </c>
      <c r="P158" s="88">
        <v>293652</v>
      </c>
      <c r="Q158" s="88">
        <v>303442</v>
      </c>
      <c r="R158" s="88">
        <v>3582554</v>
      </c>
    </row>
    <row r="159" spans="1:18" x14ac:dyDescent="0.3">
      <c r="A159" s="195">
        <v>411</v>
      </c>
      <c r="B159" s="177">
        <v>1001</v>
      </c>
      <c r="C159" s="177" t="s">
        <v>163</v>
      </c>
      <c r="D159" s="201" t="s">
        <v>454</v>
      </c>
      <c r="E159" s="88" t="s">
        <v>1262</v>
      </c>
      <c r="F159" s="88">
        <v>0</v>
      </c>
      <c r="G159" s="88">
        <v>0</v>
      </c>
      <c r="H159" s="88">
        <v>0</v>
      </c>
      <c r="I159" s="88">
        <v>0</v>
      </c>
      <c r="J159" s="88">
        <v>0</v>
      </c>
      <c r="K159" s="88">
        <v>0</v>
      </c>
      <c r="L159" s="88">
        <v>0</v>
      </c>
      <c r="M159" s="88">
        <v>0</v>
      </c>
      <c r="N159" s="88">
        <v>0</v>
      </c>
      <c r="O159" s="88">
        <v>0</v>
      </c>
      <c r="P159" s="88">
        <v>0</v>
      </c>
      <c r="Q159" s="88">
        <v>0</v>
      </c>
      <c r="R159" s="88">
        <v>0</v>
      </c>
    </row>
    <row r="160" spans="1:18" x14ac:dyDescent="0.3">
      <c r="A160" s="195">
        <v>412</v>
      </c>
      <c r="B160" s="177">
        <v>1001</v>
      </c>
      <c r="C160" s="177" t="s">
        <v>163</v>
      </c>
      <c r="D160" s="201" t="s">
        <v>456</v>
      </c>
      <c r="E160" s="88" t="s">
        <v>1263</v>
      </c>
      <c r="F160" s="88">
        <v>0</v>
      </c>
      <c r="G160" s="88">
        <v>0</v>
      </c>
      <c r="H160" s="88">
        <v>0</v>
      </c>
      <c r="I160" s="88">
        <v>0</v>
      </c>
      <c r="J160" s="88">
        <v>0</v>
      </c>
      <c r="K160" s="88">
        <v>0</v>
      </c>
      <c r="L160" s="88">
        <v>0</v>
      </c>
      <c r="M160" s="88">
        <v>0</v>
      </c>
      <c r="N160" s="88">
        <v>0</v>
      </c>
      <c r="O160" s="88">
        <v>0</v>
      </c>
      <c r="P160" s="88">
        <v>0</v>
      </c>
      <c r="Q160" s="88">
        <v>0</v>
      </c>
      <c r="R160" s="88">
        <v>0</v>
      </c>
    </row>
    <row r="161" spans="1:18" x14ac:dyDescent="0.3">
      <c r="A161" s="195">
        <v>413</v>
      </c>
      <c r="B161" s="177">
        <v>1001</v>
      </c>
      <c r="C161" s="177" t="s">
        <v>163</v>
      </c>
      <c r="D161" s="201" t="s">
        <v>458</v>
      </c>
      <c r="E161" s="88" t="s">
        <v>1264</v>
      </c>
      <c r="F161" s="88">
        <v>0</v>
      </c>
      <c r="G161" s="88">
        <v>0</v>
      </c>
      <c r="H161" s="88">
        <v>0</v>
      </c>
      <c r="I161" s="88">
        <v>0</v>
      </c>
      <c r="J161" s="88">
        <v>0</v>
      </c>
      <c r="K161" s="88">
        <v>0</v>
      </c>
      <c r="L161" s="88">
        <v>0</v>
      </c>
      <c r="M161" s="88">
        <v>0</v>
      </c>
      <c r="N161" s="88">
        <v>0</v>
      </c>
      <c r="O161" s="88">
        <v>0</v>
      </c>
      <c r="P161" s="88">
        <v>0</v>
      </c>
      <c r="Q161" s="88">
        <v>0</v>
      </c>
      <c r="R161" s="88">
        <v>0</v>
      </c>
    </row>
    <row r="162" spans="1:18" x14ac:dyDescent="0.3">
      <c r="A162" s="195">
        <v>414</v>
      </c>
      <c r="B162" s="177">
        <v>1001</v>
      </c>
      <c r="C162" s="177" t="s">
        <v>163</v>
      </c>
      <c r="D162" s="201" t="s">
        <v>460</v>
      </c>
      <c r="E162" s="88" t="s">
        <v>1265</v>
      </c>
      <c r="F162" s="88">
        <v>0</v>
      </c>
      <c r="G162" s="88">
        <v>0</v>
      </c>
      <c r="H162" s="88">
        <v>0</v>
      </c>
      <c r="I162" s="88">
        <v>0</v>
      </c>
      <c r="J162" s="88">
        <v>0</v>
      </c>
      <c r="K162" s="88">
        <v>0</v>
      </c>
      <c r="L162" s="88">
        <v>0</v>
      </c>
      <c r="M162" s="88">
        <v>0</v>
      </c>
      <c r="N162" s="88">
        <v>0</v>
      </c>
      <c r="O162" s="88">
        <v>0</v>
      </c>
      <c r="P162" s="88">
        <v>0</v>
      </c>
      <c r="Q162" s="88">
        <v>0</v>
      </c>
      <c r="R162" s="88">
        <v>0</v>
      </c>
    </row>
    <row r="163" spans="1:18" x14ac:dyDescent="0.3">
      <c r="A163" s="195">
        <v>415</v>
      </c>
      <c r="B163" s="177">
        <v>1001</v>
      </c>
      <c r="C163" s="177" t="s">
        <v>163</v>
      </c>
      <c r="D163" s="201" t="s">
        <v>462</v>
      </c>
      <c r="E163" s="88" t="s">
        <v>1266</v>
      </c>
      <c r="F163" s="88">
        <v>497000</v>
      </c>
      <c r="G163" s="88">
        <v>522600</v>
      </c>
      <c r="H163" s="88">
        <v>498200</v>
      </c>
      <c r="I163" s="88">
        <v>524800</v>
      </c>
      <c r="J163" s="88">
        <v>491500</v>
      </c>
      <c r="K163" s="88">
        <v>493100</v>
      </c>
      <c r="L163" s="88">
        <v>3282737</v>
      </c>
      <c r="M163" s="88">
        <v>2279763</v>
      </c>
      <c r="N163" s="88">
        <v>508900</v>
      </c>
      <c r="O163" s="88">
        <v>559000</v>
      </c>
      <c r="P163" s="88">
        <v>509100</v>
      </c>
      <c r="Q163" s="88">
        <v>544200</v>
      </c>
      <c r="R163" s="88">
        <v>10710900</v>
      </c>
    </row>
    <row r="164" spans="1:18" x14ac:dyDescent="0.3">
      <c r="A164" s="195">
        <v>416</v>
      </c>
      <c r="B164" s="177">
        <v>1001</v>
      </c>
      <c r="C164" s="177" t="s">
        <v>163</v>
      </c>
      <c r="D164" s="201" t="s">
        <v>464</v>
      </c>
      <c r="E164" s="88" t="s">
        <v>1267</v>
      </c>
      <c r="F164" s="88">
        <v>364374.6200163</v>
      </c>
      <c r="G164" s="88">
        <v>356193.14113950002</v>
      </c>
      <c r="H164" s="88">
        <v>369786.7511395</v>
      </c>
      <c r="I164" s="88">
        <v>406348.84996869997</v>
      </c>
      <c r="J164" s="88">
        <v>381111.99176609999</v>
      </c>
      <c r="K164" s="88">
        <v>372701.26839380001</v>
      </c>
      <c r="L164" s="88">
        <v>382168.46176610002</v>
      </c>
      <c r="M164" s="88">
        <v>409156.90945929999</v>
      </c>
      <c r="N164" s="88">
        <v>376471.72715230001</v>
      </c>
      <c r="O164" s="88">
        <v>382806.76176610001</v>
      </c>
      <c r="P164" s="88">
        <v>377671.70715229999</v>
      </c>
      <c r="Q164" s="88">
        <v>386106.13945929997</v>
      </c>
      <c r="R164" s="88">
        <v>4564898.3291793</v>
      </c>
    </row>
    <row r="165" spans="1:18" x14ac:dyDescent="0.3">
      <c r="A165" s="195">
        <v>417</v>
      </c>
      <c r="B165" s="177">
        <v>1001</v>
      </c>
      <c r="C165" s="177" t="s">
        <v>163</v>
      </c>
      <c r="D165" s="201" t="s">
        <v>466</v>
      </c>
      <c r="E165" s="88" t="s">
        <v>1268</v>
      </c>
      <c r="F165" s="88">
        <v>0</v>
      </c>
      <c r="G165" s="88">
        <v>0</v>
      </c>
      <c r="H165" s="88">
        <v>0</v>
      </c>
      <c r="I165" s="88">
        <v>0</v>
      </c>
      <c r="J165" s="88">
        <v>0</v>
      </c>
      <c r="K165" s="88">
        <v>0</v>
      </c>
      <c r="L165" s="88">
        <v>0</v>
      </c>
      <c r="M165" s="88">
        <v>0</v>
      </c>
      <c r="N165" s="88">
        <v>0</v>
      </c>
      <c r="O165" s="88">
        <v>0</v>
      </c>
      <c r="P165" s="88">
        <v>0</v>
      </c>
      <c r="Q165" s="88">
        <v>0</v>
      </c>
      <c r="R165" s="88">
        <v>0</v>
      </c>
    </row>
    <row r="166" spans="1:18" x14ac:dyDescent="0.3">
      <c r="A166" s="195">
        <v>417</v>
      </c>
      <c r="B166" s="177">
        <v>1001</v>
      </c>
      <c r="C166" s="177" t="s">
        <v>163</v>
      </c>
      <c r="D166" s="201" t="s">
        <v>468</v>
      </c>
      <c r="E166" s="88" t="s">
        <v>1269</v>
      </c>
      <c r="F166" s="88">
        <v>0</v>
      </c>
      <c r="G166" s="88">
        <v>0</v>
      </c>
      <c r="H166" s="88">
        <v>0</v>
      </c>
      <c r="I166" s="88">
        <v>0</v>
      </c>
      <c r="J166" s="88">
        <v>0</v>
      </c>
      <c r="K166" s="88">
        <v>0</v>
      </c>
      <c r="L166" s="88">
        <v>0</v>
      </c>
      <c r="M166" s="88">
        <v>0</v>
      </c>
      <c r="N166" s="88">
        <v>0</v>
      </c>
      <c r="O166" s="88">
        <v>0</v>
      </c>
      <c r="P166" s="88">
        <v>0</v>
      </c>
      <c r="Q166" s="88">
        <v>0</v>
      </c>
      <c r="R166" s="88">
        <v>0</v>
      </c>
    </row>
    <row r="167" spans="1:18" x14ac:dyDescent="0.3">
      <c r="A167" s="195">
        <v>418</v>
      </c>
      <c r="B167" s="177">
        <v>1001</v>
      </c>
      <c r="C167" s="177" t="s">
        <v>163</v>
      </c>
      <c r="D167" s="201" t="s">
        <v>470</v>
      </c>
      <c r="E167" s="88" t="s">
        <v>1270</v>
      </c>
      <c r="F167" s="88">
        <v>0</v>
      </c>
      <c r="G167" s="88">
        <v>0</v>
      </c>
      <c r="H167" s="88">
        <v>0</v>
      </c>
      <c r="I167" s="88">
        <v>0</v>
      </c>
      <c r="J167" s="88">
        <v>0</v>
      </c>
      <c r="K167" s="88">
        <v>0</v>
      </c>
      <c r="L167" s="88">
        <v>0</v>
      </c>
      <c r="M167" s="88">
        <v>0</v>
      </c>
      <c r="N167" s="88">
        <v>0</v>
      </c>
      <c r="O167" s="88">
        <v>0</v>
      </c>
      <c r="P167" s="88">
        <v>0</v>
      </c>
      <c r="Q167" s="88">
        <v>0</v>
      </c>
      <c r="R167" s="88">
        <v>0</v>
      </c>
    </row>
    <row r="168" spans="1:18" x14ac:dyDescent="0.3">
      <c r="A168" s="195">
        <v>418</v>
      </c>
      <c r="B168" s="177">
        <v>1001</v>
      </c>
      <c r="C168" s="177" t="s">
        <v>163</v>
      </c>
      <c r="D168" s="201" t="s">
        <v>472</v>
      </c>
      <c r="E168" s="88" t="s">
        <v>1271</v>
      </c>
      <c r="F168" s="88">
        <v>0</v>
      </c>
      <c r="G168" s="88">
        <v>0</v>
      </c>
      <c r="H168" s="88">
        <v>0</v>
      </c>
      <c r="I168" s="88">
        <v>0</v>
      </c>
      <c r="J168" s="88">
        <v>0</v>
      </c>
      <c r="K168" s="88">
        <v>0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</row>
    <row r="169" spans="1:18" x14ac:dyDescent="0.3">
      <c r="A169" s="195">
        <v>419</v>
      </c>
      <c r="B169" s="177">
        <v>1001</v>
      </c>
      <c r="C169" s="177" t="s">
        <v>163</v>
      </c>
      <c r="D169" s="201" t="s">
        <v>474</v>
      </c>
      <c r="E169" s="88" t="s">
        <v>1272</v>
      </c>
      <c r="F169" s="88">
        <v>477078.17</v>
      </c>
      <c r="G169" s="88">
        <v>477078.17</v>
      </c>
      <c r="H169" s="88">
        <v>477078.17</v>
      </c>
      <c r="I169" s="88">
        <v>477078.17</v>
      </c>
      <c r="J169" s="88">
        <v>477078.17</v>
      </c>
      <c r="K169" s="88">
        <v>477078.17</v>
      </c>
      <c r="L169" s="88">
        <v>477078.17</v>
      </c>
      <c r="M169" s="88">
        <v>477078.17</v>
      </c>
      <c r="N169" s="88">
        <v>477078.17</v>
      </c>
      <c r="O169" s="88">
        <v>477078.17</v>
      </c>
      <c r="P169" s="88">
        <v>477078.17</v>
      </c>
      <c r="Q169" s="88">
        <v>477078.13</v>
      </c>
      <c r="R169" s="88">
        <v>5724938</v>
      </c>
    </row>
    <row r="170" spans="1:18" x14ac:dyDescent="0.3">
      <c r="A170" s="195">
        <v>419</v>
      </c>
      <c r="B170" s="177">
        <v>1001</v>
      </c>
      <c r="C170" s="177" t="s">
        <v>163</v>
      </c>
      <c r="D170" s="201" t="s">
        <v>476</v>
      </c>
      <c r="E170" s="88" t="s">
        <v>1273</v>
      </c>
      <c r="F170" s="88">
        <v>3349541.01</v>
      </c>
      <c r="G170" s="88">
        <v>3658499.68</v>
      </c>
      <c r="H170" s="88">
        <v>3877695.73</v>
      </c>
      <c r="I170" s="88">
        <v>3848217.69</v>
      </c>
      <c r="J170" s="88">
        <v>3298357.6</v>
      </c>
      <c r="K170" s="88">
        <v>2471278.0299999998</v>
      </c>
      <c r="L170" s="88">
        <v>2173673.31</v>
      </c>
      <c r="M170" s="88">
        <v>2411683.16</v>
      </c>
      <c r="N170" s="88">
        <v>2571129.9300000002</v>
      </c>
      <c r="O170" s="88">
        <v>2647905.7400000002</v>
      </c>
      <c r="P170" s="88">
        <v>2706993.1</v>
      </c>
      <c r="Q170" s="88">
        <v>2339546.1800000002</v>
      </c>
      <c r="R170" s="88">
        <v>35354521.159999996</v>
      </c>
    </row>
    <row r="171" spans="1:18" x14ac:dyDescent="0.3">
      <c r="A171" s="195">
        <v>420</v>
      </c>
      <c r="B171" s="177">
        <v>1001</v>
      </c>
      <c r="C171" s="177" t="s">
        <v>163</v>
      </c>
      <c r="D171" s="201" t="s">
        <v>478</v>
      </c>
      <c r="E171" s="88" t="s">
        <v>1274</v>
      </c>
      <c r="F171" s="88">
        <v>0</v>
      </c>
      <c r="G171" s="88">
        <v>0</v>
      </c>
      <c r="H171" s="88">
        <v>0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8">
        <v>0</v>
      </c>
      <c r="P171" s="88">
        <v>0</v>
      </c>
      <c r="Q171" s="88">
        <v>0</v>
      </c>
      <c r="R171" s="88">
        <v>0</v>
      </c>
    </row>
    <row r="172" spans="1:18" x14ac:dyDescent="0.3">
      <c r="A172" s="195">
        <v>421</v>
      </c>
      <c r="B172" s="177">
        <v>1001</v>
      </c>
      <c r="C172" s="177" t="s">
        <v>163</v>
      </c>
      <c r="D172" s="201" t="s">
        <v>480</v>
      </c>
      <c r="E172" s="88" t="s">
        <v>1275</v>
      </c>
      <c r="F172" s="88">
        <v>10219</v>
      </c>
      <c r="G172" s="88">
        <v>15087</v>
      </c>
      <c r="H172" s="88">
        <v>22567</v>
      </c>
      <c r="I172" s="88">
        <v>28914</v>
      </c>
      <c r="J172" s="88">
        <v>33171</v>
      </c>
      <c r="K172" s="88">
        <v>32970</v>
      </c>
      <c r="L172" s="88">
        <v>28959</v>
      </c>
      <c r="M172" s="88">
        <v>24807</v>
      </c>
      <c r="N172" s="88">
        <v>21555</v>
      </c>
      <c r="O172" s="88">
        <v>19486</v>
      </c>
      <c r="P172" s="88">
        <v>21492</v>
      </c>
      <c r="Q172" s="88">
        <v>27210</v>
      </c>
      <c r="R172" s="88">
        <v>286437</v>
      </c>
    </row>
    <row r="173" spans="1:18" x14ac:dyDescent="0.3">
      <c r="A173" s="195">
        <v>421</v>
      </c>
      <c r="B173" s="177">
        <v>1001</v>
      </c>
      <c r="C173" s="177" t="s">
        <v>163</v>
      </c>
      <c r="D173" s="201" t="s">
        <v>482</v>
      </c>
      <c r="E173" s="88" t="s">
        <v>1276</v>
      </c>
      <c r="F173" s="88">
        <v>0</v>
      </c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</row>
    <row r="174" spans="1:18" x14ac:dyDescent="0.3">
      <c r="A174" s="195">
        <v>421</v>
      </c>
      <c r="B174" s="177">
        <v>1001</v>
      </c>
      <c r="C174" s="177" t="s">
        <v>163</v>
      </c>
      <c r="D174" s="201" t="s">
        <v>484</v>
      </c>
      <c r="E174" s="88" t="s">
        <v>1277</v>
      </c>
      <c r="F174" s="88">
        <v>0</v>
      </c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</row>
    <row r="175" spans="1:18" x14ac:dyDescent="0.3">
      <c r="A175" s="195">
        <v>425</v>
      </c>
      <c r="B175" s="177">
        <v>1001</v>
      </c>
      <c r="C175" s="177" t="s">
        <v>163</v>
      </c>
      <c r="D175" s="201" t="s">
        <v>486</v>
      </c>
      <c r="E175" s="88" t="s">
        <v>1278</v>
      </c>
      <c r="F175" s="88">
        <v>4246.62</v>
      </c>
      <c r="G175" s="88">
        <v>4246.62</v>
      </c>
      <c r="H175" s="88">
        <v>4246.62</v>
      </c>
      <c r="I175" s="88">
        <v>4246.62</v>
      </c>
      <c r="J175" s="88">
        <v>4246.62</v>
      </c>
      <c r="K175" s="88">
        <v>4246.62</v>
      </c>
      <c r="L175" s="88">
        <v>4246.62</v>
      </c>
      <c r="M175" s="88">
        <v>4246.62</v>
      </c>
      <c r="N175" s="88">
        <v>4246.62</v>
      </c>
      <c r="O175" s="88">
        <v>4246.62</v>
      </c>
      <c r="P175" s="88">
        <v>4246.62</v>
      </c>
      <c r="Q175" s="88">
        <v>4246.62</v>
      </c>
      <c r="R175" s="88">
        <v>50959.44</v>
      </c>
    </row>
    <row r="176" spans="1:18" x14ac:dyDescent="0.3">
      <c r="A176" s="195">
        <v>426</v>
      </c>
      <c r="B176" s="177">
        <v>1001</v>
      </c>
      <c r="C176" s="177" t="s">
        <v>163</v>
      </c>
      <c r="D176" s="201" t="s">
        <v>488</v>
      </c>
      <c r="E176" s="88" t="s">
        <v>1279</v>
      </c>
      <c r="F176" s="88">
        <v>411083</v>
      </c>
      <c r="G176" s="88">
        <v>209333</v>
      </c>
      <c r="H176" s="88">
        <v>180417</v>
      </c>
      <c r="I176" s="88">
        <v>283933</v>
      </c>
      <c r="J176" s="88">
        <v>193583</v>
      </c>
      <c r="K176" s="88">
        <v>264183</v>
      </c>
      <c r="L176" s="88">
        <v>176583</v>
      </c>
      <c r="M176" s="88">
        <v>589233</v>
      </c>
      <c r="N176" s="88">
        <v>162583</v>
      </c>
      <c r="O176" s="88">
        <v>184783</v>
      </c>
      <c r="P176" s="88">
        <v>101733</v>
      </c>
      <c r="Q176" s="88">
        <v>297583</v>
      </c>
      <c r="R176" s="88">
        <v>3055030</v>
      </c>
    </row>
    <row r="177" spans="1:18" x14ac:dyDescent="0.3">
      <c r="A177" s="195">
        <v>426</v>
      </c>
      <c r="B177" s="177">
        <v>1001</v>
      </c>
      <c r="C177" s="177" t="s">
        <v>163</v>
      </c>
      <c r="D177" s="201" t="s">
        <v>490</v>
      </c>
      <c r="E177" s="88" t="s">
        <v>1280</v>
      </c>
      <c r="F177" s="88">
        <v>0</v>
      </c>
      <c r="G177" s="88">
        <v>0</v>
      </c>
      <c r="H177" s="88">
        <v>0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</row>
    <row r="178" spans="1:18" x14ac:dyDescent="0.3">
      <c r="A178" s="195">
        <v>426</v>
      </c>
      <c r="B178" s="177">
        <v>1001</v>
      </c>
      <c r="C178" s="177" t="s">
        <v>163</v>
      </c>
      <c r="D178" s="201" t="s">
        <v>492</v>
      </c>
      <c r="E178" s="88" t="s">
        <v>1281</v>
      </c>
      <c r="F178" s="88">
        <v>0</v>
      </c>
      <c r="G178" s="88">
        <v>75000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75000</v>
      </c>
    </row>
    <row r="179" spans="1:18" x14ac:dyDescent="0.3">
      <c r="A179" s="195">
        <v>426</v>
      </c>
      <c r="B179" s="177">
        <v>1001</v>
      </c>
      <c r="C179" s="177" t="s">
        <v>163</v>
      </c>
      <c r="D179" s="201" t="s">
        <v>494</v>
      </c>
      <c r="E179" s="88" t="s">
        <v>1282</v>
      </c>
      <c r="F179" s="88">
        <v>123485</v>
      </c>
      <c r="G179" s="88">
        <v>100</v>
      </c>
      <c r="H179" s="88">
        <v>500</v>
      </c>
      <c r="I179" s="88">
        <v>0</v>
      </c>
      <c r="J179" s="88">
        <v>100</v>
      </c>
      <c r="K179" s="88">
        <v>0</v>
      </c>
      <c r="L179" s="88">
        <v>100</v>
      </c>
      <c r="M179" s="88">
        <v>0</v>
      </c>
      <c r="N179" s="88">
        <v>100</v>
      </c>
      <c r="O179" s="88">
        <v>0</v>
      </c>
      <c r="P179" s="88">
        <v>100</v>
      </c>
      <c r="Q179" s="88">
        <v>0</v>
      </c>
      <c r="R179" s="88">
        <v>124485</v>
      </c>
    </row>
    <row r="180" spans="1:18" x14ac:dyDescent="0.3">
      <c r="A180" s="195">
        <v>426</v>
      </c>
      <c r="B180" s="177">
        <v>1001</v>
      </c>
      <c r="C180" s="177" t="s">
        <v>163</v>
      </c>
      <c r="D180" s="201" t="s">
        <v>496</v>
      </c>
      <c r="E180" s="88" t="s">
        <v>1283</v>
      </c>
      <c r="F180" s="88">
        <v>-6498.9158249000002</v>
      </c>
      <c r="G180" s="88">
        <v>-6650.4882755999997</v>
      </c>
      <c r="H180" s="88">
        <v>-6455.1738512000002</v>
      </c>
      <c r="I180" s="88">
        <v>-6370.0869444</v>
      </c>
      <c r="J180" s="88">
        <v>-6498.9158249000002</v>
      </c>
      <c r="K180" s="88">
        <v>-6726.2746662999998</v>
      </c>
      <c r="L180" s="88">
        <v>-6498.9158249000002</v>
      </c>
      <c r="M180" s="88">
        <v>-6574.7020500999997</v>
      </c>
      <c r="N180" s="88">
        <v>-6650.4882755999997</v>
      </c>
      <c r="O180" s="88">
        <v>-6285.0000382999997</v>
      </c>
      <c r="P180" s="88">
        <v>-6455.1738512000002</v>
      </c>
      <c r="Q180" s="88">
        <v>-6370.0869444</v>
      </c>
      <c r="R180" s="88">
        <v>-78034.222371800002</v>
      </c>
    </row>
    <row r="181" spans="1:18" x14ac:dyDescent="0.3">
      <c r="A181" s="195">
        <v>427</v>
      </c>
      <c r="B181" s="177">
        <v>1001</v>
      </c>
      <c r="C181" s="177" t="s">
        <v>163</v>
      </c>
      <c r="D181" s="201" t="s">
        <v>498</v>
      </c>
      <c r="E181" s="88" t="s">
        <v>1284</v>
      </c>
      <c r="F181" s="88">
        <v>14426041.6666667</v>
      </c>
      <c r="G181" s="88">
        <v>14426042.6666667</v>
      </c>
      <c r="H181" s="88">
        <v>14426043.6666667</v>
      </c>
      <c r="I181" s="88">
        <v>16467711.3333333</v>
      </c>
      <c r="J181" s="88">
        <v>16467712.3333333</v>
      </c>
      <c r="K181" s="88">
        <v>16467713.3333333</v>
      </c>
      <c r="L181" s="88">
        <v>16467714.3333333</v>
      </c>
      <c r="M181" s="88">
        <v>16467715.3333333</v>
      </c>
      <c r="N181" s="88">
        <v>16467716.3333333</v>
      </c>
      <c r="O181" s="88">
        <v>16467717.3333333</v>
      </c>
      <c r="P181" s="88">
        <v>16467718.3333333</v>
      </c>
      <c r="Q181" s="88">
        <v>16467719.3333333</v>
      </c>
      <c r="R181" s="88">
        <v>191487565.99999979</v>
      </c>
    </row>
    <row r="182" spans="1:18" x14ac:dyDescent="0.3">
      <c r="A182" s="195">
        <v>428</v>
      </c>
      <c r="B182" s="177">
        <v>1001</v>
      </c>
      <c r="C182" s="177" t="s">
        <v>163</v>
      </c>
      <c r="D182" s="201" t="s">
        <v>500</v>
      </c>
      <c r="E182" s="88" t="s">
        <v>1285</v>
      </c>
      <c r="F182" s="88">
        <v>264967.75</v>
      </c>
      <c r="G182" s="88">
        <v>264967.75</v>
      </c>
      <c r="H182" s="88">
        <v>264967.75</v>
      </c>
      <c r="I182" s="88">
        <v>306633.75</v>
      </c>
      <c r="J182" s="88">
        <v>306633.75</v>
      </c>
      <c r="K182" s="88">
        <v>306633.75</v>
      </c>
      <c r="L182" s="88">
        <v>306633.75</v>
      </c>
      <c r="M182" s="88">
        <v>306633.75</v>
      </c>
      <c r="N182" s="88">
        <v>306633.75</v>
      </c>
      <c r="O182" s="88">
        <v>306633.75</v>
      </c>
      <c r="P182" s="88">
        <v>306633.75</v>
      </c>
      <c r="Q182" s="88">
        <v>306633.75</v>
      </c>
      <c r="R182" s="88">
        <v>3554607</v>
      </c>
    </row>
    <row r="183" spans="1:18" x14ac:dyDescent="0.3">
      <c r="A183" s="195">
        <v>428</v>
      </c>
      <c r="B183" s="177">
        <v>1001</v>
      </c>
      <c r="C183" s="177" t="s">
        <v>163</v>
      </c>
      <c r="D183" s="201" t="s">
        <v>502</v>
      </c>
      <c r="E183" s="88" t="s">
        <v>1286</v>
      </c>
      <c r="F183" s="88">
        <v>31846.57</v>
      </c>
      <c r="G183" s="88">
        <v>31846.57</v>
      </c>
      <c r="H183" s="88">
        <v>31846.57</v>
      </c>
      <c r="I183" s="88">
        <v>31846.57</v>
      </c>
      <c r="J183" s="88">
        <v>31846.57</v>
      </c>
      <c r="K183" s="88">
        <v>31846.57</v>
      </c>
      <c r="L183" s="88">
        <v>31846.57</v>
      </c>
      <c r="M183" s="88">
        <v>31846.57</v>
      </c>
      <c r="N183" s="88">
        <v>31846.57</v>
      </c>
      <c r="O183" s="88">
        <v>31846.57</v>
      </c>
      <c r="P183" s="88">
        <v>31846.57</v>
      </c>
      <c r="Q183" s="88">
        <v>31846.57</v>
      </c>
      <c r="R183" s="88">
        <v>382158.84</v>
      </c>
    </row>
    <row r="184" spans="1:18" x14ac:dyDescent="0.3">
      <c r="A184" s="195">
        <v>429</v>
      </c>
      <c r="B184" s="177">
        <v>1001</v>
      </c>
      <c r="C184" s="177" t="s">
        <v>163</v>
      </c>
      <c r="D184" s="201" t="s">
        <v>504</v>
      </c>
      <c r="E184" s="88" t="s">
        <v>1287</v>
      </c>
      <c r="F184" s="88">
        <v>0</v>
      </c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</row>
    <row r="185" spans="1:18" x14ac:dyDescent="0.3">
      <c r="A185" s="195">
        <v>429</v>
      </c>
      <c r="B185" s="177">
        <v>1001</v>
      </c>
      <c r="C185" s="177" t="s">
        <v>163</v>
      </c>
      <c r="D185" s="201" t="s">
        <v>506</v>
      </c>
      <c r="E185" s="88" t="s">
        <v>1288</v>
      </c>
      <c r="F185" s="88">
        <v>0</v>
      </c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</row>
    <row r="186" spans="1:18" x14ac:dyDescent="0.3">
      <c r="A186" s="195">
        <v>430</v>
      </c>
      <c r="B186" s="177">
        <v>1001</v>
      </c>
      <c r="C186" s="177" t="s">
        <v>163</v>
      </c>
      <c r="D186" s="201" t="s">
        <v>508</v>
      </c>
      <c r="E186" s="88" t="s">
        <v>1289</v>
      </c>
      <c r="F186" s="88">
        <v>0</v>
      </c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</row>
    <row r="187" spans="1:18" x14ac:dyDescent="0.3">
      <c r="A187" s="195">
        <v>431</v>
      </c>
      <c r="B187" s="177">
        <v>1001</v>
      </c>
      <c r="C187" s="177" t="s">
        <v>163</v>
      </c>
      <c r="D187" s="201" t="s">
        <v>510</v>
      </c>
      <c r="E187" s="88" t="s">
        <v>1290</v>
      </c>
      <c r="F187" s="88">
        <v>2488434.9376805001</v>
      </c>
      <c r="G187" s="88">
        <v>2570594.2912993999</v>
      </c>
      <c r="H187" s="88">
        <v>2182893.9630443002</v>
      </c>
      <c r="I187" s="88">
        <v>1345453.1451481001</v>
      </c>
      <c r="J187" s="88">
        <v>1408022.3093310001</v>
      </c>
      <c r="K187" s="88">
        <v>1570286.3038790999</v>
      </c>
      <c r="L187" s="88">
        <v>1620332.1234408999</v>
      </c>
      <c r="M187" s="88">
        <v>1753783.5421086999</v>
      </c>
      <c r="N187" s="88">
        <v>1918367.3910809001</v>
      </c>
      <c r="O187" s="88">
        <v>1718390.5937228999</v>
      </c>
      <c r="P187" s="88">
        <v>1898035.8211844999</v>
      </c>
      <c r="Q187" s="88">
        <v>2163770.6000037999</v>
      </c>
      <c r="R187" s="88">
        <v>22638365.021924101</v>
      </c>
    </row>
    <row r="188" spans="1:18" x14ac:dyDescent="0.3">
      <c r="A188" s="195">
        <v>432</v>
      </c>
      <c r="B188" s="177">
        <v>1001</v>
      </c>
      <c r="C188" s="177" t="s">
        <v>163</v>
      </c>
      <c r="D188" s="201" t="s">
        <v>512</v>
      </c>
      <c r="E188" s="88" t="s">
        <v>1291</v>
      </c>
      <c r="F188" s="88">
        <v>-1091555.26</v>
      </c>
      <c r="G188" s="88">
        <v>-1192239.32</v>
      </c>
      <c r="H188" s="88">
        <v>-1263671.3500000001</v>
      </c>
      <c r="I188" s="88">
        <v>-1254065.05</v>
      </c>
      <c r="J188" s="88">
        <v>-1074875.48</v>
      </c>
      <c r="K188" s="88">
        <v>-805345.08</v>
      </c>
      <c r="L188" s="88">
        <v>-708361.09</v>
      </c>
      <c r="M188" s="88">
        <v>-785924.21</v>
      </c>
      <c r="N188" s="88">
        <v>-837885.07</v>
      </c>
      <c r="O188" s="88">
        <v>-862904.92</v>
      </c>
      <c r="P188" s="88">
        <v>-882160.4</v>
      </c>
      <c r="Q188" s="88">
        <v>-762416.08</v>
      </c>
      <c r="R188" s="88">
        <v>-11521403.310000001</v>
      </c>
    </row>
    <row r="189" spans="1:18" x14ac:dyDescent="0.3">
      <c r="A189" s="195">
        <v>433</v>
      </c>
      <c r="B189" s="177">
        <v>1001</v>
      </c>
      <c r="C189" s="177" t="s">
        <v>163</v>
      </c>
      <c r="D189" s="201" t="s">
        <v>514</v>
      </c>
      <c r="E189" s="88" t="s">
        <v>1292</v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</row>
    <row r="190" spans="1:18" x14ac:dyDescent="0.3">
      <c r="A190" s="195">
        <v>434</v>
      </c>
      <c r="B190" s="177">
        <v>1001</v>
      </c>
      <c r="C190" s="177" t="s">
        <v>163</v>
      </c>
      <c r="D190" s="201" t="s">
        <v>516</v>
      </c>
      <c r="E190" s="88" t="s">
        <v>1293</v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</row>
    <row r="191" spans="1:18" x14ac:dyDescent="0.3">
      <c r="A191" s="195">
        <v>435</v>
      </c>
      <c r="B191" s="177">
        <v>1001</v>
      </c>
      <c r="C191" s="177" t="s">
        <v>163</v>
      </c>
      <c r="D191" s="201" t="s">
        <v>518</v>
      </c>
      <c r="E191" s="88" t="s">
        <v>1294</v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</row>
    <row r="192" spans="1:18" x14ac:dyDescent="0.3">
      <c r="A192" s="195">
        <v>438</v>
      </c>
      <c r="B192" s="177">
        <v>1001</v>
      </c>
      <c r="C192" s="177" t="s">
        <v>163</v>
      </c>
      <c r="D192" s="201" t="s">
        <v>520</v>
      </c>
      <c r="E192" s="88" t="s">
        <v>1295</v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</row>
    <row r="193" spans="1:18" x14ac:dyDescent="0.3">
      <c r="A193" s="195">
        <v>440</v>
      </c>
      <c r="B193" s="177">
        <v>1001</v>
      </c>
      <c r="C193" s="177" t="s">
        <v>163</v>
      </c>
      <c r="D193" s="201" t="s">
        <v>522</v>
      </c>
      <c r="E193" s="88" t="s">
        <v>1296</v>
      </c>
      <c r="F193" s="88">
        <v>115635130.3</v>
      </c>
      <c r="G193" s="88">
        <v>104960177.61</v>
      </c>
      <c r="H193" s="88">
        <v>98292890.829999998</v>
      </c>
      <c r="I193" s="88">
        <v>103942419.59999999</v>
      </c>
      <c r="J193" s="88">
        <v>119877881.56999999</v>
      </c>
      <c r="K193" s="88">
        <v>146246746.50999999</v>
      </c>
      <c r="L193" s="88">
        <v>156334162.71000001</v>
      </c>
      <c r="M193" s="88">
        <v>154563037.5</v>
      </c>
      <c r="N193" s="88">
        <v>160124176.84999999</v>
      </c>
      <c r="O193" s="88">
        <v>137658692.22999999</v>
      </c>
      <c r="P193" s="88">
        <v>111697787.40000001</v>
      </c>
      <c r="Q193" s="88">
        <v>105755702.12</v>
      </c>
      <c r="R193" s="88">
        <v>1515088805.23</v>
      </c>
    </row>
    <row r="194" spans="1:18" x14ac:dyDescent="0.3">
      <c r="A194" s="195">
        <v>442</v>
      </c>
      <c r="B194" s="177">
        <v>1001</v>
      </c>
      <c r="C194" s="177" t="s">
        <v>163</v>
      </c>
      <c r="D194" s="201" t="s">
        <v>524</v>
      </c>
      <c r="E194" s="88" t="s">
        <v>1297</v>
      </c>
      <c r="F194" s="88">
        <v>64901937.469999999</v>
      </c>
      <c r="G194" s="88">
        <v>62051681.060000002</v>
      </c>
      <c r="H194" s="88">
        <v>63029823.149999999</v>
      </c>
      <c r="I194" s="88">
        <v>65849270.759999998</v>
      </c>
      <c r="J194" s="88">
        <v>68789926.409999996</v>
      </c>
      <c r="K194" s="88">
        <v>73380096.730000004</v>
      </c>
      <c r="L194" s="88">
        <v>75749337.659999996</v>
      </c>
      <c r="M194" s="88">
        <v>75587825.459999993</v>
      </c>
      <c r="N194" s="88">
        <v>76124013.650000006</v>
      </c>
      <c r="O194" s="88">
        <v>72581459.640000001</v>
      </c>
      <c r="P194" s="88">
        <v>67550906.409999996</v>
      </c>
      <c r="Q194" s="88">
        <v>64914889.68</v>
      </c>
      <c r="R194" s="88">
        <v>830511168.08000004</v>
      </c>
    </row>
    <row r="195" spans="1:18" x14ac:dyDescent="0.3">
      <c r="A195" s="195">
        <v>444</v>
      </c>
      <c r="B195" s="177">
        <v>1001</v>
      </c>
      <c r="C195" s="177" t="s">
        <v>163</v>
      </c>
      <c r="D195" s="201" t="s">
        <v>526</v>
      </c>
      <c r="E195" s="88" t="s">
        <v>1298</v>
      </c>
      <c r="F195" s="88">
        <v>0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</row>
    <row r="196" spans="1:18" x14ac:dyDescent="0.3">
      <c r="A196" s="195">
        <v>445</v>
      </c>
      <c r="B196" s="177">
        <v>1001</v>
      </c>
      <c r="C196" s="177" t="s">
        <v>163</v>
      </c>
      <c r="D196" s="201" t="s">
        <v>528</v>
      </c>
      <c r="E196" s="88" t="s">
        <v>1299</v>
      </c>
      <c r="F196" s="88">
        <v>17058712.170000002</v>
      </c>
      <c r="G196" s="88">
        <v>17018558.43</v>
      </c>
      <c r="H196" s="88">
        <v>17026875.34</v>
      </c>
      <c r="I196" s="88">
        <v>17442880.09</v>
      </c>
      <c r="J196" s="88">
        <v>18200717.629999999</v>
      </c>
      <c r="K196" s="88">
        <v>19224846.620000001</v>
      </c>
      <c r="L196" s="88">
        <v>19370545.300000001</v>
      </c>
      <c r="M196" s="88">
        <v>19528540.16</v>
      </c>
      <c r="N196" s="88">
        <v>19789138.050000001</v>
      </c>
      <c r="O196" s="88">
        <v>19302467.390000001</v>
      </c>
      <c r="P196" s="88">
        <v>17886107.530000001</v>
      </c>
      <c r="Q196" s="88">
        <v>17290131.699999999</v>
      </c>
      <c r="R196" s="88">
        <v>219139520.41</v>
      </c>
    </row>
    <row r="197" spans="1:18" x14ac:dyDescent="0.3">
      <c r="A197" s="195">
        <v>446</v>
      </c>
      <c r="B197" s="177">
        <v>1001</v>
      </c>
      <c r="C197" s="177" t="s">
        <v>163</v>
      </c>
      <c r="D197" s="201" t="s">
        <v>530</v>
      </c>
      <c r="E197" s="88" t="s">
        <v>1300</v>
      </c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</row>
    <row r="198" spans="1:18" x14ac:dyDescent="0.3">
      <c r="A198" s="195">
        <v>447</v>
      </c>
      <c r="B198" s="177">
        <v>1001</v>
      </c>
      <c r="C198" s="177" t="s">
        <v>163</v>
      </c>
      <c r="D198" s="201" t="s">
        <v>532</v>
      </c>
      <c r="E198" s="88" t="s">
        <v>1301</v>
      </c>
      <c r="F198" s="88">
        <v>205660.9999996</v>
      </c>
      <c r="G198" s="88">
        <v>218851.8</v>
      </c>
      <c r="H198" s="88">
        <v>186972.4</v>
      </c>
      <c r="I198" s="88">
        <v>134303</v>
      </c>
      <c r="J198" s="88">
        <v>159122.5999996</v>
      </c>
      <c r="K198" s="88">
        <v>128896</v>
      </c>
      <c r="L198" s="88">
        <v>142855.20000000001</v>
      </c>
      <c r="M198" s="88">
        <v>147508.6</v>
      </c>
      <c r="N198" s="88">
        <v>187863.2</v>
      </c>
      <c r="O198" s="88">
        <v>154279.20000000001</v>
      </c>
      <c r="P198" s="88">
        <v>194695</v>
      </c>
      <c r="Q198" s="88">
        <v>164767</v>
      </c>
      <c r="R198" s="88">
        <v>2025774.9999992</v>
      </c>
    </row>
    <row r="199" spans="1:18" x14ac:dyDescent="0.3">
      <c r="A199" s="195">
        <v>448</v>
      </c>
      <c r="B199" s="177">
        <v>1001</v>
      </c>
      <c r="C199" s="177" t="s">
        <v>163</v>
      </c>
      <c r="D199" s="201" t="s">
        <v>534</v>
      </c>
      <c r="E199" s="88" t="s">
        <v>1302</v>
      </c>
      <c r="F199" s="88">
        <v>0</v>
      </c>
      <c r="G199" s="88">
        <v>0</v>
      </c>
      <c r="H199" s="88">
        <v>0</v>
      </c>
      <c r="I199" s="88">
        <v>0</v>
      </c>
      <c r="J199" s="88">
        <v>0</v>
      </c>
      <c r="K199" s="88">
        <v>0</v>
      </c>
      <c r="L199" s="88">
        <v>0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</row>
    <row r="200" spans="1:18" x14ac:dyDescent="0.3">
      <c r="A200" s="195">
        <v>449</v>
      </c>
      <c r="B200" s="177">
        <v>1001</v>
      </c>
      <c r="C200" s="177" t="s">
        <v>163</v>
      </c>
      <c r="D200" s="201" t="s">
        <v>536</v>
      </c>
      <c r="E200" s="88" t="s">
        <v>1303</v>
      </c>
      <c r="F200" s="88">
        <v>0</v>
      </c>
      <c r="G200" s="88">
        <v>0</v>
      </c>
      <c r="H200" s="88">
        <v>0</v>
      </c>
      <c r="I200" s="88">
        <v>0</v>
      </c>
      <c r="J200" s="88">
        <v>0</v>
      </c>
      <c r="K200" s="88">
        <v>0</v>
      </c>
      <c r="L200" s="88">
        <v>0</v>
      </c>
      <c r="M200" s="88">
        <v>0</v>
      </c>
      <c r="N200" s="88">
        <v>0</v>
      </c>
      <c r="O200" s="88">
        <v>0</v>
      </c>
      <c r="P200" s="88">
        <v>0</v>
      </c>
      <c r="Q200" s="88">
        <v>0</v>
      </c>
      <c r="R200" s="88">
        <v>0</v>
      </c>
    </row>
    <row r="201" spans="1:18" x14ac:dyDescent="0.3">
      <c r="A201" s="195">
        <v>450</v>
      </c>
      <c r="B201" s="177">
        <v>1001</v>
      </c>
      <c r="C201" s="177" t="s">
        <v>163</v>
      </c>
      <c r="D201" s="201" t="s">
        <v>538</v>
      </c>
      <c r="E201" s="88" t="s">
        <v>1304</v>
      </c>
      <c r="F201" s="88">
        <v>0</v>
      </c>
      <c r="G201" s="88">
        <v>0</v>
      </c>
      <c r="H201" s="88">
        <v>0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</row>
    <row r="202" spans="1:18" x14ac:dyDescent="0.3">
      <c r="A202" s="195">
        <v>451</v>
      </c>
      <c r="B202" s="177">
        <v>1001</v>
      </c>
      <c r="C202" s="177" t="s">
        <v>163</v>
      </c>
      <c r="D202" s="201" t="s">
        <v>540</v>
      </c>
      <c r="E202" s="88" t="s">
        <v>1305</v>
      </c>
      <c r="F202" s="88">
        <v>1786944.6780832999</v>
      </c>
      <c r="G202" s="88">
        <v>1785752.4800833</v>
      </c>
      <c r="H202" s="88">
        <v>1787284.0145833001</v>
      </c>
      <c r="I202" s="88">
        <v>1787059.0168333</v>
      </c>
      <c r="J202" s="88">
        <v>1787232.0880833</v>
      </c>
      <c r="K202" s="88">
        <v>1786438.2973333001</v>
      </c>
      <c r="L202" s="88">
        <v>1787224.8823333001</v>
      </c>
      <c r="M202" s="88">
        <v>1787227.5883333001</v>
      </c>
      <c r="N202" s="88">
        <v>1787316.7633332999</v>
      </c>
      <c r="O202" s="88">
        <v>1787404.9133333</v>
      </c>
      <c r="P202" s="88">
        <v>1787494.0883333001</v>
      </c>
      <c r="Q202" s="88">
        <v>1787585.3133332999</v>
      </c>
      <c r="R202" s="88">
        <v>21444964.123999599</v>
      </c>
    </row>
    <row r="203" spans="1:18" x14ac:dyDescent="0.3">
      <c r="A203" s="195">
        <v>453</v>
      </c>
      <c r="B203" s="177">
        <v>1001</v>
      </c>
      <c r="C203" s="177" t="s">
        <v>163</v>
      </c>
      <c r="D203" s="201" t="s">
        <v>542</v>
      </c>
      <c r="E203" s="88" t="s">
        <v>1306</v>
      </c>
      <c r="F203" s="88">
        <v>0</v>
      </c>
      <c r="G203" s="88">
        <v>0</v>
      </c>
      <c r="H203" s="88">
        <v>0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</row>
    <row r="204" spans="1:18" x14ac:dyDescent="0.3">
      <c r="A204" s="195">
        <v>454</v>
      </c>
      <c r="B204" s="177">
        <v>1001</v>
      </c>
      <c r="C204" s="177" t="s">
        <v>163</v>
      </c>
      <c r="D204" s="201" t="s">
        <v>544</v>
      </c>
      <c r="E204" s="88" t="s">
        <v>1307</v>
      </c>
      <c r="F204" s="88">
        <v>1233333.7526288</v>
      </c>
      <c r="G204" s="88">
        <v>1638474.8483595001</v>
      </c>
      <c r="H204" s="88">
        <v>1222579.2837028999</v>
      </c>
      <c r="I204" s="88">
        <v>1241948.2421315999</v>
      </c>
      <c r="J204" s="88">
        <v>1203849.1032970999</v>
      </c>
      <c r="K204" s="88">
        <v>1205771.177017</v>
      </c>
      <c r="L204" s="88">
        <v>1209470.7322521</v>
      </c>
      <c r="M204" s="88">
        <v>1288556.8198998</v>
      </c>
      <c r="N204" s="88">
        <v>1218860.7349216</v>
      </c>
      <c r="O204" s="88">
        <v>1237661.4461676001</v>
      </c>
      <c r="P204" s="88">
        <v>1222498.9809168</v>
      </c>
      <c r="Q204" s="88">
        <v>1232452.8585920001</v>
      </c>
      <c r="R204" s="88">
        <v>15155457.9798868</v>
      </c>
    </row>
    <row r="205" spans="1:18" x14ac:dyDescent="0.3">
      <c r="A205" s="195">
        <v>455</v>
      </c>
      <c r="B205" s="177">
        <v>1001</v>
      </c>
      <c r="C205" s="177" t="s">
        <v>163</v>
      </c>
      <c r="D205" s="201" t="s">
        <v>546</v>
      </c>
      <c r="E205" s="88" t="s">
        <v>1308</v>
      </c>
      <c r="F205" s="88">
        <v>0</v>
      </c>
      <c r="G205" s="88">
        <v>0</v>
      </c>
      <c r="H205" s="88">
        <v>0</v>
      </c>
      <c r="I205" s="88">
        <v>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</row>
    <row r="206" spans="1:18" x14ac:dyDescent="0.3">
      <c r="A206" s="195">
        <v>456</v>
      </c>
      <c r="B206" s="177">
        <v>1001</v>
      </c>
      <c r="C206" s="177" t="s">
        <v>163</v>
      </c>
      <c r="D206" s="201" t="s">
        <v>548</v>
      </c>
      <c r="E206" s="88" t="s">
        <v>1309</v>
      </c>
      <c r="F206" s="88">
        <v>-2090400.0791525</v>
      </c>
      <c r="G206" s="88">
        <v>-4758594.6857591001</v>
      </c>
      <c r="H206" s="88">
        <v>4930429.2830948997</v>
      </c>
      <c r="I206" s="88">
        <v>4819808.2655782998</v>
      </c>
      <c r="J206" s="88">
        <v>10549603.245083399</v>
      </c>
      <c r="K206" s="88">
        <v>3915868.9790634001</v>
      </c>
      <c r="L206" s="88">
        <v>2700080.5461133001</v>
      </c>
      <c r="M206" s="88">
        <v>4971986.8120395001</v>
      </c>
      <c r="N206" s="88">
        <v>-8777033.3333931006</v>
      </c>
      <c r="O206" s="88">
        <v>-4658442.5822446002</v>
      </c>
      <c r="P206" s="88">
        <v>-8937044.6535705999</v>
      </c>
      <c r="Q206" s="88">
        <v>869482.11925390002</v>
      </c>
      <c r="R206" s="88">
        <v>3535743.9161068001</v>
      </c>
    </row>
    <row r="207" spans="1:18" x14ac:dyDescent="0.3">
      <c r="A207" s="195">
        <v>456</v>
      </c>
      <c r="B207" s="177">
        <v>1001</v>
      </c>
      <c r="C207" s="177" t="s">
        <v>163</v>
      </c>
      <c r="D207" s="201" t="s">
        <v>550</v>
      </c>
      <c r="E207" s="88" t="s">
        <v>1310</v>
      </c>
      <c r="F207" s="88">
        <v>715644.94780219998</v>
      </c>
      <c r="G207" s="88">
        <v>715644.94780219998</v>
      </c>
      <c r="H207" s="88">
        <v>115644.9478022</v>
      </c>
      <c r="I207" s="88">
        <v>715644.94780219998</v>
      </c>
      <c r="J207" s="88">
        <v>715644.94780219998</v>
      </c>
      <c r="K207" s="88">
        <v>679467.75</v>
      </c>
      <c r="L207" s="88">
        <v>679467.75</v>
      </c>
      <c r="M207" s="88">
        <v>679467.75</v>
      </c>
      <c r="N207" s="88">
        <v>679467.75</v>
      </c>
      <c r="O207" s="88">
        <v>715644.94780219998</v>
      </c>
      <c r="P207" s="88">
        <v>715644.94780219998</v>
      </c>
      <c r="Q207" s="88">
        <v>715644.94780219998</v>
      </c>
      <c r="R207" s="88">
        <v>7843030.5824175999</v>
      </c>
    </row>
    <row r="208" spans="1:18" x14ac:dyDescent="0.3">
      <c r="A208" s="195">
        <v>457</v>
      </c>
      <c r="B208" s="177">
        <v>1001</v>
      </c>
      <c r="C208" s="177" t="s">
        <v>163</v>
      </c>
      <c r="D208" s="201" t="s">
        <v>552</v>
      </c>
      <c r="E208" s="88" t="s">
        <v>1311</v>
      </c>
      <c r="F208" s="88">
        <v>0</v>
      </c>
      <c r="G208" s="88">
        <v>0</v>
      </c>
      <c r="H208" s="88">
        <v>0</v>
      </c>
      <c r="I208" s="88">
        <v>0</v>
      </c>
      <c r="J208" s="88">
        <v>0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</row>
    <row r="209" spans="1:18" x14ac:dyDescent="0.3">
      <c r="A209" s="195">
        <v>457</v>
      </c>
      <c r="B209" s="177">
        <v>1001</v>
      </c>
      <c r="C209" s="177" t="s">
        <v>163</v>
      </c>
      <c r="D209" s="201" t="s">
        <v>554</v>
      </c>
      <c r="E209" s="88" t="s">
        <v>1312</v>
      </c>
      <c r="F209" s="88">
        <v>0</v>
      </c>
      <c r="G209" s="88">
        <v>0</v>
      </c>
      <c r="H209" s="88">
        <v>0</v>
      </c>
      <c r="I209" s="88">
        <v>0</v>
      </c>
      <c r="J209" s="88">
        <v>0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</row>
    <row r="210" spans="1:18" x14ac:dyDescent="0.3">
      <c r="A210" s="195">
        <v>458</v>
      </c>
      <c r="B210" s="177">
        <v>1001</v>
      </c>
      <c r="C210" s="177" t="s">
        <v>163</v>
      </c>
      <c r="D210" s="201" t="s">
        <v>556</v>
      </c>
      <c r="E210" s="88" t="s">
        <v>1313</v>
      </c>
      <c r="F210" s="88">
        <v>0</v>
      </c>
      <c r="G210" s="88">
        <v>0</v>
      </c>
      <c r="H210" s="88">
        <v>0</v>
      </c>
      <c r="I210" s="88">
        <v>0</v>
      </c>
      <c r="J210" s="88">
        <v>0</v>
      </c>
      <c r="K210" s="88">
        <v>0</v>
      </c>
      <c r="L210" s="88">
        <v>0</v>
      </c>
      <c r="M210" s="88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</row>
    <row r="211" spans="1:18" x14ac:dyDescent="0.3">
      <c r="A211" s="195">
        <v>480</v>
      </c>
      <c r="B211" s="177">
        <v>1001</v>
      </c>
      <c r="C211" s="177" t="s">
        <v>163</v>
      </c>
      <c r="D211" s="201" t="s">
        <v>558</v>
      </c>
      <c r="E211" s="88" t="s">
        <v>1314</v>
      </c>
      <c r="F211" s="88">
        <v>0</v>
      </c>
      <c r="G211" s="88">
        <v>0</v>
      </c>
      <c r="H211" s="88">
        <v>0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</row>
    <row r="212" spans="1:18" x14ac:dyDescent="0.3">
      <c r="A212" s="195">
        <v>481</v>
      </c>
      <c r="B212" s="177">
        <v>1001</v>
      </c>
      <c r="C212" s="177" t="s">
        <v>163</v>
      </c>
      <c r="D212" s="201" t="s">
        <v>560</v>
      </c>
      <c r="E212" s="88" t="s">
        <v>1315</v>
      </c>
      <c r="F212" s="88">
        <v>0</v>
      </c>
      <c r="G212" s="88">
        <v>0</v>
      </c>
      <c r="H212" s="88">
        <v>0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</row>
    <row r="213" spans="1:18" x14ac:dyDescent="0.3">
      <c r="A213" s="195">
        <v>482</v>
      </c>
      <c r="B213" s="177">
        <v>1001</v>
      </c>
      <c r="C213" s="177" t="s">
        <v>163</v>
      </c>
      <c r="D213" s="201" t="s">
        <v>562</v>
      </c>
      <c r="E213" s="88" t="s">
        <v>1316</v>
      </c>
      <c r="F213" s="88">
        <v>0</v>
      </c>
      <c r="G213" s="88">
        <v>0</v>
      </c>
      <c r="H213" s="88">
        <v>0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</row>
    <row r="214" spans="1:18" x14ac:dyDescent="0.3">
      <c r="A214" s="195">
        <v>483</v>
      </c>
      <c r="B214" s="177">
        <v>1001</v>
      </c>
      <c r="C214" s="177" t="s">
        <v>163</v>
      </c>
      <c r="D214" s="201" t="s">
        <v>564</v>
      </c>
      <c r="E214" s="88" t="s">
        <v>1317</v>
      </c>
      <c r="F214" s="88">
        <v>0</v>
      </c>
      <c r="G214" s="88">
        <v>0</v>
      </c>
      <c r="H214" s="88">
        <v>0</v>
      </c>
      <c r="I214" s="88">
        <v>0</v>
      </c>
      <c r="J214" s="88">
        <v>0</v>
      </c>
      <c r="K214" s="88">
        <v>0</v>
      </c>
      <c r="L214" s="88">
        <v>0</v>
      </c>
      <c r="M214" s="88">
        <v>0</v>
      </c>
      <c r="N214" s="88">
        <v>0</v>
      </c>
      <c r="O214" s="88">
        <v>0</v>
      </c>
      <c r="P214" s="88">
        <v>0</v>
      </c>
      <c r="Q214" s="88">
        <v>0</v>
      </c>
      <c r="R214" s="88">
        <v>0</v>
      </c>
    </row>
    <row r="215" spans="1:18" x14ac:dyDescent="0.3">
      <c r="A215" s="195">
        <v>484</v>
      </c>
      <c r="B215" s="177">
        <v>1001</v>
      </c>
      <c r="C215" s="177" t="s">
        <v>163</v>
      </c>
      <c r="D215" s="201" t="s">
        <v>566</v>
      </c>
      <c r="E215" s="88" t="s">
        <v>1318</v>
      </c>
      <c r="F215" s="88">
        <v>0</v>
      </c>
      <c r="G215" s="88">
        <v>0</v>
      </c>
      <c r="H215" s="88">
        <v>0</v>
      </c>
      <c r="I215" s="88">
        <v>0</v>
      </c>
      <c r="J215" s="88">
        <v>0</v>
      </c>
      <c r="K215" s="88">
        <v>0</v>
      </c>
      <c r="L215" s="88">
        <v>0</v>
      </c>
      <c r="M215" s="88">
        <v>0</v>
      </c>
      <c r="N215" s="88">
        <v>0</v>
      </c>
      <c r="O215" s="88">
        <v>0</v>
      </c>
      <c r="P215" s="88">
        <v>0</v>
      </c>
      <c r="Q215" s="88">
        <v>0</v>
      </c>
      <c r="R215" s="88">
        <v>0</v>
      </c>
    </row>
    <row r="216" spans="1:18" x14ac:dyDescent="0.3">
      <c r="A216" s="195">
        <v>485</v>
      </c>
      <c r="B216" s="177">
        <v>1001</v>
      </c>
      <c r="C216" s="177" t="s">
        <v>163</v>
      </c>
      <c r="D216" s="201" t="s">
        <v>568</v>
      </c>
      <c r="E216" s="88" t="s">
        <v>1319</v>
      </c>
      <c r="F216" s="88">
        <v>0</v>
      </c>
      <c r="G216" s="88">
        <v>0</v>
      </c>
      <c r="H216" s="88">
        <v>0</v>
      </c>
      <c r="I216" s="88">
        <v>0</v>
      </c>
      <c r="J216" s="88">
        <v>0</v>
      </c>
      <c r="K216" s="88">
        <v>0</v>
      </c>
      <c r="L216" s="88">
        <v>0</v>
      </c>
      <c r="M216" s="88">
        <v>0</v>
      </c>
      <c r="N216" s="88">
        <v>0</v>
      </c>
      <c r="O216" s="88">
        <v>0</v>
      </c>
      <c r="P216" s="88">
        <v>0</v>
      </c>
      <c r="Q216" s="88">
        <v>0</v>
      </c>
      <c r="R216" s="88">
        <v>0</v>
      </c>
    </row>
    <row r="217" spans="1:18" x14ac:dyDescent="0.3">
      <c r="A217" s="195">
        <v>487</v>
      </c>
      <c r="B217" s="177">
        <v>1001</v>
      </c>
      <c r="C217" s="177" t="s">
        <v>163</v>
      </c>
      <c r="D217" s="201" t="s">
        <v>570</v>
      </c>
      <c r="E217" s="88" t="s">
        <v>1320</v>
      </c>
      <c r="F217" s="88">
        <v>0</v>
      </c>
      <c r="G217" s="88">
        <v>0</v>
      </c>
      <c r="H217" s="88">
        <v>0</v>
      </c>
      <c r="I217" s="88">
        <v>0</v>
      </c>
      <c r="J217" s="88">
        <v>0</v>
      </c>
      <c r="K217" s="88">
        <v>0</v>
      </c>
      <c r="L217" s="88">
        <v>0</v>
      </c>
      <c r="M217" s="88">
        <v>0</v>
      </c>
      <c r="N217" s="88">
        <v>0</v>
      </c>
      <c r="O217" s="88">
        <v>0</v>
      </c>
      <c r="P217" s="88">
        <v>0</v>
      </c>
      <c r="Q217" s="88">
        <v>0</v>
      </c>
      <c r="R217" s="88">
        <v>0</v>
      </c>
    </row>
    <row r="218" spans="1:18" x14ac:dyDescent="0.3">
      <c r="A218" s="195">
        <v>488</v>
      </c>
      <c r="B218" s="177">
        <v>1001</v>
      </c>
      <c r="C218" s="177" t="s">
        <v>163</v>
      </c>
      <c r="D218" s="201" t="s">
        <v>572</v>
      </c>
      <c r="E218" s="88" t="s">
        <v>1321</v>
      </c>
      <c r="F218" s="88">
        <v>0</v>
      </c>
      <c r="G218" s="88">
        <v>0</v>
      </c>
      <c r="H218" s="88">
        <v>0</v>
      </c>
      <c r="I218" s="88">
        <v>0</v>
      </c>
      <c r="J218" s="88">
        <v>0</v>
      </c>
      <c r="K218" s="88">
        <v>0</v>
      </c>
      <c r="L218" s="88">
        <v>0</v>
      </c>
      <c r="M218" s="88">
        <v>0</v>
      </c>
      <c r="N218" s="88">
        <v>0</v>
      </c>
      <c r="O218" s="88">
        <v>0</v>
      </c>
      <c r="P218" s="88">
        <v>0</v>
      </c>
      <c r="Q218" s="88">
        <v>0</v>
      </c>
      <c r="R218" s="88">
        <v>0</v>
      </c>
    </row>
    <row r="219" spans="1:18" x14ac:dyDescent="0.3">
      <c r="A219" s="195">
        <v>489</v>
      </c>
      <c r="B219" s="177">
        <v>1001</v>
      </c>
      <c r="C219" s="177" t="s">
        <v>163</v>
      </c>
      <c r="D219" s="201" t="s">
        <v>574</v>
      </c>
      <c r="E219" s="88" t="s">
        <v>1322</v>
      </c>
      <c r="F219" s="88">
        <v>0</v>
      </c>
      <c r="G219" s="88">
        <v>0</v>
      </c>
      <c r="H219" s="88">
        <v>0</v>
      </c>
      <c r="I219" s="88">
        <v>0</v>
      </c>
      <c r="J219" s="88">
        <v>0</v>
      </c>
      <c r="K219" s="88">
        <v>0</v>
      </c>
      <c r="L219" s="88">
        <v>0</v>
      </c>
      <c r="M219" s="88">
        <v>0</v>
      </c>
      <c r="N219" s="88">
        <v>0</v>
      </c>
      <c r="O219" s="88">
        <v>0</v>
      </c>
      <c r="P219" s="88">
        <v>0</v>
      </c>
      <c r="Q219" s="88">
        <v>0</v>
      </c>
      <c r="R219" s="88">
        <v>0</v>
      </c>
    </row>
    <row r="220" spans="1:18" x14ac:dyDescent="0.3">
      <c r="A220" s="195">
        <v>489</v>
      </c>
      <c r="B220" s="177">
        <v>1001</v>
      </c>
      <c r="C220" s="177" t="s">
        <v>163</v>
      </c>
      <c r="D220" s="201" t="s">
        <v>576</v>
      </c>
      <c r="E220" s="88" t="s">
        <v>1323</v>
      </c>
      <c r="F220" s="88">
        <v>0</v>
      </c>
      <c r="G220" s="88">
        <v>0</v>
      </c>
      <c r="H220" s="88">
        <v>0</v>
      </c>
      <c r="I220" s="88">
        <v>0</v>
      </c>
      <c r="J220" s="88">
        <v>0</v>
      </c>
      <c r="K220" s="88">
        <v>0</v>
      </c>
      <c r="L220" s="88">
        <v>0</v>
      </c>
      <c r="M220" s="88">
        <v>0</v>
      </c>
      <c r="N220" s="88">
        <v>0</v>
      </c>
      <c r="O220" s="88">
        <v>0</v>
      </c>
      <c r="P220" s="88">
        <v>0</v>
      </c>
      <c r="Q220" s="88">
        <v>0</v>
      </c>
      <c r="R220" s="88">
        <v>0</v>
      </c>
    </row>
    <row r="221" spans="1:18" x14ac:dyDescent="0.3">
      <c r="A221" s="195">
        <v>489</v>
      </c>
      <c r="B221" s="177">
        <v>1001</v>
      </c>
      <c r="C221" s="177" t="s">
        <v>163</v>
      </c>
      <c r="D221" s="201" t="s">
        <v>578</v>
      </c>
      <c r="E221" s="88" t="s">
        <v>1324</v>
      </c>
      <c r="F221" s="88">
        <v>0</v>
      </c>
      <c r="G221" s="88">
        <v>0</v>
      </c>
      <c r="H221" s="88">
        <v>0</v>
      </c>
      <c r="I221" s="88">
        <v>0</v>
      </c>
      <c r="J221" s="88">
        <v>0</v>
      </c>
      <c r="K221" s="88">
        <v>0</v>
      </c>
      <c r="L221" s="88">
        <v>0</v>
      </c>
      <c r="M221" s="88">
        <v>0</v>
      </c>
      <c r="N221" s="88">
        <v>0</v>
      </c>
      <c r="O221" s="88">
        <v>0</v>
      </c>
      <c r="P221" s="88">
        <v>0</v>
      </c>
      <c r="Q221" s="88">
        <v>0</v>
      </c>
      <c r="R221" s="88">
        <v>0</v>
      </c>
    </row>
    <row r="222" spans="1:18" x14ac:dyDescent="0.3">
      <c r="A222" s="195">
        <v>489</v>
      </c>
      <c r="B222" s="177">
        <v>1001</v>
      </c>
      <c r="C222" s="177" t="s">
        <v>163</v>
      </c>
      <c r="D222" s="201" t="s">
        <v>580</v>
      </c>
      <c r="E222" s="88" t="s">
        <v>1325</v>
      </c>
      <c r="F222" s="88">
        <v>0</v>
      </c>
      <c r="G222" s="88">
        <v>0</v>
      </c>
      <c r="H222" s="88">
        <v>0</v>
      </c>
      <c r="I222" s="88">
        <v>0</v>
      </c>
      <c r="J222" s="88">
        <v>0</v>
      </c>
      <c r="K222" s="88">
        <v>0</v>
      </c>
      <c r="L222" s="88">
        <v>0</v>
      </c>
      <c r="M222" s="88">
        <v>0</v>
      </c>
      <c r="N222" s="88">
        <v>0</v>
      </c>
      <c r="O222" s="88">
        <v>0</v>
      </c>
      <c r="P222" s="88">
        <v>0</v>
      </c>
      <c r="Q222" s="88">
        <v>0</v>
      </c>
      <c r="R222" s="88">
        <v>0</v>
      </c>
    </row>
    <row r="223" spans="1:18" x14ac:dyDescent="0.3">
      <c r="A223" s="195">
        <v>490</v>
      </c>
      <c r="B223" s="177">
        <v>1001</v>
      </c>
      <c r="C223" s="177" t="s">
        <v>163</v>
      </c>
      <c r="D223" s="201" t="s">
        <v>582</v>
      </c>
      <c r="E223" s="88" t="s">
        <v>1326</v>
      </c>
      <c r="F223" s="88">
        <v>0</v>
      </c>
      <c r="G223" s="88">
        <v>0</v>
      </c>
      <c r="H223" s="88">
        <v>0</v>
      </c>
      <c r="I223" s="88">
        <v>0</v>
      </c>
      <c r="J223" s="88">
        <v>0</v>
      </c>
      <c r="K223" s="88">
        <v>0</v>
      </c>
      <c r="L223" s="88">
        <v>0</v>
      </c>
      <c r="M223" s="88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</row>
    <row r="224" spans="1:18" x14ac:dyDescent="0.3">
      <c r="A224" s="195">
        <v>491</v>
      </c>
      <c r="B224" s="177">
        <v>1001</v>
      </c>
      <c r="C224" s="177" t="s">
        <v>163</v>
      </c>
      <c r="D224" s="201" t="s">
        <v>584</v>
      </c>
      <c r="E224" s="88" t="s">
        <v>1327</v>
      </c>
      <c r="F224" s="88">
        <v>0</v>
      </c>
      <c r="G224" s="88">
        <v>0</v>
      </c>
      <c r="H224" s="88"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</row>
    <row r="225" spans="1:18" x14ac:dyDescent="0.3">
      <c r="A225" s="195">
        <v>492</v>
      </c>
      <c r="B225" s="177">
        <v>1001</v>
      </c>
      <c r="C225" s="177" t="s">
        <v>163</v>
      </c>
      <c r="D225" s="201" t="s">
        <v>586</v>
      </c>
      <c r="E225" s="88" t="s">
        <v>1328</v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8">
        <v>0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</row>
    <row r="226" spans="1:18" x14ac:dyDescent="0.3">
      <c r="A226" s="195">
        <v>493</v>
      </c>
      <c r="B226" s="177">
        <v>1001</v>
      </c>
      <c r="C226" s="177" t="s">
        <v>163</v>
      </c>
      <c r="D226" s="201" t="s">
        <v>588</v>
      </c>
      <c r="E226" s="88" t="s">
        <v>1329</v>
      </c>
      <c r="F226" s="88">
        <v>0</v>
      </c>
      <c r="G226" s="88">
        <v>0</v>
      </c>
      <c r="H226" s="88">
        <v>0</v>
      </c>
      <c r="I226" s="88">
        <v>0</v>
      </c>
      <c r="J226" s="88">
        <v>0</v>
      </c>
      <c r="K226" s="88">
        <v>0</v>
      </c>
      <c r="L226" s="88">
        <v>0</v>
      </c>
      <c r="M226" s="88">
        <v>0</v>
      </c>
      <c r="N226" s="88">
        <v>0</v>
      </c>
      <c r="O226" s="88">
        <v>0</v>
      </c>
      <c r="P226" s="88">
        <v>0</v>
      </c>
      <c r="Q226" s="88">
        <v>0</v>
      </c>
      <c r="R226" s="88">
        <v>0</v>
      </c>
    </row>
    <row r="227" spans="1:18" x14ac:dyDescent="0.3">
      <c r="A227" s="195">
        <v>494</v>
      </c>
      <c r="B227" s="177">
        <v>1001</v>
      </c>
      <c r="C227" s="177" t="s">
        <v>163</v>
      </c>
      <c r="D227" s="201" t="s">
        <v>590</v>
      </c>
      <c r="E227" s="88" t="s">
        <v>1330</v>
      </c>
      <c r="F227" s="88">
        <v>0</v>
      </c>
      <c r="G227" s="88">
        <v>0</v>
      </c>
      <c r="H227" s="88">
        <v>0</v>
      </c>
      <c r="I227" s="88">
        <v>0</v>
      </c>
      <c r="J227" s="88">
        <v>0</v>
      </c>
      <c r="K227" s="88">
        <v>0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</row>
    <row r="228" spans="1:18" x14ac:dyDescent="0.3">
      <c r="A228" s="195">
        <v>495</v>
      </c>
      <c r="B228" s="177">
        <v>1001</v>
      </c>
      <c r="C228" s="177" t="s">
        <v>163</v>
      </c>
      <c r="D228" s="201" t="s">
        <v>592</v>
      </c>
      <c r="E228" s="88" t="s">
        <v>1331</v>
      </c>
      <c r="F228" s="88">
        <v>0</v>
      </c>
      <c r="G228" s="88">
        <v>0</v>
      </c>
      <c r="H228" s="88">
        <v>0</v>
      </c>
      <c r="I228" s="88">
        <v>0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</row>
    <row r="229" spans="1:18" x14ac:dyDescent="0.3">
      <c r="A229" s="195">
        <v>496</v>
      </c>
      <c r="B229" s="177">
        <v>1001</v>
      </c>
      <c r="C229" s="177" t="s">
        <v>163</v>
      </c>
      <c r="D229" s="201" t="s">
        <v>594</v>
      </c>
      <c r="E229" s="88" t="s">
        <v>1332</v>
      </c>
      <c r="F229" s="88">
        <v>0</v>
      </c>
      <c r="G229" s="88">
        <v>0</v>
      </c>
      <c r="H229" s="88">
        <v>0</v>
      </c>
      <c r="I229" s="88">
        <v>0</v>
      </c>
      <c r="J229" s="88">
        <v>0</v>
      </c>
      <c r="K229" s="88">
        <v>0</v>
      </c>
      <c r="L229" s="88">
        <v>0</v>
      </c>
      <c r="M229" s="88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</row>
    <row r="230" spans="1:18" x14ac:dyDescent="0.3">
      <c r="A230" s="195">
        <v>500</v>
      </c>
      <c r="B230" s="177">
        <v>1001</v>
      </c>
      <c r="C230" s="177" t="s">
        <v>163</v>
      </c>
      <c r="D230" s="201" t="s">
        <v>596</v>
      </c>
      <c r="E230" s="88" t="s">
        <v>1333</v>
      </c>
      <c r="F230" s="88">
        <v>457718.51810370001</v>
      </c>
      <c r="G230" s="88">
        <v>433348.72930270003</v>
      </c>
      <c r="H230" s="88">
        <v>438322.08588229999</v>
      </c>
      <c r="I230" s="88">
        <v>465500.02682209999</v>
      </c>
      <c r="J230" s="88">
        <v>483309.84117590002</v>
      </c>
      <c r="K230" s="88">
        <v>443431.52577499999</v>
      </c>
      <c r="L230" s="88">
        <v>495811.3425734</v>
      </c>
      <c r="M230" s="88">
        <v>483532.7986642</v>
      </c>
      <c r="N230" s="88">
        <v>467647.36547830002</v>
      </c>
      <c r="O230" s="88">
        <v>502374.1512357</v>
      </c>
      <c r="P230" s="88">
        <v>470960.51591979997</v>
      </c>
      <c r="Q230" s="88">
        <v>495391.88626529998</v>
      </c>
      <c r="R230" s="88">
        <v>5637348.7871984001</v>
      </c>
    </row>
    <row r="231" spans="1:18" x14ac:dyDescent="0.3">
      <c r="A231" s="195">
        <v>501</v>
      </c>
      <c r="B231" s="177">
        <v>1001</v>
      </c>
      <c r="C231" s="177" t="s">
        <v>163</v>
      </c>
      <c r="D231" s="201" t="s">
        <v>598</v>
      </c>
      <c r="E231" s="88" t="s">
        <v>1334</v>
      </c>
      <c r="F231" s="88">
        <v>4106456.8069765</v>
      </c>
      <c r="G231" s="88">
        <v>2473476.7814798998</v>
      </c>
      <c r="H231" s="88">
        <v>1770124.7814799</v>
      </c>
      <c r="I231" s="88">
        <v>1339910.8673379</v>
      </c>
      <c r="J231" s="88">
        <v>49016.3800863</v>
      </c>
      <c r="K231" s="88">
        <v>48558.841508400001</v>
      </c>
      <c r="L231" s="88">
        <v>1462399.6666411001</v>
      </c>
      <c r="M231" s="88">
        <v>51708.1538927</v>
      </c>
      <c r="N231" s="88">
        <v>51555.641144499998</v>
      </c>
      <c r="O231" s="88">
        <v>54704.953195900001</v>
      </c>
      <c r="P231" s="88">
        <v>54399.927699300002</v>
      </c>
      <c r="Q231" s="88">
        <v>4073430.8732218998</v>
      </c>
      <c r="R231" s="88">
        <v>15535743.6746643</v>
      </c>
    </row>
    <row r="232" spans="1:18" x14ac:dyDescent="0.3">
      <c r="A232" s="195">
        <v>502</v>
      </c>
      <c r="B232" s="177">
        <v>1001</v>
      </c>
      <c r="C232" s="177" t="s">
        <v>163</v>
      </c>
      <c r="D232" s="201" t="s">
        <v>600</v>
      </c>
      <c r="E232" s="88" t="s">
        <v>1335</v>
      </c>
      <c r="F232" s="88">
        <v>586401.20556609996</v>
      </c>
      <c r="G232" s="88">
        <v>482057.50865680003</v>
      </c>
      <c r="H232" s="88">
        <v>614222.57318369998</v>
      </c>
      <c r="I232" s="88">
        <v>630106.08906370006</v>
      </c>
      <c r="J232" s="88">
        <v>674841.54320810002</v>
      </c>
      <c r="K232" s="88">
        <v>540635.08306470001</v>
      </c>
      <c r="L232" s="88">
        <v>701940.62214949995</v>
      </c>
      <c r="M232" s="88">
        <v>657205.16800549999</v>
      </c>
      <c r="N232" s="88">
        <v>612469.7138119</v>
      </c>
      <c r="O232" s="88">
        <v>709039.7010918</v>
      </c>
      <c r="P232" s="88">
        <v>619568.79275410005</v>
      </c>
      <c r="Q232" s="88">
        <v>692299.64165680006</v>
      </c>
      <c r="R232" s="88">
        <v>7520787.6422127001</v>
      </c>
    </row>
    <row r="233" spans="1:18" x14ac:dyDescent="0.3">
      <c r="A233" s="195">
        <v>503</v>
      </c>
      <c r="B233" s="177">
        <v>1001</v>
      </c>
      <c r="C233" s="177" t="s">
        <v>163</v>
      </c>
      <c r="D233" s="201" t="s">
        <v>602</v>
      </c>
      <c r="E233" s="88" t="s">
        <v>1336</v>
      </c>
      <c r="F233" s="88">
        <v>0</v>
      </c>
      <c r="G233" s="88">
        <v>0</v>
      </c>
      <c r="H233" s="88">
        <v>0</v>
      </c>
      <c r="I233" s="88">
        <v>0</v>
      </c>
      <c r="J233" s="88">
        <v>0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88">
        <v>0</v>
      </c>
      <c r="Q233" s="88">
        <v>0</v>
      </c>
      <c r="R233" s="88">
        <v>0</v>
      </c>
    </row>
    <row r="234" spans="1:18" x14ac:dyDescent="0.3">
      <c r="A234" s="195">
        <v>504</v>
      </c>
      <c r="B234" s="177">
        <v>1001</v>
      </c>
      <c r="C234" s="177" t="s">
        <v>163</v>
      </c>
      <c r="D234" s="201" t="s">
        <v>604</v>
      </c>
      <c r="E234" s="88" t="s">
        <v>1337</v>
      </c>
      <c r="F234" s="88">
        <v>0</v>
      </c>
      <c r="G234" s="88">
        <v>0</v>
      </c>
      <c r="H234" s="88">
        <v>0</v>
      </c>
      <c r="I234" s="88">
        <v>0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88">
        <v>0</v>
      </c>
      <c r="Q234" s="88">
        <v>0</v>
      </c>
      <c r="R234" s="88">
        <v>0</v>
      </c>
    </row>
    <row r="235" spans="1:18" x14ac:dyDescent="0.3">
      <c r="A235" s="195">
        <v>505</v>
      </c>
      <c r="B235" s="177">
        <v>1001</v>
      </c>
      <c r="C235" s="177" t="s">
        <v>163</v>
      </c>
      <c r="D235" s="201" t="s">
        <v>606</v>
      </c>
      <c r="E235" s="88" t="s">
        <v>1338</v>
      </c>
      <c r="F235" s="88">
        <v>183661.20934669999</v>
      </c>
      <c r="G235" s="88">
        <v>183661.20934669999</v>
      </c>
      <c r="H235" s="88">
        <v>183661.20934669999</v>
      </c>
      <c r="I235" s="88">
        <v>186089.0011582</v>
      </c>
      <c r="J235" s="88">
        <v>186089.0011582</v>
      </c>
      <c r="K235" s="88">
        <v>186089.0011582</v>
      </c>
      <c r="L235" s="88">
        <v>187302.89706389999</v>
      </c>
      <c r="M235" s="88">
        <v>187302.89706389999</v>
      </c>
      <c r="N235" s="88">
        <v>187302.89706389999</v>
      </c>
      <c r="O235" s="88">
        <v>188516.79296950001</v>
      </c>
      <c r="P235" s="88">
        <v>188516.79296950001</v>
      </c>
      <c r="Q235" s="88">
        <v>194586.27249820001</v>
      </c>
      <c r="R235" s="88">
        <v>2242779.1811436</v>
      </c>
    </row>
    <row r="236" spans="1:18" x14ac:dyDescent="0.3">
      <c r="A236" s="195">
        <v>506</v>
      </c>
      <c r="B236" s="177">
        <v>1001</v>
      </c>
      <c r="C236" s="177" t="s">
        <v>163</v>
      </c>
      <c r="D236" s="201" t="s">
        <v>608</v>
      </c>
      <c r="E236" s="88" t="s">
        <v>1339</v>
      </c>
      <c r="F236" s="88">
        <v>434781.47854729998</v>
      </c>
      <c r="G236" s="88">
        <v>372130.03761519998</v>
      </c>
      <c r="H236" s="88">
        <v>378056.72709519998</v>
      </c>
      <c r="I236" s="88">
        <v>399541.17944129999</v>
      </c>
      <c r="J236" s="88">
        <v>402951.54684030003</v>
      </c>
      <c r="K236" s="88">
        <v>392246.48812509998</v>
      </c>
      <c r="L236" s="88">
        <v>421156.00734080002</v>
      </c>
      <c r="M236" s="88">
        <v>417587.65703280002</v>
      </c>
      <c r="N236" s="88">
        <v>414019.30672470003</v>
      </c>
      <c r="O236" s="88">
        <v>439525.6317877</v>
      </c>
      <c r="P236" s="88">
        <v>432374.5690977</v>
      </c>
      <c r="Q236" s="88">
        <v>471472.40294529998</v>
      </c>
      <c r="R236" s="88">
        <v>4975843.0325934002</v>
      </c>
    </row>
    <row r="237" spans="1:18" x14ac:dyDescent="0.3">
      <c r="A237" s="195">
        <v>507</v>
      </c>
      <c r="B237" s="177">
        <v>1001</v>
      </c>
      <c r="C237" s="177" t="s">
        <v>163</v>
      </c>
      <c r="D237" s="201" t="s">
        <v>610</v>
      </c>
      <c r="E237" s="88" t="s">
        <v>1340</v>
      </c>
      <c r="F237" s="88">
        <v>2000</v>
      </c>
      <c r="G237" s="88">
        <v>2000</v>
      </c>
      <c r="H237" s="88">
        <v>2000</v>
      </c>
      <c r="I237" s="88">
        <v>2000</v>
      </c>
      <c r="J237" s="88">
        <v>2000</v>
      </c>
      <c r="K237" s="88">
        <v>2000</v>
      </c>
      <c r="L237" s="88">
        <v>2000</v>
      </c>
      <c r="M237" s="88">
        <v>2000</v>
      </c>
      <c r="N237" s="88">
        <v>2000</v>
      </c>
      <c r="O237" s="88">
        <v>2000</v>
      </c>
      <c r="P237" s="88">
        <v>2000</v>
      </c>
      <c r="Q237" s="88">
        <v>2000</v>
      </c>
      <c r="R237" s="88">
        <v>24000</v>
      </c>
    </row>
    <row r="238" spans="1:18" x14ac:dyDescent="0.3">
      <c r="A238" s="195">
        <v>509</v>
      </c>
      <c r="B238" s="177">
        <v>1001</v>
      </c>
      <c r="C238" s="177" t="s">
        <v>163</v>
      </c>
      <c r="D238" s="201" t="s">
        <v>612</v>
      </c>
      <c r="E238" s="88" t="s">
        <v>1341</v>
      </c>
      <c r="F238" s="88">
        <v>1411</v>
      </c>
      <c r="G238" s="88">
        <v>1325</v>
      </c>
      <c r="H238" s="88">
        <v>1416</v>
      </c>
      <c r="I238" s="88">
        <v>1365</v>
      </c>
      <c r="J238" s="88">
        <v>1416</v>
      </c>
      <c r="K238" s="88">
        <v>757</v>
      </c>
      <c r="L238" s="88">
        <v>-5</v>
      </c>
      <c r="M238" s="88">
        <v>0</v>
      </c>
      <c r="N238" s="88">
        <v>2350</v>
      </c>
      <c r="O238" s="88">
        <v>-5</v>
      </c>
      <c r="P238" s="88">
        <v>0</v>
      </c>
      <c r="Q238" s="88">
        <v>0</v>
      </c>
      <c r="R238" s="88">
        <v>10030</v>
      </c>
    </row>
    <row r="239" spans="1:18" x14ac:dyDescent="0.3">
      <c r="A239" s="195">
        <v>510</v>
      </c>
      <c r="B239" s="177">
        <v>1001</v>
      </c>
      <c r="C239" s="177" t="s">
        <v>163</v>
      </c>
      <c r="D239" s="201" t="s">
        <v>614</v>
      </c>
      <c r="E239" s="88" t="s">
        <v>1342</v>
      </c>
      <c r="F239" s="88">
        <v>0</v>
      </c>
      <c r="G239" s="88">
        <v>0</v>
      </c>
      <c r="H239" s="88">
        <v>0</v>
      </c>
      <c r="I239" s="88">
        <v>0</v>
      </c>
      <c r="J239" s="88">
        <v>0</v>
      </c>
      <c r="K239" s="88">
        <v>0</v>
      </c>
      <c r="L239" s="88">
        <v>0</v>
      </c>
      <c r="M239" s="88">
        <v>0</v>
      </c>
      <c r="N239" s="88">
        <v>0</v>
      </c>
      <c r="O239" s="88">
        <v>0</v>
      </c>
      <c r="P239" s="88">
        <v>0</v>
      </c>
      <c r="Q239" s="88">
        <v>0</v>
      </c>
      <c r="R239" s="88">
        <v>0</v>
      </c>
    </row>
    <row r="240" spans="1:18" x14ac:dyDescent="0.3">
      <c r="A240" s="195">
        <v>511</v>
      </c>
      <c r="B240" s="177">
        <v>1001</v>
      </c>
      <c r="C240" s="177" t="s">
        <v>163</v>
      </c>
      <c r="D240" s="201" t="s">
        <v>616</v>
      </c>
      <c r="E240" s="88" t="s">
        <v>1343</v>
      </c>
      <c r="F240" s="88">
        <v>290653.93873910001</v>
      </c>
      <c r="G240" s="88">
        <v>283637.64755190001</v>
      </c>
      <c r="H240" s="88">
        <v>283637.64755190001</v>
      </c>
      <c r="I240" s="88">
        <v>312038.8422977</v>
      </c>
      <c r="J240" s="88">
        <v>312927.89788359997</v>
      </c>
      <c r="K240" s="88">
        <v>296486.3222011</v>
      </c>
      <c r="L240" s="88">
        <v>320874.16504549998</v>
      </c>
      <c r="M240" s="88">
        <v>316863.94063909998</v>
      </c>
      <c r="N240" s="88">
        <v>314685.91758860002</v>
      </c>
      <c r="O240" s="88">
        <v>343854.17313329998</v>
      </c>
      <c r="P240" s="88">
        <v>334568.75912639999</v>
      </c>
      <c r="Q240" s="88">
        <v>399669.31521069998</v>
      </c>
      <c r="R240" s="88">
        <v>3809898.5669689002</v>
      </c>
    </row>
    <row r="241" spans="1:18" x14ac:dyDescent="0.3">
      <c r="A241" s="195">
        <v>512</v>
      </c>
      <c r="B241" s="177">
        <v>1001</v>
      </c>
      <c r="C241" s="177" t="s">
        <v>163</v>
      </c>
      <c r="D241" s="201" t="s">
        <v>618</v>
      </c>
      <c r="E241" s="88" t="s">
        <v>1344</v>
      </c>
      <c r="F241" s="88">
        <v>1115766.7397375</v>
      </c>
      <c r="G241" s="88">
        <v>1110763.1171009999</v>
      </c>
      <c r="H241" s="88">
        <v>1110763.1171009999</v>
      </c>
      <c r="I241" s="88">
        <v>3049739.0310251</v>
      </c>
      <c r="J241" s="88">
        <v>1220332.8469418001</v>
      </c>
      <c r="K241" s="88">
        <v>1172551.3934985001</v>
      </c>
      <c r="L241" s="88">
        <v>1241557.8469418001</v>
      </c>
      <c r="M241" s="88">
        <v>1238964.0310251</v>
      </c>
      <c r="N241" s="88">
        <v>3048370.2150988998</v>
      </c>
      <c r="O241" s="88">
        <v>3114782.8469417999</v>
      </c>
      <c r="P241" s="88">
        <v>1290229.4104181</v>
      </c>
      <c r="Q241" s="88">
        <v>1597307.0403962</v>
      </c>
      <c r="R241" s="88">
        <v>20311127.636226799</v>
      </c>
    </row>
    <row r="242" spans="1:18" x14ac:dyDescent="0.3">
      <c r="A242" s="195">
        <v>513</v>
      </c>
      <c r="B242" s="177">
        <v>1001</v>
      </c>
      <c r="C242" s="177" t="s">
        <v>163</v>
      </c>
      <c r="D242" s="201" t="s">
        <v>620</v>
      </c>
      <c r="E242" s="88" t="s">
        <v>1345</v>
      </c>
      <c r="F242" s="88">
        <v>168054.0689561</v>
      </c>
      <c r="G242" s="88">
        <v>167933.4253529</v>
      </c>
      <c r="H242" s="88">
        <v>167933.4253529</v>
      </c>
      <c r="I242" s="88">
        <v>168003.61969789999</v>
      </c>
      <c r="J242" s="88">
        <v>168064.39024350001</v>
      </c>
      <c r="K242" s="88">
        <v>167882.0784496</v>
      </c>
      <c r="L242" s="88">
        <v>168064.39024350001</v>
      </c>
      <c r="M242" s="88">
        <v>168003.61969789999</v>
      </c>
      <c r="N242" s="88">
        <v>167942.8491429</v>
      </c>
      <c r="O242" s="88">
        <v>168064.39024350001</v>
      </c>
      <c r="P242" s="88">
        <v>167942.8491429</v>
      </c>
      <c r="Q242" s="88">
        <v>168003.61969789999</v>
      </c>
      <c r="R242" s="88">
        <v>2015892.7262215</v>
      </c>
    </row>
    <row r="243" spans="1:18" x14ac:dyDescent="0.3">
      <c r="A243" s="195">
        <v>514</v>
      </c>
      <c r="B243" s="177">
        <v>1001</v>
      </c>
      <c r="C243" s="177" t="s">
        <v>163</v>
      </c>
      <c r="D243" s="201" t="s">
        <v>622</v>
      </c>
      <c r="E243" s="88" t="s">
        <v>1346</v>
      </c>
      <c r="F243" s="88">
        <v>168054.0689561</v>
      </c>
      <c r="G243" s="88">
        <v>167933.4253529</v>
      </c>
      <c r="H243" s="88">
        <v>167933.4253529</v>
      </c>
      <c r="I243" s="88">
        <v>168003.61969789999</v>
      </c>
      <c r="J243" s="88">
        <v>168064.39024350001</v>
      </c>
      <c r="K243" s="88">
        <v>167882.0784496</v>
      </c>
      <c r="L243" s="88">
        <v>168064.39024350001</v>
      </c>
      <c r="M243" s="88">
        <v>168003.61969789999</v>
      </c>
      <c r="N243" s="88">
        <v>167942.8491429</v>
      </c>
      <c r="O243" s="88">
        <v>168064.39024350001</v>
      </c>
      <c r="P243" s="88">
        <v>167942.8491429</v>
      </c>
      <c r="Q243" s="88">
        <v>168003.61969789999</v>
      </c>
      <c r="R243" s="88">
        <v>2015892.7262215</v>
      </c>
    </row>
    <row r="244" spans="1:18" x14ac:dyDescent="0.3">
      <c r="A244" s="195">
        <v>517</v>
      </c>
      <c r="B244" s="177">
        <v>1001</v>
      </c>
      <c r="C244" s="177" t="s">
        <v>163</v>
      </c>
      <c r="D244" s="201" t="s">
        <v>624</v>
      </c>
      <c r="E244" s="88" t="s">
        <v>1347</v>
      </c>
      <c r="F244" s="88">
        <v>0</v>
      </c>
      <c r="G244" s="88">
        <v>0</v>
      </c>
      <c r="H244" s="88">
        <v>0</v>
      </c>
      <c r="I244" s="88">
        <v>0</v>
      </c>
      <c r="J244" s="88">
        <v>0</v>
      </c>
      <c r="K244" s="88">
        <v>0</v>
      </c>
      <c r="L244" s="88">
        <v>0</v>
      </c>
      <c r="M244" s="88">
        <v>0</v>
      </c>
      <c r="N244" s="88">
        <v>0</v>
      </c>
      <c r="O244" s="88">
        <v>0</v>
      </c>
      <c r="P244" s="88">
        <v>0</v>
      </c>
      <c r="Q244" s="88">
        <v>0</v>
      </c>
      <c r="R244" s="88">
        <v>0</v>
      </c>
    </row>
    <row r="245" spans="1:18" x14ac:dyDescent="0.3">
      <c r="A245" s="195">
        <v>518</v>
      </c>
      <c r="B245" s="177">
        <v>1001</v>
      </c>
      <c r="C245" s="177" t="s">
        <v>163</v>
      </c>
      <c r="D245" s="201" t="s">
        <v>626</v>
      </c>
      <c r="E245" s="88" t="s">
        <v>1348</v>
      </c>
      <c r="F245" s="88">
        <v>0</v>
      </c>
      <c r="G245" s="88">
        <v>0</v>
      </c>
      <c r="H245" s="88">
        <v>0</v>
      </c>
      <c r="I245" s="88">
        <v>0</v>
      </c>
      <c r="J245" s="88">
        <v>0</v>
      </c>
      <c r="K245" s="88">
        <v>0</v>
      </c>
      <c r="L245" s="88">
        <v>0</v>
      </c>
      <c r="M245" s="88">
        <v>0</v>
      </c>
      <c r="N245" s="88">
        <v>0</v>
      </c>
      <c r="O245" s="88">
        <v>0</v>
      </c>
      <c r="P245" s="88">
        <v>0</v>
      </c>
      <c r="Q245" s="88">
        <v>0</v>
      </c>
      <c r="R245" s="88">
        <v>0</v>
      </c>
    </row>
    <row r="246" spans="1:18" x14ac:dyDescent="0.3">
      <c r="A246" s="195">
        <v>519</v>
      </c>
      <c r="B246" s="177">
        <v>1001</v>
      </c>
      <c r="C246" s="177" t="s">
        <v>163</v>
      </c>
      <c r="D246" s="201" t="s">
        <v>628</v>
      </c>
      <c r="E246" s="88" t="s">
        <v>1349</v>
      </c>
      <c r="F246" s="88">
        <v>0</v>
      </c>
      <c r="G246" s="88">
        <v>0</v>
      </c>
      <c r="H246" s="88">
        <v>0</v>
      </c>
      <c r="I246" s="88">
        <v>0</v>
      </c>
      <c r="J246" s="88">
        <v>0</v>
      </c>
      <c r="K246" s="88">
        <v>0</v>
      </c>
      <c r="L246" s="88">
        <v>0</v>
      </c>
      <c r="M246" s="88">
        <v>0</v>
      </c>
      <c r="N246" s="88">
        <v>0</v>
      </c>
      <c r="O246" s="88">
        <v>0</v>
      </c>
      <c r="P246" s="88">
        <v>0</v>
      </c>
      <c r="Q246" s="88">
        <v>0</v>
      </c>
      <c r="R246" s="88">
        <v>0</v>
      </c>
    </row>
    <row r="247" spans="1:18" x14ac:dyDescent="0.3">
      <c r="A247" s="195">
        <v>520</v>
      </c>
      <c r="B247" s="177">
        <v>1001</v>
      </c>
      <c r="C247" s="177" t="s">
        <v>163</v>
      </c>
      <c r="D247" s="201" t="s">
        <v>630</v>
      </c>
      <c r="E247" s="88" t="s">
        <v>1350</v>
      </c>
      <c r="F247" s="88">
        <v>0</v>
      </c>
      <c r="G247" s="88">
        <v>0</v>
      </c>
      <c r="H247" s="88">
        <v>0</v>
      </c>
      <c r="I247" s="88">
        <v>0</v>
      </c>
      <c r="J247" s="88">
        <v>0</v>
      </c>
      <c r="K247" s="88">
        <v>0</v>
      </c>
      <c r="L247" s="88">
        <v>0</v>
      </c>
      <c r="M247" s="88">
        <v>0</v>
      </c>
      <c r="N247" s="88">
        <v>0</v>
      </c>
      <c r="O247" s="88">
        <v>0</v>
      </c>
      <c r="P247" s="88">
        <v>0</v>
      </c>
      <c r="Q247" s="88">
        <v>0</v>
      </c>
      <c r="R247" s="88">
        <v>0</v>
      </c>
    </row>
    <row r="248" spans="1:18" x14ac:dyDescent="0.3">
      <c r="A248" s="195">
        <v>521</v>
      </c>
      <c r="B248" s="177">
        <v>1001</v>
      </c>
      <c r="C248" s="177" t="s">
        <v>163</v>
      </c>
      <c r="D248" s="201" t="s">
        <v>632</v>
      </c>
      <c r="E248" s="88" t="s">
        <v>1351</v>
      </c>
      <c r="F248" s="88">
        <v>0</v>
      </c>
      <c r="G248" s="88">
        <v>0</v>
      </c>
      <c r="H248" s="88">
        <v>0</v>
      </c>
      <c r="I248" s="88">
        <v>0</v>
      </c>
      <c r="J248" s="88">
        <v>0</v>
      </c>
      <c r="K248" s="88">
        <v>0</v>
      </c>
      <c r="L248" s="88">
        <v>0</v>
      </c>
      <c r="M248" s="88">
        <v>0</v>
      </c>
      <c r="N248" s="88">
        <v>0</v>
      </c>
      <c r="O248" s="88">
        <v>0</v>
      </c>
      <c r="P248" s="88">
        <v>0</v>
      </c>
      <c r="Q248" s="88">
        <v>0</v>
      </c>
      <c r="R248" s="88">
        <v>0</v>
      </c>
    </row>
    <row r="249" spans="1:18" x14ac:dyDescent="0.3">
      <c r="A249" s="195">
        <v>522</v>
      </c>
      <c r="B249" s="177">
        <v>1001</v>
      </c>
      <c r="C249" s="177" t="s">
        <v>163</v>
      </c>
      <c r="D249" s="201" t="s">
        <v>634</v>
      </c>
      <c r="E249" s="88" t="s">
        <v>1352</v>
      </c>
      <c r="F249" s="88">
        <v>0</v>
      </c>
      <c r="G249" s="88">
        <v>0</v>
      </c>
      <c r="H249" s="88">
        <v>0</v>
      </c>
      <c r="I249" s="88">
        <v>0</v>
      </c>
      <c r="J249" s="88">
        <v>0</v>
      </c>
      <c r="K249" s="88">
        <v>0</v>
      </c>
      <c r="L249" s="88">
        <v>0</v>
      </c>
      <c r="M249" s="88">
        <v>0</v>
      </c>
      <c r="N249" s="88">
        <v>0</v>
      </c>
      <c r="O249" s="88">
        <v>0</v>
      </c>
      <c r="P249" s="88">
        <v>0</v>
      </c>
      <c r="Q249" s="88">
        <v>0</v>
      </c>
      <c r="R249" s="88">
        <v>0</v>
      </c>
    </row>
    <row r="250" spans="1:18" x14ac:dyDescent="0.3">
      <c r="A250" s="195">
        <v>523</v>
      </c>
      <c r="B250" s="177">
        <v>1001</v>
      </c>
      <c r="C250" s="177" t="s">
        <v>163</v>
      </c>
      <c r="D250" s="201" t="s">
        <v>636</v>
      </c>
      <c r="E250" s="88" t="s">
        <v>1353</v>
      </c>
      <c r="F250" s="88">
        <v>0</v>
      </c>
      <c r="G250" s="88">
        <v>0</v>
      </c>
      <c r="H250" s="88">
        <v>0</v>
      </c>
      <c r="I250" s="88">
        <v>0</v>
      </c>
      <c r="J250" s="88">
        <v>0</v>
      </c>
      <c r="K250" s="88">
        <v>0</v>
      </c>
      <c r="L250" s="88">
        <v>0</v>
      </c>
      <c r="M250" s="88">
        <v>0</v>
      </c>
      <c r="N250" s="88">
        <v>0</v>
      </c>
      <c r="O250" s="88">
        <v>0</v>
      </c>
      <c r="P250" s="88">
        <v>0</v>
      </c>
      <c r="Q250" s="88">
        <v>0</v>
      </c>
      <c r="R250" s="88">
        <v>0</v>
      </c>
    </row>
    <row r="251" spans="1:18" x14ac:dyDescent="0.3">
      <c r="A251" s="195">
        <v>524</v>
      </c>
      <c r="B251" s="177">
        <v>1001</v>
      </c>
      <c r="C251" s="177" t="s">
        <v>163</v>
      </c>
      <c r="D251" s="201" t="s">
        <v>638</v>
      </c>
      <c r="E251" s="88" t="s">
        <v>1354</v>
      </c>
      <c r="F251" s="88">
        <v>0</v>
      </c>
      <c r="G251" s="88">
        <v>0</v>
      </c>
      <c r="H251" s="88">
        <v>0</v>
      </c>
      <c r="I251" s="88">
        <v>0</v>
      </c>
      <c r="J251" s="88">
        <v>0</v>
      </c>
      <c r="K251" s="88">
        <v>0</v>
      </c>
      <c r="L251" s="88">
        <v>0</v>
      </c>
      <c r="M251" s="88">
        <v>0</v>
      </c>
      <c r="N251" s="88">
        <v>0</v>
      </c>
      <c r="O251" s="88">
        <v>0</v>
      </c>
      <c r="P251" s="88">
        <v>0</v>
      </c>
      <c r="Q251" s="88">
        <v>0</v>
      </c>
      <c r="R251" s="88">
        <v>0</v>
      </c>
    </row>
    <row r="252" spans="1:18" x14ac:dyDescent="0.3">
      <c r="A252" s="195">
        <v>525</v>
      </c>
      <c r="B252" s="177">
        <v>1001</v>
      </c>
      <c r="C252" s="177" t="s">
        <v>163</v>
      </c>
      <c r="D252" s="201" t="s">
        <v>640</v>
      </c>
      <c r="E252" s="88" t="s">
        <v>1355</v>
      </c>
      <c r="F252" s="88">
        <v>0</v>
      </c>
      <c r="G252" s="88">
        <v>0</v>
      </c>
      <c r="H252" s="88">
        <v>0</v>
      </c>
      <c r="I252" s="88">
        <v>0</v>
      </c>
      <c r="J252" s="88">
        <v>0</v>
      </c>
      <c r="K252" s="88">
        <v>0</v>
      </c>
      <c r="L252" s="88">
        <v>0</v>
      </c>
      <c r="M252" s="88">
        <v>0</v>
      </c>
      <c r="N252" s="88">
        <v>0</v>
      </c>
      <c r="O252" s="88">
        <v>0</v>
      </c>
      <c r="P252" s="88">
        <v>0</v>
      </c>
      <c r="Q252" s="88">
        <v>0</v>
      </c>
      <c r="R252" s="88">
        <v>0</v>
      </c>
    </row>
    <row r="253" spans="1:18" x14ac:dyDescent="0.3">
      <c r="A253" s="195">
        <v>528</v>
      </c>
      <c r="B253" s="177">
        <v>1001</v>
      </c>
      <c r="C253" s="177" t="s">
        <v>163</v>
      </c>
      <c r="D253" s="201" t="s">
        <v>642</v>
      </c>
      <c r="E253" s="88" t="s">
        <v>1356</v>
      </c>
      <c r="F253" s="88">
        <v>0</v>
      </c>
      <c r="G253" s="88">
        <v>0</v>
      </c>
      <c r="H253" s="88">
        <v>0</v>
      </c>
      <c r="I253" s="88">
        <v>0</v>
      </c>
      <c r="J253" s="88">
        <v>0</v>
      </c>
      <c r="K253" s="88">
        <v>0</v>
      </c>
      <c r="L253" s="88">
        <v>0</v>
      </c>
      <c r="M253" s="88">
        <v>0</v>
      </c>
      <c r="N253" s="88">
        <v>0</v>
      </c>
      <c r="O253" s="88">
        <v>0</v>
      </c>
      <c r="P253" s="88">
        <v>0</v>
      </c>
      <c r="Q253" s="88">
        <v>0</v>
      </c>
      <c r="R253" s="88">
        <v>0</v>
      </c>
    </row>
    <row r="254" spans="1:18" x14ac:dyDescent="0.3">
      <c r="A254" s="195">
        <v>529</v>
      </c>
      <c r="B254" s="177">
        <v>1001</v>
      </c>
      <c r="C254" s="177" t="s">
        <v>163</v>
      </c>
      <c r="D254" s="201" t="s">
        <v>644</v>
      </c>
      <c r="E254" s="88" t="s">
        <v>1357</v>
      </c>
      <c r="F254" s="88">
        <v>0</v>
      </c>
      <c r="G254" s="88">
        <v>0</v>
      </c>
      <c r="H254" s="88">
        <v>0</v>
      </c>
      <c r="I254" s="88">
        <v>0</v>
      </c>
      <c r="J254" s="88">
        <v>0</v>
      </c>
      <c r="K254" s="88">
        <v>0</v>
      </c>
      <c r="L254" s="88">
        <v>0</v>
      </c>
      <c r="M254" s="88">
        <v>0</v>
      </c>
      <c r="N254" s="88">
        <v>0</v>
      </c>
      <c r="O254" s="88">
        <v>0</v>
      </c>
      <c r="P254" s="88">
        <v>0</v>
      </c>
      <c r="Q254" s="88">
        <v>0</v>
      </c>
      <c r="R254" s="88">
        <v>0</v>
      </c>
    </row>
    <row r="255" spans="1:18" x14ac:dyDescent="0.3">
      <c r="A255" s="195">
        <v>530</v>
      </c>
      <c r="B255" s="177">
        <v>1001</v>
      </c>
      <c r="C255" s="177" t="s">
        <v>163</v>
      </c>
      <c r="D255" s="201" t="s">
        <v>646</v>
      </c>
      <c r="E255" s="88" t="s">
        <v>1358</v>
      </c>
      <c r="F255" s="88">
        <v>0</v>
      </c>
      <c r="G255" s="88">
        <v>0</v>
      </c>
      <c r="H255" s="88">
        <v>0</v>
      </c>
      <c r="I255" s="88">
        <v>0</v>
      </c>
      <c r="J255" s="88">
        <v>0</v>
      </c>
      <c r="K255" s="88">
        <v>0</v>
      </c>
      <c r="L255" s="88">
        <v>0</v>
      </c>
      <c r="M255" s="88">
        <v>0</v>
      </c>
      <c r="N255" s="88">
        <v>0</v>
      </c>
      <c r="O255" s="88">
        <v>0</v>
      </c>
      <c r="P255" s="88">
        <v>0</v>
      </c>
      <c r="Q255" s="88">
        <v>0</v>
      </c>
      <c r="R255" s="88">
        <v>0</v>
      </c>
    </row>
    <row r="256" spans="1:18" x14ac:dyDescent="0.3">
      <c r="A256" s="195">
        <v>531</v>
      </c>
      <c r="B256" s="177">
        <v>1001</v>
      </c>
      <c r="C256" s="177" t="s">
        <v>163</v>
      </c>
      <c r="D256" s="201" t="s">
        <v>648</v>
      </c>
      <c r="E256" s="88" t="s">
        <v>1359</v>
      </c>
      <c r="F256" s="88">
        <v>0</v>
      </c>
      <c r="G256" s="88">
        <v>0</v>
      </c>
      <c r="H256" s="88">
        <v>0</v>
      </c>
      <c r="I256" s="88">
        <v>0</v>
      </c>
      <c r="J256" s="88">
        <v>0</v>
      </c>
      <c r="K256" s="88">
        <v>0</v>
      </c>
      <c r="L256" s="88">
        <v>0</v>
      </c>
      <c r="M256" s="88">
        <v>0</v>
      </c>
      <c r="N256" s="88">
        <v>0</v>
      </c>
      <c r="O256" s="88">
        <v>0</v>
      </c>
      <c r="P256" s="88">
        <v>0</v>
      </c>
      <c r="Q256" s="88">
        <v>0</v>
      </c>
      <c r="R256" s="88">
        <v>0</v>
      </c>
    </row>
    <row r="257" spans="1:18" x14ac:dyDescent="0.3">
      <c r="A257" s="195">
        <v>532</v>
      </c>
      <c r="B257" s="177">
        <v>1001</v>
      </c>
      <c r="C257" s="177" t="s">
        <v>163</v>
      </c>
      <c r="D257" s="201" t="s">
        <v>650</v>
      </c>
      <c r="E257" s="88" t="s">
        <v>1360</v>
      </c>
      <c r="F257" s="88">
        <v>0</v>
      </c>
      <c r="G257" s="88">
        <v>0</v>
      </c>
      <c r="H257" s="88">
        <v>0</v>
      </c>
      <c r="I257" s="88">
        <v>0</v>
      </c>
      <c r="J257" s="88">
        <v>0</v>
      </c>
      <c r="K257" s="88">
        <v>0</v>
      </c>
      <c r="L257" s="88">
        <v>0</v>
      </c>
      <c r="M257" s="88">
        <v>0</v>
      </c>
      <c r="N257" s="88">
        <v>0</v>
      </c>
      <c r="O257" s="88">
        <v>0</v>
      </c>
      <c r="P257" s="88">
        <v>0</v>
      </c>
      <c r="Q257" s="88">
        <v>0</v>
      </c>
      <c r="R257" s="88">
        <v>0</v>
      </c>
    </row>
    <row r="258" spans="1:18" x14ac:dyDescent="0.3">
      <c r="A258" s="195">
        <v>535</v>
      </c>
      <c r="B258" s="177">
        <v>1001</v>
      </c>
      <c r="C258" s="177" t="s">
        <v>163</v>
      </c>
      <c r="D258" s="201" t="s">
        <v>652</v>
      </c>
      <c r="E258" s="88" t="s">
        <v>1361</v>
      </c>
      <c r="F258" s="88">
        <v>0</v>
      </c>
      <c r="G258" s="88">
        <v>0</v>
      </c>
      <c r="H258" s="88">
        <v>0</v>
      </c>
      <c r="I258" s="88">
        <v>0</v>
      </c>
      <c r="J258" s="88">
        <v>0</v>
      </c>
      <c r="K258" s="88">
        <v>0</v>
      </c>
      <c r="L258" s="88">
        <v>0</v>
      </c>
      <c r="M258" s="88">
        <v>0</v>
      </c>
      <c r="N258" s="88">
        <v>0</v>
      </c>
      <c r="O258" s="88">
        <v>0</v>
      </c>
      <c r="P258" s="88">
        <v>0</v>
      </c>
      <c r="Q258" s="88">
        <v>0</v>
      </c>
      <c r="R258" s="88">
        <v>0</v>
      </c>
    </row>
    <row r="259" spans="1:18" x14ac:dyDescent="0.3">
      <c r="A259" s="195">
        <v>536</v>
      </c>
      <c r="B259" s="177">
        <v>1001</v>
      </c>
      <c r="C259" s="177" t="s">
        <v>163</v>
      </c>
      <c r="D259" s="201" t="s">
        <v>654</v>
      </c>
      <c r="E259" s="88" t="s">
        <v>1362</v>
      </c>
      <c r="F259" s="88">
        <v>0</v>
      </c>
      <c r="G259" s="88">
        <v>0</v>
      </c>
      <c r="H259" s="88">
        <v>0</v>
      </c>
      <c r="I259" s="88">
        <v>0</v>
      </c>
      <c r="J259" s="88">
        <v>0</v>
      </c>
      <c r="K259" s="88">
        <v>0</v>
      </c>
      <c r="L259" s="88">
        <v>0</v>
      </c>
      <c r="M259" s="88">
        <v>0</v>
      </c>
      <c r="N259" s="88">
        <v>0</v>
      </c>
      <c r="O259" s="88">
        <v>0</v>
      </c>
      <c r="P259" s="88">
        <v>0</v>
      </c>
      <c r="Q259" s="88">
        <v>0</v>
      </c>
      <c r="R259" s="88">
        <v>0</v>
      </c>
    </row>
    <row r="260" spans="1:18" x14ac:dyDescent="0.3">
      <c r="A260" s="195">
        <v>537</v>
      </c>
      <c r="B260" s="177">
        <v>1001</v>
      </c>
      <c r="C260" s="177" t="s">
        <v>163</v>
      </c>
      <c r="D260" s="201" t="s">
        <v>656</v>
      </c>
      <c r="E260" s="88" t="s">
        <v>1363</v>
      </c>
      <c r="F260" s="88">
        <v>0</v>
      </c>
      <c r="G260" s="88">
        <v>0</v>
      </c>
      <c r="H260" s="88">
        <v>0</v>
      </c>
      <c r="I260" s="88">
        <v>0</v>
      </c>
      <c r="J260" s="88">
        <v>0</v>
      </c>
      <c r="K260" s="88">
        <v>0</v>
      </c>
      <c r="L260" s="88">
        <v>0</v>
      </c>
      <c r="M260" s="88">
        <v>0</v>
      </c>
      <c r="N260" s="88">
        <v>0</v>
      </c>
      <c r="O260" s="88">
        <v>0</v>
      </c>
      <c r="P260" s="88">
        <v>0</v>
      </c>
      <c r="Q260" s="88">
        <v>0</v>
      </c>
      <c r="R260" s="88">
        <v>0</v>
      </c>
    </row>
    <row r="261" spans="1:18" x14ac:dyDescent="0.3">
      <c r="A261" s="195">
        <v>538</v>
      </c>
      <c r="B261" s="177">
        <v>1001</v>
      </c>
      <c r="C261" s="177" t="s">
        <v>163</v>
      </c>
      <c r="D261" s="201" t="s">
        <v>658</v>
      </c>
      <c r="E261" s="88" t="s">
        <v>1364</v>
      </c>
      <c r="F261" s="88">
        <v>0</v>
      </c>
      <c r="G261" s="88">
        <v>0</v>
      </c>
      <c r="H261" s="88">
        <v>0</v>
      </c>
      <c r="I261" s="88">
        <v>0</v>
      </c>
      <c r="J261" s="88">
        <v>0</v>
      </c>
      <c r="K261" s="88">
        <v>0</v>
      </c>
      <c r="L261" s="88">
        <v>0</v>
      </c>
      <c r="M261" s="88">
        <v>0</v>
      </c>
      <c r="N261" s="88">
        <v>0</v>
      </c>
      <c r="O261" s="88">
        <v>0</v>
      </c>
      <c r="P261" s="88">
        <v>0</v>
      </c>
      <c r="Q261" s="88">
        <v>0</v>
      </c>
      <c r="R261" s="88">
        <v>0</v>
      </c>
    </row>
    <row r="262" spans="1:18" x14ac:dyDescent="0.3">
      <c r="A262" s="195">
        <v>539</v>
      </c>
      <c r="B262" s="177">
        <v>1001</v>
      </c>
      <c r="C262" s="177" t="s">
        <v>163</v>
      </c>
      <c r="D262" s="201" t="s">
        <v>660</v>
      </c>
      <c r="E262" s="88" t="s">
        <v>1365</v>
      </c>
      <c r="F262" s="88">
        <v>0</v>
      </c>
      <c r="G262" s="88">
        <v>0</v>
      </c>
      <c r="H262" s="88">
        <v>0</v>
      </c>
      <c r="I262" s="88">
        <v>0</v>
      </c>
      <c r="J262" s="88">
        <v>0</v>
      </c>
      <c r="K262" s="88">
        <v>0</v>
      </c>
      <c r="L262" s="88">
        <v>0</v>
      </c>
      <c r="M262" s="88">
        <v>0</v>
      </c>
      <c r="N262" s="88">
        <v>0</v>
      </c>
      <c r="O262" s="88">
        <v>0</v>
      </c>
      <c r="P262" s="88">
        <v>0</v>
      </c>
      <c r="Q262" s="88">
        <v>0</v>
      </c>
      <c r="R262" s="88">
        <v>0</v>
      </c>
    </row>
    <row r="263" spans="1:18" x14ac:dyDescent="0.3">
      <c r="A263" s="195">
        <v>540</v>
      </c>
      <c r="B263" s="177">
        <v>1001</v>
      </c>
      <c r="C263" s="177" t="s">
        <v>163</v>
      </c>
      <c r="D263" s="201" t="s">
        <v>662</v>
      </c>
      <c r="E263" s="88" t="s">
        <v>1366</v>
      </c>
      <c r="F263" s="88">
        <v>0</v>
      </c>
      <c r="G263" s="88">
        <v>0</v>
      </c>
      <c r="H263" s="88">
        <v>0</v>
      </c>
      <c r="I263" s="88">
        <v>0</v>
      </c>
      <c r="J263" s="88">
        <v>0</v>
      </c>
      <c r="K263" s="88">
        <v>0</v>
      </c>
      <c r="L263" s="88">
        <v>0</v>
      </c>
      <c r="M263" s="88">
        <v>0</v>
      </c>
      <c r="N263" s="88">
        <v>0</v>
      </c>
      <c r="O263" s="88">
        <v>0</v>
      </c>
      <c r="P263" s="88">
        <v>0</v>
      </c>
      <c r="Q263" s="88">
        <v>0</v>
      </c>
      <c r="R263" s="88">
        <v>0</v>
      </c>
    </row>
    <row r="264" spans="1:18" x14ac:dyDescent="0.3">
      <c r="A264" s="195">
        <v>541</v>
      </c>
      <c r="B264" s="177">
        <v>1001</v>
      </c>
      <c r="C264" s="177" t="s">
        <v>163</v>
      </c>
      <c r="D264" s="201" t="s">
        <v>664</v>
      </c>
      <c r="E264" s="88" t="s">
        <v>1367</v>
      </c>
      <c r="F264" s="88">
        <v>0</v>
      </c>
      <c r="G264" s="88">
        <v>0</v>
      </c>
      <c r="H264" s="88">
        <v>0</v>
      </c>
      <c r="I264" s="88">
        <v>0</v>
      </c>
      <c r="J264" s="88">
        <v>0</v>
      </c>
      <c r="K264" s="88">
        <v>0</v>
      </c>
      <c r="L264" s="88">
        <v>0</v>
      </c>
      <c r="M264" s="88">
        <v>0</v>
      </c>
      <c r="N264" s="88">
        <v>0</v>
      </c>
      <c r="O264" s="88">
        <v>0</v>
      </c>
      <c r="P264" s="88">
        <v>0</v>
      </c>
      <c r="Q264" s="88">
        <v>0</v>
      </c>
      <c r="R264" s="88">
        <v>0</v>
      </c>
    </row>
    <row r="265" spans="1:18" x14ac:dyDescent="0.3">
      <c r="A265" s="195">
        <v>542</v>
      </c>
      <c r="B265" s="177">
        <v>1001</v>
      </c>
      <c r="C265" s="177" t="s">
        <v>163</v>
      </c>
      <c r="D265" s="201" t="s">
        <v>666</v>
      </c>
      <c r="E265" s="88" t="s">
        <v>1368</v>
      </c>
      <c r="F265" s="88">
        <v>0</v>
      </c>
      <c r="G265" s="88">
        <v>0</v>
      </c>
      <c r="H265" s="88">
        <v>0</v>
      </c>
      <c r="I265" s="88">
        <v>0</v>
      </c>
      <c r="J265" s="88">
        <v>0</v>
      </c>
      <c r="K265" s="88">
        <v>0</v>
      </c>
      <c r="L265" s="88">
        <v>0</v>
      </c>
      <c r="M265" s="88">
        <v>0</v>
      </c>
      <c r="N265" s="88">
        <v>0</v>
      </c>
      <c r="O265" s="88">
        <v>0</v>
      </c>
      <c r="P265" s="88">
        <v>0</v>
      </c>
      <c r="Q265" s="88">
        <v>0</v>
      </c>
      <c r="R265" s="88">
        <v>0</v>
      </c>
    </row>
    <row r="266" spans="1:18" x14ac:dyDescent="0.3">
      <c r="A266" s="195">
        <v>543</v>
      </c>
      <c r="B266" s="177">
        <v>1001</v>
      </c>
      <c r="C266" s="177" t="s">
        <v>163</v>
      </c>
      <c r="D266" s="201" t="s">
        <v>668</v>
      </c>
      <c r="E266" s="88" t="s">
        <v>1369</v>
      </c>
      <c r="F266" s="88">
        <v>0</v>
      </c>
      <c r="G266" s="88">
        <v>0</v>
      </c>
      <c r="H266" s="88">
        <v>0</v>
      </c>
      <c r="I266" s="88">
        <v>0</v>
      </c>
      <c r="J266" s="88">
        <v>0</v>
      </c>
      <c r="K266" s="88">
        <v>0</v>
      </c>
      <c r="L266" s="88">
        <v>0</v>
      </c>
      <c r="M266" s="88">
        <v>0</v>
      </c>
      <c r="N266" s="88">
        <v>0</v>
      </c>
      <c r="O266" s="88">
        <v>0</v>
      </c>
      <c r="P266" s="88">
        <v>0</v>
      </c>
      <c r="Q266" s="88">
        <v>0</v>
      </c>
      <c r="R266" s="88">
        <v>0</v>
      </c>
    </row>
    <row r="267" spans="1:18" x14ac:dyDescent="0.3">
      <c r="A267" s="195">
        <v>544</v>
      </c>
      <c r="B267" s="177">
        <v>1001</v>
      </c>
      <c r="C267" s="177" t="s">
        <v>163</v>
      </c>
      <c r="D267" s="201" t="s">
        <v>670</v>
      </c>
      <c r="E267" s="88" t="s">
        <v>1370</v>
      </c>
      <c r="F267" s="88">
        <v>0</v>
      </c>
      <c r="G267" s="88">
        <v>0</v>
      </c>
      <c r="H267" s="88">
        <v>0</v>
      </c>
      <c r="I267" s="88">
        <v>0</v>
      </c>
      <c r="J267" s="88">
        <v>0</v>
      </c>
      <c r="K267" s="88">
        <v>0</v>
      </c>
      <c r="L267" s="88">
        <v>0</v>
      </c>
      <c r="M267" s="88">
        <v>0</v>
      </c>
      <c r="N267" s="88">
        <v>0</v>
      </c>
      <c r="O267" s="88">
        <v>0</v>
      </c>
      <c r="P267" s="88">
        <v>0</v>
      </c>
      <c r="Q267" s="88">
        <v>0</v>
      </c>
      <c r="R267" s="88">
        <v>0</v>
      </c>
    </row>
    <row r="268" spans="1:18" x14ac:dyDescent="0.3">
      <c r="A268" s="195">
        <v>545</v>
      </c>
      <c r="B268" s="177">
        <v>1001</v>
      </c>
      <c r="C268" s="177" t="s">
        <v>163</v>
      </c>
      <c r="D268" s="201" t="s">
        <v>672</v>
      </c>
      <c r="E268" s="88" t="s">
        <v>1371</v>
      </c>
      <c r="F268" s="88">
        <v>0</v>
      </c>
      <c r="G268" s="88">
        <v>0</v>
      </c>
      <c r="H268" s="88">
        <v>0</v>
      </c>
      <c r="I268" s="88">
        <v>0</v>
      </c>
      <c r="J268" s="88">
        <v>0</v>
      </c>
      <c r="K268" s="88">
        <v>0</v>
      </c>
      <c r="L268" s="88">
        <v>0</v>
      </c>
      <c r="M268" s="88">
        <v>0</v>
      </c>
      <c r="N268" s="88">
        <v>0</v>
      </c>
      <c r="O268" s="88">
        <v>0</v>
      </c>
      <c r="P268" s="88">
        <v>0</v>
      </c>
      <c r="Q268" s="88">
        <v>0</v>
      </c>
      <c r="R268" s="88">
        <v>0</v>
      </c>
    </row>
    <row r="269" spans="1:18" x14ac:dyDescent="0.3">
      <c r="A269" s="195">
        <v>546</v>
      </c>
      <c r="B269" s="177">
        <v>1001</v>
      </c>
      <c r="C269" s="177" t="s">
        <v>163</v>
      </c>
      <c r="D269" s="201" t="s">
        <v>674</v>
      </c>
      <c r="E269" s="88" t="s">
        <v>1372</v>
      </c>
      <c r="F269" s="88">
        <v>0</v>
      </c>
      <c r="G269" s="88">
        <v>0</v>
      </c>
      <c r="H269" s="88">
        <v>0</v>
      </c>
      <c r="I269" s="88">
        <v>0</v>
      </c>
      <c r="J269" s="88">
        <v>0</v>
      </c>
      <c r="K269" s="88">
        <v>0</v>
      </c>
      <c r="L269" s="88">
        <v>0</v>
      </c>
      <c r="M269" s="88">
        <v>0</v>
      </c>
      <c r="N269" s="88">
        <v>0</v>
      </c>
      <c r="O269" s="88">
        <v>0</v>
      </c>
      <c r="P269" s="88">
        <v>0</v>
      </c>
      <c r="Q269" s="88">
        <v>0</v>
      </c>
      <c r="R269" s="88">
        <v>0</v>
      </c>
    </row>
    <row r="270" spans="1:18" x14ac:dyDescent="0.3">
      <c r="A270" s="195">
        <v>547</v>
      </c>
      <c r="B270" s="177">
        <v>1001</v>
      </c>
      <c r="C270" s="177" t="s">
        <v>163</v>
      </c>
      <c r="D270" s="201" t="s">
        <v>676</v>
      </c>
      <c r="E270" s="88" t="s">
        <v>1373</v>
      </c>
      <c r="F270" s="88">
        <v>51919370.333333299</v>
      </c>
      <c r="G270" s="88">
        <v>45956018.333333299</v>
      </c>
      <c r="H270" s="88">
        <v>47005039.333333299</v>
      </c>
      <c r="I270" s="88">
        <v>47796697.571428597</v>
      </c>
      <c r="J270" s="88">
        <v>55456405.904761903</v>
      </c>
      <c r="K270" s="88">
        <v>61762597.904761903</v>
      </c>
      <c r="L270" s="88">
        <v>66268398.190476201</v>
      </c>
      <c r="M270" s="88">
        <v>68626137.190476194</v>
      </c>
      <c r="N270" s="88">
        <v>63048194.190476201</v>
      </c>
      <c r="O270" s="88">
        <v>59405077.476190403</v>
      </c>
      <c r="P270" s="88">
        <v>50578259.476190403</v>
      </c>
      <c r="Q270" s="88">
        <v>52736666.904761903</v>
      </c>
      <c r="R270" s="88">
        <v>670558862.80952358</v>
      </c>
    </row>
    <row r="271" spans="1:18" x14ac:dyDescent="0.3">
      <c r="A271" s="195">
        <v>548</v>
      </c>
      <c r="B271" s="177">
        <v>1001</v>
      </c>
      <c r="C271" s="177" t="s">
        <v>163</v>
      </c>
      <c r="D271" s="201" t="s">
        <v>678</v>
      </c>
      <c r="E271" s="88" t="s">
        <v>1374</v>
      </c>
      <c r="F271" s="88">
        <v>2587685.2594456999</v>
      </c>
      <c r="G271" s="88">
        <v>2338301.7774085002</v>
      </c>
      <c r="H271" s="88">
        <v>2432239.9579479001</v>
      </c>
      <c r="I271" s="88">
        <v>2533253.0770659</v>
      </c>
      <c r="J271" s="88">
        <v>2438477.4706112002</v>
      </c>
      <c r="K271" s="88">
        <v>2291319.120687</v>
      </c>
      <c r="L271" s="88">
        <v>2557038.2765890998</v>
      </c>
      <c r="M271" s="88">
        <v>2361466.3347759</v>
      </c>
      <c r="N271" s="88">
        <v>2315455.9144752002</v>
      </c>
      <c r="O271" s="88">
        <v>2552333.3328503999</v>
      </c>
      <c r="P271" s="88">
        <v>2396184.5614999998</v>
      </c>
      <c r="Q271" s="88">
        <v>2464387.6234855</v>
      </c>
      <c r="R271" s="88">
        <v>29268142.7068423</v>
      </c>
    </row>
    <row r="272" spans="1:18" x14ac:dyDescent="0.3">
      <c r="A272" s="195">
        <v>548</v>
      </c>
      <c r="B272" s="177">
        <v>1001</v>
      </c>
      <c r="C272" s="177" t="s">
        <v>163</v>
      </c>
      <c r="D272" s="201" t="s">
        <v>680</v>
      </c>
      <c r="E272" s="88" t="s">
        <v>1375</v>
      </c>
      <c r="F272" s="88">
        <v>0</v>
      </c>
      <c r="G272" s="88">
        <v>0</v>
      </c>
      <c r="H272" s="88">
        <v>0</v>
      </c>
      <c r="I272" s="88">
        <v>0</v>
      </c>
      <c r="J272" s="88">
        <v>0</v>
      </c>
      <c r="K272" s="88">
        <v>0</v>
      </c>
      <c r="L272" s="88">
        <v>0</v>
      </c>
      <c r="M272" s="88">
        <v>0</v>
      </c>
      <c r="N272" s="88">
        <v>0</v>
      </c>
      <c r="O272" s="88">
        <v>0</v>
      </c>
      <c r="P272" s="88">
        <v>0</v>
      </c>
      <c r="Q272" s="88">
        <v>0</v>
      </c>
      <c r="R272" s="88">
        <v>0</v>
      </c>
    </row>
    <row r="273" spans="1:18" x14ac:dyDescent="0.3">
      <c r="A273" s="195">
        <v>549</v>
      </c>
      <c r="B273" s="177">
        <v>1001</v>
      </c>
      <c r="C273" s="177" t="s">
        <v>163</v>
      </c>
      <c r="D273" s="201" t="s">
        <v>682</v>
      </c>
      <c r="E273" s="88" t="s">
        <v>1376</v>
      </c>
      <c r="F273" s="88">
        <v>688083.74637750001</v>
      </c>
      <c r="G273" s="88">
        <v>711511.15391390002</v>
      </c>
      <c r="H273" s="88">
        <v>722330.98720750003</v>
      </c>
      <c r="I273" s="88">
        <v>667149.37378090003</v>
      </c>
      <c r="J273" s="88">
        <v>804454.56624179997</v>
      </c>
      <c r="K273" s="88">
        <v>683606.78349299997</v>
      </c>
      <c r="L273" s="88">
        <v>1104872.1706619</v>
      </c>
      <c r="M273" s="88">
        <v>664176.20576479996</v>
      </c>
      <c r="N273" s="88">
        <v>765784.58747889998</v>
      </c>
      <c r="O273" s="88">
        <v>808468.59976540005</v>
      </c>
      <c r="P273" s="88">
        <v>845476.45878510003</v>
      </c>
      <c r="Q273" s="88">
        <v>860769.64464359998</v>
      </c>
      <c r="R273" s="88">
        <v>9326684.2781143002</v>
      </c>
    </row>
    <row r="274" spans="1:18" x14ac:dyDescent="0.3">
      <c r="A274" s="195">
        <v>550</v>
      </c>
      <c r="B274" s="177">
        <v>1001</v>
      </c>
      <c r="C274" s="177" t="s">
        <v>163</v>
      </c>
      <c r="D274" s="201" t="s">
        <v>684</v>
      </c>
      <c r="E274" s="88" t="s">
        <v>1377</v>
      </c>
      <c r="F274" s="88">
        <v>0</v>
      </c>
      <c r="G274" s="88">
        <v>0</v>
      </c>
      <c r="H274" s="88">
        <v>0</v>
      </c>
      <c r="I274" s="88">
        <v>0</v>
      </c>
      <c r="J274" s="88">
        <v>0</v>
      </c>
      <c r="K274" s="88">
        <v>0</v>
      </c>
      <c r="L274" s="88">
        <v>0</v>
      </c>
      <c r="M274" s="88">
        <v>0</v>
      </c>
      <c r="N274" s="88">
        <v>0</v>
      </c>
      <c r="O274" s="88">
        <v>0</v>
      </c>
      <c r="P274" s="88">
        <v>0</v>
      </c>
      <c r="Q274" s="88">
        <v>0</v>
      </c>
      <c r="R274" s="88">
        <v>0</v>
      </c>
    </row>
    <row r="275" spans="1:18" x14ac:dyDescent="0.3">
      <c r="A275" s="195">
        <v>551</v>
      </c>
      <c r="B275" s="177">
        <v>1001</v>
      </c>
      <c r="C275" s="177" t="s">
        <v>163</v>
      </c>
      <c r="D275" s="201" t="s">
        <v>686</v>
      </c>
      <c r="E275" s="88" t="s">
        <v>1378</v>
      </c>
      <c r="F275" s="88">
        <v>0</v>
      </c>
      <c r="G275" s="88">
        <v>0</v>
      </c>
      <c r="H275" s="88">
        <v>0</v>
      </c>
      <c r="I275" s="88">
        <v>0</v>
      </c>
      <c r="J275" s="88">
        <v>0</v>
      </c>
      <c r="K275" s="88">
        <v>0</v>
      </c>
      <c r="L275" s="88">
        <v>0</v>
      </c>
      <c r="M275" s="88">
        <v>0</v>
      </c>
      <c r="N275" s="88">
        <v>0</v>
      </c>
      <c r="O275" s="88">
        <v>0</v>
      </c>
      <c r="P275" s="88">
        <v>0</v>
      </c>
      <c r="Q275" s="88">
        <v>0</v>
      </c>
      <c r="R275" s="88">
        <v>0</v>
      </c>
    </row>
    <row r="276" spans="1:18" x14ac:dyDescent="0.3">
      <c r="A276" s="195">
        <v>552</v>
      </c>
      <c r="B276" s="177">
        <v>1001</v>
      </c>
      <c r="C276" s="177" t="s">
        <v>163</v>
      </c>
      <c r="D276" s="201" t="s">
        <v>688</v>
      </c>
      <c r="E276" s="88" t="s">
        <v>1379</v>
      </c>
      <c r="F276" s="88">
        <v>154190.61680039999</v>
      </c>
      <c r="G276" s="88">
        <v>140782.74471130001</v>
      </c>
      <c r="H276" s="88">
        <v>146151.4496807</v>
      </c>
      <c r="I276" s="88">
        <v>158667.89314959999</v>
      </c>
      <c r="J276" s="88">
        <v>163684.0858454</v>
      </c>
      <c r="K276" s="88">
        <v>142333.98431890001</v>
      </c>
      <c r="L276" s="88">
        <v>168389.1782999</v>
      </c>
      <c r="M276" s="88">
        <v>161067.9138593</v>
      </c>
      <c r="N276" s="88">
        <v>153746.6494003</v>
      </c>
      <c r="O276" s="88">
        <v>170585.15825820001</v>
      </c>
      <c r="P276" s="88">
        <v>155751.67468920001</v>
      </c>
      <c r="Q276" s="88">
        <v>163168.41648389999</v>
      </c>
      <c r="R276" s="88">
        <v>1878519.7654971001</v>
      </c>
    </row>
    <row r="277" spans="1:18" x14ac:dyDescent="0.3">
      <c r="A277" s="195">
        <v>553</v>
      </c>
      <c r="B277" s="177">
        <v>1001</v>
      </c>
      <c r="C277" s="177" t="s">
        <v>163</v>
      </c>
      <c r="D277" s="201" t="s">
        <v>690</v>
      </c>
      <c r="E277" s="88" t="s">
        <v>1380</v>
      </c>
      <c r="F277" s="88">
        <v>2275582.2278971998</v>
      </c>
      <c r="G277" s="88">
        <v>2274869.8184423</v>
      </c>
      <c r="H277" s="88">
        <v>3070589.2791726999</v>
      </c>
      <c r="I277" s="88">
        <v>3094688.2244006</v>
      </c>
      <c r="J277" s="88">
        <v>2869238.0601176</v>
      </c>
      <c r="K277" s="88">
        <v>2404850.2729404001</v>
      </c>
      <c r="L277" s="88">
        <v>2425569.4690065999</v>
      </c>
      <c r="M277" s="88">
        <v>2401012.7367933998</v>
      </c>
      <c r="N277" s="88">
        <v>3040130.3027543998</v>
      </c>
      <c r="O277" s="88">
        <v>5049757.5189832002</v>
      </c>
      <c r="P277" s="88">
        <v>5074421.8160448996</v>
      </c>
      <c r="Q277" s="88">
        <v>3260673.7494516</v>
      </c>
      <c r="R277" s="88">
        <v>37241383.476004899</v>
      </c>
    </row>
    <row r="278" spans="1:18" x14ac:dyDescent="0.3">
      <c r="A278" s="195">
        <v>553</v>
      </c>
      <c r="B278" s="177">
        <v>1001</v>
      </c>
      <c r="C278" s="177" t="s">
        <v>163</v>
      </c>
      <c r="D278" s="201" t="s">
        <v>692</v>
      </c>
      <c r="E278" s="88" t="s">
        <v>1381</v>
      </c>
      <c r="F278" s="88">
        <v>0</v>
      </c>
      <c r="G278" s="88">
        <v>0</v>
      </c>
      <c r="H278" s="88">
        <v>0</v>
      </c>
      <c r="I278" s="88">
        <v>0</v>
      </c>
      <c r="J278" s="88">
        <v>0</v>
      </c>
      <c r="K278" s="88">
        <v>0</v>
      </c>
      <c r="L278" s="88">
        <v>0</v>
      </c>
      <c r="M278" s="88">
        <v>0</v>
      </c>
      <c r="N278" s="88">
        <v>0</v>
      </c>
      <c r="O278" s="88">
        <v>0</v>
      </c>
      <c r="P278" s="88">
        <v>0</v>
      </c>
      <c r="Q278" s="88">
        <v>0</v>
      </c>
      <c r="R278" s="88">
        <v>0</v>
      </c>
    </row>
    <row r="279" spans="1:18" x14ac:dyDescent="0.3">
      <c r="A279" s="195">
        <v>554</v>
      </c>
      <c r="B279" s="177">
        <v>1001</v>
      </c>
      <c r="C279" s="177" t="s">
        <v>163</v>
      </c>
      <c r="D279" s="201" t="s">
        <v>694</v>
      </c>
      <c r="E279" s="88" t="s">
        <v>1382</v>
      </c>
      <c r="F279" s="88">
        <v>91385.009312800001</v>
      </c>
      <c r="G279" s="88">
        <v>112036.7509626</v>
      </c>
      <c r="H279" s="88">
        <v>155307.65942899999</v>
      </c>
      <c r="I279" s="88">
        <v>91893.498508799996</v>
      </c>
      <c r="J279" s="88">
        <v>91385.009312800001</v>
      </c>
      <c r="K279" s="88">
        <v>90487.621133499997</v>
      </c>
      <c r="L279" s="88">
        <v>91385.009312800001</v>
      </c>
      <c r="M279" s="88">
        <v>91085.880137999993</v>
      </c>
      <c r="N279" s="88">
        <v>90786.750962599996</v>
      </c>
      <c r="O279" s="88">
        <v>113479.3375871</v>
      </c>
      <c r="P279" s="88">
        <v>155307.65942899999</v>
      </c>
      <c r="Q279" s="88">
        <v>91893.498508799996</v>
      </c>
      <c r="R279" s="88">
        <v>1266433.6845978</v>
      </c>
    </row>
    <row r="280" spans="1:18" x14ac:dyDescent="0.3">
      <c r="A280" s="195">
        <v>555</v>
      </c>
      <c r="B280" s="177">
        <v>1001</v>
      </c>
      <c r="C280" s="177" t="s">
        <v>163</v>
      </c>
      <c r="D280" s="201" t="s">
        <v>696</v>
      </c>
      <c r="E280" s="88" t="s">
        <v>1383</v>
      </c>
      <c r="F280" s="88">
        <v>3864376.6364250001</v>
      </c>
      <c r="G280" s="88">
        <v>3983168.6522621</v>
      </c>
      <c r="H280" s="88">
        <v>1989239.6562014001</v>
      </c>
      <c r="I280" s="88">
        <v>4272180.1007372001</v>
      </c>
      <c r="J280" s="88">
        <v>622037.57177719998</v>
      </c>
      <c r="K280" s="88">
        <v>267668.28000000003</v>
      </c>
      <c r="L280" s="88">
        <v>63859.319890899998</v>
      </c>
      <c r="M280" s="88">
        <v>66494.354080899997</v>
      </c>
      <c r="N280" s="88">
        <v>253418.23410219999</v>
      </c>
      <c r="O280" s="88">
        <v>970591.4039415</v>
      </c>
      <c r="P280" s="88">
        <v>187476.06071280001</v>
      </c>
      <c r="Q280" s="88">
        <v>242744.75343360001</v>
      </c>
      <c r="R280" s="88">
        <v>16783255.023564801</v>
      </c>
    </row>
    <row r="281" spans="1:18" x14ac:dyDescent="0.3">
      <c r="A281" s="195">
        <v>556</v>
      </c>
      <c r="B281" s="177">
        <v>1001</v>
      </c>
      <c r="C281" s="177" t="s">
        <v>163</v>
      </c>
      <c r="D281" s="201" t="s">
        <v>698</v>
      </c>
      <c r="E281" s="88" t="s">
        <v>1384</v>
      </c>
      <c r="F281" s="88">
        <v>-79151.652507100007</v>
      </c>
      <c r="G281" s="88">
        <v>-86814.906188599998</v>
      </c>
      <c r="H281" s="88">
        <v>-86814.906188599998</v>
      </c>
      <c r="I281" s="88">
        <v>-82983.279345000003</v>
      </c>
      <c r="J281" s="88">
        <v>-79151.652507100007</v>
      </c>
      <c r="K281" s="88">
        <v>-84075.105346299999</v>
      </c>
      <c r="L281" s="88">
        <v>-64185.528694200002</v>
      </c>
      <c r="M281" s="88">
        <v>-78589.436596400003</v>
      </c>
      <c r="N281" s="88">
        <v>-85326.669086299997</v>
      </c>
      <c r="O281" s="88">
        <v>-76039.884189599994</v>
      </c>
      <c r="P281" s="88">
        <v>-85326.669086299997</v>
      </c>
      <c r="Q281" s="88">
        <v>-67250.487567999997</v>
      </c>
      <c r="R281" s="88">
        <v>-955710.17730350001</v>
      </c>
    </row>
    <row r="282" spans="1:18" x14ac:dyDescent="0.3">
      <c r="A282" s="195">
        <v>557</v>
      </c>
      <c r="B282" s="177">
        <v>1001</v>
      </c>
      <c r="C282" s="177" t="s">
        <v>163</v>
      </c>
      <c r="D282" s="201" t="s">
        <v>700</v>
      </c>
      <c r="E282" s="88" t="s">
        <v>1385</v>
      </c>
      <c r="F282" s="88">
        <v>0</v>
      </c>
      <c r="G282" s="88">
        <v>0</v>
      </c>
      <c r="H282" s="88">
        <v>0</v>
      </c>
      <c r="I282" s="88">
        <v>0</v>
      </c>
      <c r="J282" s="88">
        <v>0</v>
      </c>
      <c r="K282" s="88">
        <v>0</v>
      </c>
      <c r="L282" s="88">
        <v>0</v>
      </c>
      <c r="M282" s="88">
        <v>0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</row>
    <row r="283" spans="1:18" x14ac:dyDescent="0.3">
      <c r="A283" s="195">
        <v>560</v>
      </c>
      <c r="B283" s="177">
        <v>1001</v>
      </c>
      <c r="C283" s="177" t="s">
        <v>163</v>
      </c>
      <c r="D283" s="201" t="s">
        <v>702</v>
      </c>
      <c r="E283" s="88" t="s">
        <v>1386</v>
      </c>
      <c r="F283" s="88">
        <v>139427.20408729999</v>
      </c>
      <c r="G283" s="88">
        <v>65154.443731699997</v>
      </c>
      <c r="H283" s="88">
        <v>65662.188964800007</v>
      </c>
      <c r="I283" s="88">
        <v>69329.402005099997</v>
      </c>
      <c r="J283" s="88">
        <v>76810.576655099998</v>
      </c>
      <c r="K283" s="88">
        <v>75247.691343600003</v>
      </c>
      <c r="L283" s="88">
        <v>73229.174925400002</v>
      </c>
      <c r="M283" s="88">
        <v>71934.357783700005</v>
      </c>
      <c r="N283" s="88">
        <v>69376.887001900002</v>
      </c>
      <c r="O283" s="88">
        <v>73377.161101200007</v>
      </c>
      <c r="P283" s="88">
        <v>67183.065793300004</v>
      </c>
      <c r="Q283" s="88">
        <v>69603.968353400007</v>
      </c>
      <c r="R283" s="88">
        <v>916336.12174650002</v>
      </c>
    </row>
    <row r="284" spans="1:18" x14ac:dyDescent="0.3">
      <c r="A284" s="195">
        <v>561</v>
      </c>
      <c r="B284" s="177">
        <v>1001</v>
      </c>
      <c r="C284" s="177" t="s">
        <v>163</v>
      </c>
      <c r="D284" s="201" t="s">
        <v>704</v>
      </c>
      <c r="E284" s="88" t="s">
        <v>1387</v>
      </c>
      <c r="F284" s="88">
        <v>0</v>
      </c>
      <c r="G284" s="88">
        <v>0</v>
      </c>
      <c r="H284" s="88">
        <v>0</v>
      </c>
      <c r="I284" s="88">
        <v>0</v>
      </c>
      <c r="J284" s="88">
        <v>0</v>
      </c>
      <c r="K284" s="88">
        <v>0</v>
      </c>
      <c r="L284" s="88">
        <v>0</v>
      </c>
      <c r="M284" s="88">
        <v>0</v>
      </c>
      <c r="N284" s="88">
        <v>0</v>
      </c>
      <c r="O284" s="88">
        <v>0</v>
      </c>
      <c r="P284" s="88">
        <v>0</v>
      </c>
      <c r="Q284" s="88">
        <v>0</v>
      </c>
      <c r="R284" s="88">
        <v>0</v>
      </c>
    </row>
    <row r="285" spans="1:18" x14ac:dyDescent="0.3">
      <c r="A285" s="195">
        <v>561</v>
      </c>
      <c r="B285" s="177">
        <v>1001</v>
      </c>
      <c r="C285" s="177" t="s">
        <v>163</v>
      </c>
      <c r="D285" s="201" t="s">
        <v>706</v>
      </c>
      <c r="E285" s="88" t="s">
        <v>1388</v>
      </c>
      <c r="F285" s="88">
        <v>0</v>
      </c>
      <c r="G285" s="88">
        <v>0</v>
      </c>
      <c r="H285" s="88">
        <v>0</v>
      </c>
      <c r="I285" s="88">
        <v>0</v>
      </c>
      <c r="J285" s="88">
        <v>0</v>
      </c>
      <c r="K285" s="88">
        <v>0</v>
      </c>
      <c r="L285" s="88">
        <v>0</v>
      </c>
      <c r="M285" s="88">
        <v>0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</row>
    <row r="286" spans="1:18" x14ac:dyDescent="0.3">
      <c r="A286" s="195">
        <v>561</v>
      </c>
      <c r="B286" s="177">
        <v>1001</v>
      </c>
      <c r="C286" s="177" t="s">
        <v>163</v>
      </c>
      <c r="D286" s="201" t="s">
        <v>708</v>
      </c>
      <c r="E286" s="88" t="s">
        <v>1389</v>
      </c>
      <c r="F286" s="88">
        <v>191626.9293403</v>
      </c>
      <c r="G286" s="88">
        <v>117803.4131896</v>
      </c>
      <c r="H286" s="88">
        <v>117803.4131896</v>
      </c>
      <c r="I286" s="88">
        <v>124190.1712693</v>
      </c>
      <c r="J286" s="88">
        <v>130576.9293403</v>
      </c>
      <c r="K286" s="88">
        <v>121273.7952432</v>
      </c>
      <c r="L286" s="88">
        <v>153026.11505960001</v>
      </c>
      <c r="M286" s="88">
        <v>130780.9353921</v>
      </c>
      <c r="N286" s="88">
        <v>120035.768843</v>
      </c>
      <c r="O286" s="88">
        <v>135244.58181649999</v>
      </c>
      <c r="P286" s="88">
        <v>120035.768843</v>
      </c>
      <c r="Q286" s="88">
        <v>147789.34893460001</v>
      </c>
      <c r="R286" s="88">
        <v>1610187.1704611001</v>
      </c>
    </row>
    <row r="287" spans="1:18" x14ac:dyDescent="0.3">
      <c r="A287" s="195">
        <v>561</v>
      </c>
      <c r="B287" s="177">
        <v>1001</v>
      </c>
      <c r="C287" s="177" t="s">
        <v>163</v>
      </c>
      <c r="D287" s="201" t="s">
        <v>710</v>
      </c>
      <c r="E287" s="88" t="s">
        <v>1390</v>
      </c>
      <c r="F287" s="88">
        <v>87930.959777399999</v>
      </c>
      <c r="G287" s="88">
        <v>78711.006298699998</v>
      </c>
      <c r="H287" s="88">
        <v>78711.006298699998</v>
      </c>
      <c r="I287" s="88">
        <v>83320.983040599996</v>
      </c>
      <c r="J287" s="88">
        <v>87930.959777399999</v>
      </c>
      <c r="K287" s="88">
        <v>79577.216201699994</v>
      </c>
      <c r="L287" s="88">
        <v>100402.7296215</v>
      </c>
      <c r="M287" s="88">
        <v>86982.518664300005</v>
      </c>
      <c r="N287" s="88">
        <v>79951.203884000002</v>
      </c>
      <c r="O287" s="88">
        <v>90524.100042100006</v>
      </c>
      <c r="P287" s="88">
        <v>79951.203884000002</v>
      </c>
      <c r="Q287" s="88">
        <v>96431.642854599995</v>
      </c>
      <c r="R287" s="88">
        <v>1030425.530345</v>
      </c>
    </row>
    <row r="288" spans="1:18" x14ac:dyDescent="0.3">
      <c r="A288" s="195">
        <v>561</v>
      </c>
      <c r="B288" s="177">
        <v>1001</v>
      </c>
      <c r="C288" s="177" t="s">
        <v>163</v>
      </c>
      <c r="D288" s="201" t="s">
        <v>712</v>
      </c>
      <c r="E288" s="88" t="s">
        <v>1391</v>
      </c>
      <c r="F288" s="88">
        <v>0</v>
      </c>
      <c r="G288" s="88">
        <v>0</v>
      </c>
      <c r="H288" s="88">
        <v>0</v>
      </c>
      <c r="I288" s="88">
        <v>0</v>
      </c>
      <c r="J288" s="88">
        <v>0</v>
      </c>
      <c r="K288" s="88">
        <v>0</v>
      </c>
      <c r="L288" s="88">
        <v>0</v>
      </c>
      <c r="M288" s="88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</row>
    <row r="289" spans="1:18" x14ac:dyDescent="0.3">
      <c r="A289" s="195">
        <v>561</v>
      </c>
      <c r="B289" s="177">
        <v>1001</v>
      </c>
      <c r="C289" s="177" t="s">
        <v>163</v>
      </c>
      <c r="D289" s="201" t="s">
        <v>714</v>
      </c>
      <c r="E289" s="88" t="s">
        <v>1392</v>
      </c>
      <c r="F289" s="88">
        <v>0</v>
      </c>
      <c r="G289" s="88">
        <v>0</v>
      </c>
      <c r="H289" s="88">
        <v>0</v>
      </c>
      <c r="I289" s="88">
        <v>0</v>
      </c>
      <c r="J289" s="88">
        <v>0</v>
      </c>
      <c r="K289" s="88">
        <v>0</v>
      </c>
      <c r="L289" s="88">
        <v>0</v>
      </c>
      <c r="M289" s="88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0</v>
      </c>
    </row>
    <row r="290" spans="1:18" x14ac:dyDescent="0.3">
      <c r="A290" s="195">
        <v>561</v>
      </c>
      <c r="B290" s="177">
        <v>1001</v>
      </c>
      <c r="C290" s="177" t="s">
        <v>163</v>
      </c>
      <c r="D290" s="201" t="s">
        <v>716</v>
      </c>
      <c r="E290" s="88" t="s">
        <v>1393</v>
      </c>
      <c r="F290" s="88">
        <v>0</v>
      </c>
      <c r="G290" s="88">
        <v>0</v>
      </c>
      <c r="H290" s="88">
        <v>0</v>
      </c>
      <c r="I290" s="88">
        <v>0</v>
      </c>
      <c r="J290" s="88">
        <v>0</v>
      </c>
      <c r="K290" s="88">
        <v>0</v>
      </c>
      <c r="L290" s="88">
        <v>0</v>
      </c>
      <c r="M290" s="88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0</v>
      </c>
    </row>
    <row r="291" spans="1:18" x14ac:dyDescent="0.3">
      <c r="A291" s="195">
        <v>561</v>
      </c>
      <c r="B291" s="177">
        <v>1001</v>
      </c>
      <c r="C291" s="177" t="s">
        <v>163</v>
      </c>
      <c r="D291" s="201" t="s">
        <v>718</v>
      </c>
      <c r="E291" s="88" t="s">
        <v>1394</v>
      </c>
      <c r="F291" s="88">
        <v>0</v>
      </c>
      <c r="G291" s="88">
        <v>0</v>
      </c>
      <c r="H291" s="88">
        <v>0</v>
      </c>
      <c r="I291" s="88">
        <v>0</v>
      </c>
      <c r="J291" s="88">
        <v>0</v>
      </c>
      <c r="K291" s="88">
        <v>0</v>
      </c>
      <c r="L291" s="88">
        <v>0</v>
      </c>
      <c r="M291" s="88">
        <v>0</v>
      </c>
      <c r="N291" s="88">
        <v>0</v>
      </c>
      <c r="O291" s="88">
        <v>0</v>
      </c>
      <c r="P291" s="88">
        <v>0</v>
      </c>
      <c r="Q291" s="88">
        <v>0</v>
      </c>
      <c r="R291" s="88">
        <v>0</v>
      </c>
    </row>
    <row r="292" spans="1:18" x14ac:dyDescent="0.3">
      <c r="A292" s="195">
        <v>561</v>
      </c>
      <c r="B292" s="177">
        <v>1001</v>
      </c>
      <c r="C292" s="177" t="s">
        <v>163</v>
      </c>
      <c r="D292" s="201" t="s">
        <v>720</v>
      </c>
      <c r="E292" s="88" t="s">
        <v>1395</v>
      </c>
      <c r="F292" s="88">
        <v>0</v>
      </c>
      <c r="G292" s="88">
        <v>0</v>
      </c>
      <c r="H292" s="88">
        <v>0</v>
      </c>
      <c r="I292" s="88">
        <v>0</v>
      </c>
      <c r="J292" s="88">
        <v>0</v>
      </c>
      <c r="K292" s="88">
        <v>0</v>
      </c>
      <c r="L292" s="88">
        <v>0</v>
      </c>
      <c r="M292" s="88">
        <v>0</v>
      </c>
      <c r="N292" s="88">
        <v>0</v>
      </c>
      <c r="O292" s="88">
        <v>0</v>
      </c>
      <c r="P292" s="88">
        <v>0</v>
      </c>
      <c r="Q292" s="88">
        <v>0</v>
      </c>
      <c r="R292" s="88">
        <v>0</v>
      </c>
    </row>
    <row r="293" spans="1:18" x14ac:dyDescent="0.3">
      <c r="A293" s="195">
        <v>562</v>
      </c>
      <c r="B293" s="177">
        <v>1001</v>
      </c>
      <c r="C293" s="177" t="s">
        <v>163</v>
      </c>
      <c r="D293" s="201" t="s">
        <v>722</v>
      </c>
      <c r="E293" s="88" t="s">
        <v>1396</v>
      </c>
      <c r="F293" s="88">
        <v>141466.17721749999</v>
      </c>
      <c r="G293" s="88">
        <v>130072.86185279999</v>
      </c>
      <c r="H293" s="88">
        <v>130092.5363713</v>
      </c>
      <c r="I293" s="88">
        <v>138626.46491030001</v>
      </c>
      <c r="J293" s="88">
        <v>144477.38216169999</v>
      </c>
      <c r="K293" s="88">
        <v>126984.3483652</v>
      </c>
      <c r="L293" s="88">
        <v>144528.2333473</v>
      </c>
      <c r="M293" s="88">
        <v>138683.03903109999</v>
      </c>
      <c r="N293" s="88">
        <v>132846.36705219999</v>
      </c>
      <c r="O293" s="88">
        <v>144502.53835839999</v>
      </c>
      <c r="P293" s="88">
        <v>132785.18910769999</v>
      </c>
      <c r="Q293" s="88">
        <v>138610.64621790001</v>
      </c>
      <c r="R293" s="88">
        <v>1643675.7839933999</v>
      </c>
    </row>
    <row r="294" spans="1:18" x14ac:dyDescent="0.3">
      <c r="A294" s="195">
        <v>563</v>
      </c>
      <c r="B294" s="177">
        <v>1001</v>
      </c>
      <c r="C294" s="177" t="s">
        <v>163</v>
      </c>
      <c r="D294" s="201" t="s">
        <v>724</v>
      </c>
      <c r="E294" s="88" t="s">
        <v>1397</v>
      </c>
      <c r="F294" s="88">
        <v>28529.584244199999</v>
      </c>
      <c r="G294" s="88">
        <v>28529.584244199999</v>
      </c>
      <c r="H294" s="88">
        <v>28529.584244199999</v>
      </c>
      <c r="I294" s="88">
        <v>28529.584244199999</v>
      </c>
      <c r="J294" s="88">
        <v>28529.584244199999</v>
      </c>
      <c r="K294" s="88">
        <v>149775.7246251</v>
      </c>
      <c r="L294" s="88">
        <v>28529.584244199999</v>
      </c>
      <c r="M294" s="88">
        <v>28529.584244199999</v>
      </c>
      <c r="N294" s="88">
        <v>28529.584244199999</v>
      </c>
      <c r="O294" s="88">
        <v>28529.584244199999</v>
      </c>
      <c r="P294" s="88">
        <v>28529.584244199999</v>
      </c>
      <c r="Q294" s="88">
        <v>28529.584244199999</v>
      </c>
      <c r="R294" s="88">
        <v>463601.1513113</v>
      </c>
    </row>
    <row r="295" spans="1:18" x14ac:dyDescent="0.3">
      <c r="A295" s="195">
        <v>564</v>
      </c>
      <c r="B295" s="177">
        <v>1001</v>
      </c>
      <c r="C295" s="177" t="s">
        <v>163</v>
      </c>
      <c r="D295" s="201" t="s">
        <v>726</v>
      </c>
      <c r="E295" s="88" t="s">
        <v>1398</v>
      </c>
      <c r="F295" s="88">
        <v>0</v>
      </c>
      <c r="G295" s="88">
        <v>0</v>
      </c>
      <c r="H295" s="88">
        <v>0</v>
      </c>
      <c r="I295" s="88">
        <v>0</v>
      </c>
      <c r="J295" s="88">
        <v>0</v>
      </c>
      <c r="K295" s="88">
        <v>0</v>
      </c>
      <c r="L295" s="88">
        <v>0</v>
      </c>
      <c r="M295" s="88">
        <v>0</v>
      </c>
      <c r="N295" s="88">
        <v>0</v>
      </c>
      <c r="O295" s="88">
        <v>0</v>
      </c>
      <c r="P295" s="88">
        <v>0</v>
      </c>
      <c r="Q295" s="88">
        <v>0</v>
      </c>
      <c r="R295" s="88">
        <v>0</v>
      </c>
    </row>
    <row r="296" spans="1:18" x14ac:dyDescent="0.3">
      <c r="A296" s="195">
        <v>565</v>
      </c>
      <c r="B296" s="177">
        <v>1001</v>
      </c>
      <c r="C296" s="177" t="s">
        <v>163</v>
      </c>
      <c r="D296" s="201" t="s">
        <v>728</v>
      </c>
      <c r="E296" s="88" t="s">
        <v>1399</v>
      </c>
      <c r="F296" s="88">
        <v>0</v>
      </c>
      <c r="G296" s="88">
        <v>0</v>
      </c>
      <c r="H296" s="88">
        <v>0</v>
      </c>
      <c r="I296" s="88">
        <v>0</v>
      </c>
      <c r="J296" s="88">
        <v>0</v>
      </c>
      <c r="K296" s="88">
        <v>0</v>
      </c>
      <c r="L296" s="88">
        <v>0</v>
      </c>
      <c r="M296" s="88">
        <v>0</v>
      </c>
      <c r="N296" s="88">
        <v>0</v>
      </c>
      <c r="O296" s="88">
        <v>0</v>
      </c>
      <c r="P296" s="88">
        <v>0</v>
      </c>
      <c r="Q296" s="88">
        <v>0</v>
      </c>
      <c r="R296" s="88">
        <v>0</v>
      </c>
    </row>
    <row r="297" spans="1:18" x14ac:dyDescent="0.3">
      <c r="A297" s="195">
        <v>566</v>
      </c>
      <c r="B297" s="177">
        <v>1001</v>
      </c>
      <c r="C297" s="177" t="s">
        <v>163</v>
      </c>
      <c r="D297" s="201" t="s">
        <v>730</v>
      </c>
      <c r="E297" s="88" t="s">
        <v>1400</v>
      </c>
      <c r="F297" s="88">
        <v>148338.4947485</v>
      </c>
      <c r="G297" s="88">
        <v>138279.25659830001</v>
      </c>
      <c r="H297" s="88">
        <v>174503.46407419999</v>
      </c>
      <c r="I297" s="88">
        <v>151432.1300955</v>
      </c>
      <c r="J297" s="88">
        <v>146725.1698454</v>
      </c>
      <c r="K297" s="88">
        <v>145902.81758629999</v>
      </c>
      <c r="L297" s="88">
        <v>152163.02451729999</v>
      </c>
      <c r="M297" s="88">
        <v>151482.9240649</v>
      </c>
      <c r="N297" s="88">
        <v>140605.6041274</v>
      </c>
      <c r="O297" s="88">
        <v>153403.14762569999</v>
      </c>
      <c r="P297" s="88">
        <v>143218.04822520001</v>
      </c>
      <c r="Q297" s="88">
        <v>155077.61642090001</v>
      </c>
      <c r="R297" s="88">
        <v>1801131.6979296</v>
      </c>
    </row>
    <row r="298" spans="1:18" x14ac:dyDescent="0.3">
      <c r="A298" s="195">
        <v>567</v>
      </c>
      <c r="B298" s="177">
        <v>1001</v>
      </c>
      <c r="C298" s="177" t="s">
        <v>163</v>
      </c>
      <c r="D298" s="201" t="s">
        <v>732</v>
      </c>
      <c r="E298" s="88" t="s">
        <v>1401</v>
      </c>
      <c r="F298" s="88">
        <v>0</v>
      </c>
      <c r="G298" s="88">
        <v>0</v>
      </c>
      <c r="H298" s="88">
        <v>0</v>
      </c>
      <c r="I298" s="88">
        <v>0</v>
      </c>
      <c r="J298" s="88">
        <v>0</v>
      </c>
      <c r="K298" s="88">
        <v>0</v>
      </c>
      <c r="L298" s="88">
        <v>0</v>
      </c>
      <c r="M298" s="88">
        <v>0</v>
      </c>
      <c r="N298" s="88">
        <v>0</v>
      </c>
      <c r="O298" s="88">
        <v>0</v>
      </c>
      <c r="P298" s="88">
        <v>0</v>
      </c>
      <c r="Q298" s="88">
        <v>0</v>
      </c>
      <c r="R298" s="88">
        <v>0</v>
      </c>
    </row>
    <row r="299" spans="1:18" x14ac:dyDescent="0.3">
      <c r="A299" s="195">
        <v>568</v>
      </c>
      <c r="B299" s="177">
        <v>1001</v>
      </c>
      <c r="C299" s="177" t="s">
        <v>163</v>
      </c>
      <c r="D299" s="201" t="s">
        <v>734</v>
      </c>
      <c r="E299" s="88" t="s">
        <v>1402</v>
      </c>
      <c r="F299" s="88">
        <v>0</v>
      </c>
      <c r="G299" s="88">
        <v>0</v>
      </c>
      <c r="H299" s="88">
        <v>0</v>
      </c>
      <c r="I299" s="88">
        <v>0</v>
      </c>
      <c r="J299" s="88">
        <v>0</v>
      </c>
      <c r="K299" s="88">
        <v>0</v>
      </c>
      <c r="L299" s="88">
        <v>0</v>
      </c>
      <c r="M299" s="88">
        <v>0</v>
      </c>
      <c r="N299" s="88">
        <v>0</v>
      </c>
      <c r="O299" s="88">
        <v>0</v>
      </c>
      <c r="P299" s="88">
        <v>0</v>
      </c>
      <c r="Q299" s="88">
        <v>0</v>
      </c>
      <c r="R299" s="88">
        <v>0</v>
      </c>
    </row>
    <row r="300" spans="1:18" x14ac:dyDescent="0.3">
      <c r="A300" s="195">
        <v>569</v>
      </c>
      <c r="B300" s="177">
        <v>1001</v>
      </c>
      <c r="C300" s="177" t="s">
        <v>163</v>
      </c>
      <c r="D300" s="201" t="s">
        <v>736</v>
      </c>
      <c r="E300" s="88" t="s">
        <v>1403</v>
      </c>
      <c r="F300" s="88">
        <v>0</v>
      </c>
      <c r="G300" s="88">
        <v>0</v>
      </c>
      <c r="H300" s="88">
        <v>0</v>
      </c>
      <c r="I300" s="88">
        <v>0</v>
      </c>
      <c r="J300" s="88">
        <v>0</v>
      </c>
      <c r="K300" s="88">
        <v>0</v>
      </c>
      <c r="L300" s="88">
        <v>0</v>
      </c>
      <c r="M300" s="88">
        <v>0</v>
      </c>
      <c r="N300" s="88">
        <v>0</v>
      </c>
      <c r="O300" s="88">
        <v>0</v>
      </c>
      <c r="P300" s="88">
        <v>0</v>
      </c>
      <c r="Q300" s="88">
        <v>0</v>
      </c>
      <c r="R300" s="88">
        <v>0</v>
      </c>
    </row>
    <row r="301" spans="1:18" x14ac:dyDescent="0.3">
      <c r="A301" s="195">
        <v>569</v>
      </c>
      <c r="B301" s="177">
        <v>1001</v>
      </c>
      <c r="C301" s="177" t="s">
        <v>163</v>
      </c>
      <c r="D301" s="201" t="s">
        <v>738</v>
      </c>
      <c r="E301" s="88" t="s">
        <v>1404</v>
      </c>
      <c r="F301" s="88">
        <v>0</v>
      </c>
      <c r="G301" s="88">
        <v>0</v>
      </c>
      <c r="H301" s="88">
        <v>0</v>
      </c>
      <c r="I301" s="88">
        <v>0</v>
      </c>
      <c r="J301" s="88">
        <v>0</v>
      </c>
      <c r="K301" s="88">
        <v>0</v>
      </c>
      <c r="L301" s="88">
        <v>0</v>
      </c>
      <c r="M301" s="88">
        <v>0</v>
      </c>
      <c r="N301" s="88">
        <v>0</v>
      </c>
      <c r="O301" s="88">
        <v>0</v>
      </c>
      <c r="P301" s="88">
        <v>0</v>
      </c>
      <c r="Q301" s="88">
        <v>0</v>
      </c>
      <c r="R301" s="88">
        <v>0</v>
      </c>
    </row>
    <row r="302" spans="1:18" x14ac:dyDescent="0.3">
      <c r="A302" s="195">
        <v>569</v>
      </c>
      <c r="B302" s="177">
        <v>1001</v>
      </c>
      <c r="C302" s="177" t="s">
        <v>163</v>
      </c>
      <c r="D302" s="201" t="s">
        <v>740</v>
      </c>
      <c r="E302" s="88" t="s">
        <v>1405</v>
      </c>
      <c r="F302" s="88">
        <v>155710.1843121</v>
      </c>
      <c r="G302" s="88">
        <v>110596.30012119999</v>
      </c>
      <c r="H302" s="88">
        <v>105563.4129277</v>
      </c>
      <c r="I302" s="88">
        <v>164099.56449310001</v>
      </c>
      <c r="J302" s="88">
        <v>112536.2134882</v>
      </c>
      <c r="K302" s="88">
        <v>113656.6222169</v>
      </c>
      <c r="L302" s="88">
        <v>160191.50554770001</v>
      </c>
      <c r="M302" s="88">
        <v>128192.55439</v>
      </c>
      <c r="N302" s="88">
        <v>119652.507703</v>
      </c>
      <c r="O302" s="88">
        <v>158260.98303629999</v>
      </c>
      <c r="P302" s="88">
        <v>139768.32043409999</v>
      </c>
      <c r="Q302" s="88">
        <v>126439.0699938</v>
      </c>
      <c r="R302" s="88">
        <v>1594667.2386640999</v>
      </c>
    </row>
    <row r="303" spans="1:18" x14ac:dyDescent="0.3">
      <c r="A303" s="195">
        <v>569</v>
      </c>
      <c r="B303" s="177">
        <v>1001</v>
      </c>
      <c r="C303" s="177" t="s">
        <v>163</v>
      </c>
      <c r="D303" s="201" t="s">
        <v>742</v>
      </c>
      <c r="E303" s="88" t="s">
        <v>1406</v>
      </c>
      <c r="F303" s="88">
        <v>23497.173333300001</v>
      </c>
      <c r="G303" s="88">
        <v>23497.173333300001</v>
      </c>
      <c r="H303" s="88">
        <v>23497.173333300001</v>
      </c>
      <c r="I303" s="88">
        <v>23497.173333300001</v>
      </c>
      <c r="J303" s="88">
        <v>24621.373333299998</v>
      </c>
      <c r="K303" s="88">
        <v>23497.173333300001</v>
      </c>
      <c r="L303" s="88">
        <v>23497.173333300001</v>
      </c>
      <c r="M303" s="88">
        <v>25234.573333299999</v>
      </c>
      <c r="N303" s="88">
        <v>23497.173333300001</v>
      </c>
      <c r="O303" s="88">
        <v>23497.173333300001</v>
      </c>
      <c r="P303" s="88">
        <v>25234.573333299999</v>
      </c>
      <c r="Q303" s="88">
        <v>23497.1133333</v>
      </c>
      <c r="R303" s="88">
        <v>286565.01999960002</v>
      </c>
    </row>
    <row r="304" spans="1:18" x14ac:dyDescent="0.3">
      <c r="A304" s="195">
        <v>569</v>
      </c>
      <c r="B304" s="177">
        <v>1001</v>
      </c>
      <c r="C304" s="177" t="s">
        <v>163</v>
      </c>
      <c r="D304" s="201" t="s">
        <v>744</v>
      </c>
      <c r="E304" s="88" t="s">
        <v>1407</v>
      </c>
      <c r="F304" s="88">
        <v>0</v>
      </c>
      <c r="G304" s="88">
        <v>0</v>
      </c>
      <c r="H304" s="88">
        <v>0</v>
      </c>
      <c r="I304" s="88">
        <v>0</v>
      </c>
      <c r="J304" s="88">
        <v>0</v>
      </c>
      <c r="K304" s="88">
        <v>0</v>
      </c>
      <c r="L304" s="88">
        <v>0</v>
      </c>
      <c r="M304" s="88">
        <v>0</v>
      </c>
      <c r="N304" s="88">
        <v>0</v>
      </c>
      <c r="O304" s="88">
        <v>0</v>
      </c>
      <c r="P304" s="88">
        <v>0</v>
      </c>
      <c r="Q304" s="88">
        <v>0</v>
      </c>
      <c r="R304" s="88">
        <v>0</v>
      </c>
    </row>
    <row r="305" spans="1:18" x14ac:dyDescent="0.3">
      <c r="A305" s="195">
        <v>570</v>
      </c>
      <c r="B305" s="177">
        <v>1001</v>
      </c>
      <c r="C305" s="177" t="s">
        <v>163</v>
      </c>
      <c r="D305" s="201" t="s">
        <v>746</v>
      </c>
      <c r="E305" s="88" t="s">
        <v>1408</v>
      </c>
      <c r="F305" s="88">
        <v>104701.92660399999</v>
      </c>
      <c r="G305" s="88">
        <v>98827.387656899999</v>
      </c>
      <c r="H305" s="88">
        <v>98843.418745999996</v>
      </c>
      <c r="I305" s="88">
        <v>103310.61662460001</v>
      </c>
      <c r="J305" s="88">
        <v>106338.0371991</v>
      </c>
      <c r="K305" s="88">
        <v>97304.438359599997</v>
      </c>
      <c r="L305" s="88">
        <v>106379.4714986</v>
      </c>
      <c r="M305" s="88">
        <v>103356.7140563</v>
      </c>
      <c r="N305" s="88">
        <v>100340.9007462</v>
      </c>
      <c r="O305" s="88">
        <v>106358.5348409</v>
      </c>
      <c r="P305" s="88">
        <v>100291.0520506</v>
      </c>
      <c r="Q305" s="88">
        <v>103297.7273197</v>
      </c>
      <c r="R305" s="88">
        <v>1229350.2257025</v>
      </c>
    </row>
    <row r="306" spans="1:18" x14ac:dyDescent="0.3">
      <c r="A306" s="195">
        <v>571</v>
      </c>
      <c r="B306" s="177">
        <v>1001</v>
      </c>
      <c r="C306" s="177" t="s">
        <v>163</v>
      </c>
      <c r="D306" s="201" t="s">
        <v>748</v>
      </c>
      <c r="E306" s="88" t="s">
        <v>1409</v>
      </c>
      <c r="F306" s="88">
        <v>483849.09360770002</v>
      </c>
      <c r="G306" s="88">
        <v>471834.86587039998</v>
      </c>
      <c r="H306" s="88">
        <v>472244.431851</v>
      </c>
      <c r="I306" s="88">
        <v>480966.28327660001</v>
      </c>
      <c r="J306" s="88">
        <v>481711.23368519999</v>
      </c>
      <c r="K306" s="88">
        <v>482952.25690119999</v>
      </c>
      <c r="L306" s="88">
        <v>488104.91742259997</v>
      </c>
      <c r="M306" s="88">
        <v>478542.51845199999</v>
      </c>
      <c r="N306" s="88">
        <v>476041.94389360002</v>
      </c>
      <c r="O306" s="88">
        <v>481226.61590939999</v>
      </c>
      <c r="P306" s="88">
        <v>473339.29108370002</v>
      </c>
      <c r="Q306" s="88">
        <v>486397.86767469998</v>
      </c>
      <c r="R306" s="88">
        <v>5757211.3196280999</v>
      </c>
    </row>
    <row r="307" spans="1:18" x14ac:dyDescent="0.3">
      <c r="A307" s="195">
        <v>572</v>
      </c>
      <c r="B307" s="177">
        <v>1001</v>
      </c>
      <c r="C307" s="177" t="s">
        <v>163</v>
      </c>
      <c r="D307" s="201" t="s">
        <v>750</v>
      </c>
      <c r="E307" s="88" t="s">
        <v>1410</v>
      </c>
      <c r="F307" s="88">
        <v>0</v>
      </c>
      <c r="G307" s="88">
        <v>0</v>
      </c>
      <c r="H307" s="88">
        <v>0</v>
      </c>
      <c r="I307" s="88">
        <v>0</v>
      </c>
      <c r="J307" s="88">
        <v>0</v>
      </c>
      <c r="K307" s="88">
        <v>0</v>
      </c>
      <c r="L307" s="88">
        <v>0</v>
      </c>
      <c r="M307" s="88">
        <v>0</v>
      </c>
      <c r="N307" s="88">
        <v>0</v>
      </c>
      <c r="O307" s="88">
        <v>0</v>
      </c>
      <c r="P307" s="88">
        <v>0</v>
      </c>
      <c r="Q307" s="88">
        <v>0</v>
      </c>
      <c r="R307" s="88">
        <v>0</v>
      </c>
    </row>
    <row r="308" spans="1:18" x14ac:dyDescent="0.3">
      <c r="A308" s="195">
        <v>573</v>
      </c>
      <c r="B308" s="177">
        <v>1001</v>
      </c>
      <c r="C308" s="177" t="s">
        <v>163</v>
      </c>
      <c r="D308" s="201" t="s">
        <v>752</v>
      </c>
      <c r="E308" s="88" t="s">
        <v>1411</v>
      </c>
      <c r="F308" s="88">
        <v>0</v>
      </c>
      <c r="G308" s="88">
        <v>0</v>
      </c>
      <c r="H308" s="88">
        <v>0</v>
      </c>
      <c r="I308" s="88">
        <v>0</v>
      </c>
      <c r="J308" s="88">
        <v>0</v>
      </c>
      <c r="K308" s="88">
        <v>0</v>
      </c>
      <c r="L308" s="88">
        <v>0</v>
      </c>
      <c r="M308" s="88">
        <v>0</v>
      </c>
      <c r="N308" s="88">
        <v>0</v>
      </c>
      <c r="O308" s="88">
        <v>0</v>
      </c>
      <c r="P308" s="88">
        <v>0</v>
      </c>
      <c r="Q308" s="88">
        <v>0</v>
      </c>
      <c r="R308" s="88">
        <v>0</v>
      </c>
    </row>
    <row r="309" spans="1:18" x14ac:dyDescent="0.3">
      <c r="A309" s="195">
        <v>575</v>
      </c>
      <c r="B309" s="177">
        <v>1001</v>
      </c>
      <c r="C309" s="177" t="s">
        <v>163</v>
      </c>
      <c r="D309" s="201" t="s">
        <v>754</v>
      </c>
      <c r="E309" s="88" t="s">
        <v>1412</v>
      </c>
      <c r="F309" s="88">
        <v>0</v>
      </c>
      <c r="G309" s="88">
        <v>0</v>
      </c>
      <c r="H309" s="88">
        <v>0</v>
      </c>
      <c r="I309" s="88">
        <v>0</v>
      </c>
      <c r="J309" s="88">
        <v>0</v>
      </c>
      <c r="K309" s="88">
        <v>0</v>
      </c>
      <c r="L309" s="88">
        <v>0</v>
      </c>
      <c r="M309" s="88">
        <v>0</v>
      </c>
      <c r="N309" s="88">
        <v>0</v>
      </c>
      <c r="O309" s="88">
        <v>0</v>
      </c>
      <c r="P309" s="88">
        <v>0</v>
      </c>
      <c r="Q309" s="88">
        <v>0</v>
      </c>
      <c r="R309" s="88">
        <v>0</v>
      </c>
    </row>
    <row r="310" spans="1:18" x14ac:dyDescent="0.3">
      <c r="A310" s="195">
        <v>575</v>
      </c>
      <c r="B310" s="177">
        <v>1001</v>
      </c>
      <c r="C310" s="177" t="s">
        <v>163</v>
      </c>
      <c r="D310" s="201" t="s">
        <v>756</v>
      </c>
      <c r="E310" s="88" t="s">
        <v>1413</v>
      </c>
      <c r="F310" s="88">
        <v>0</v>
      </c>
      <c r="G310" s="88">
        <v>0</v>
      </c>
      <c r="H310" s="88">
        <v>0</v>
      </c>
      <c r="I310" s="88">
        <v>0</v>
      </c>
      <c r="J310" s="88">
        <v>0</v>
      </c>
      <c r="K310" s="88">
        <v>0</v>
      </c>
      <c r="L310" s="88">
        <v>0</v>
      </c>
      <c r="M310" s="88">
        <v>0</v>
      </c>
      <c r="N310" s="88">
        <v>0</v>
      </c>
      <c r="O310" s="88">
        <v>0</v>
      </c>
      <c r="P310" s="88">
        <v>0</v>
      </c>
      <c r="Q310" s="88">
        <v>0</v>
      </c>
      <c r="R310" s="88">
        <v>0</v>
      </c>
    </row>
    <row r="311" spans="1:18" x14ac:dyDescent="0.3">
      <c r="A311" s="195">
        <v>575</v>
      </c>
      <c r="B311" s="177">
        <v>1001</v>
      </c>
      <c r="C311" s="177" t="s">
        <v>163</v>
      </c>
      <c r="D311" s="201" t="s">
        <v>758</v>
      </c>
      <c r="E311" s="88" t="s">
        <v>1414</v>
      </c>
      <c r="F311" s="88">
        <v>0</v>
      </c>
      <c r="G311" s="88">
        <v>0</v>
      </c>
      <c r="H311" s="88">
        <v>0</v>
      </c>
      <c r="I311" s="88">
        <v>0</v>
      </c>
      <c r="J311" s="88">
        <v>0</v>
      </c>
      <c r="K311" s="88">
        <v>0</v>
      </c>
      <c r="L311" s="88">
        <v>0</v>
      </c>
      <c r="M311" s="88">
        <v>0</v>
      </c>
      <c r="N311" s="88">
        <v>0</v>
      </c>
      <c r="O311" s="88">
        <v>0</v>
      </c>
      <c r="P311" s="88">
        <v>0</v>
      </c>
      <c r="Q311" s="88">
        <v>0</v>
      </c>
      <c r="R311" s="88">
        <v>0</v>
      </c>
    </row>
    <row r="312" spans="1:18" x14ac:dyDescent="0.3">
      <c r="A312" s="195">
        <v>575</v>
      </c>
      <c r="B312" s="177">
        <v>1001</v>
      </c>
      <c r="C312" s="177" t="s">
        <v>163</v>
      </c>
      <c r="D312" s="201" t="s">
        <v>760</v>
      </c>
      <c r="E312" s="88" t="s">
        <v>1415</v>
      </c>
      <c r="F312" s="88">
        <v>0</v>
      </c>
      <c r="G312" s="88">
        <v>0</v>
      </c>
      <c r="H312" s="88">
        <v>0</v>
      </c>
      <c r="I312" s="88">
        <v>0</v>
      </c>
      <c r="J312" s="88">
        <v>0</v>
      </c>
      <c r="K312" s="88">
        <v>0</v>
      </c>
      <c r="L312" s="88">
        <v>0</v>
      </c>
      <c r="M312" s="88">
        <v>0</v>
      </c>
      <c r="N312" s="88">
        <v>0</v>
      </c>
      <c r="O312" s="88">
        <v>0</v>
      </c>
      <c r="P312" s="88">
        <v>0</v>
      </c>
      <c r="Q312" s="88">
        <v>0</v>
      </c>
      <c r="R312" s="88">
        <v>0</v>
      </c>
    </row>
    <row r="313" spans="1:18" x14ac:dyDescent="0.3">
      <c r="A313" s="195">
        <v>575</v>
      </c>
      <c r="B313" s="177">
        <v>1001</v>
      </c>
      <c r="C313" s="177" t="s">
        <v>163</v>
      </c>
      <c r="D313" s="201" t="s">
        <v>762</v>
      </c>
      <c r="E313" s="88" t="s">
        <v>1416</v>
      </c>
      <c r="F313" s="88">
        <v>0</v>
      </c>
      <c r="G313" s="88">
        <v>0</v>
      </c>
      <c r="H313" s="88">
        <v>0</v>
      </c>
      <c r="I313" s="88">
        <v>0</v>
      </c>
      <c r="J313" s="88">
        <v>0</v>
      </c>
      <c r="K313" s="88">
        <v>0</v>
      </c>
      <c r="L313" s="88">
        <v>0</v>
      </c>
      <c r="M313" s="88">
        <v>0</v>
      </c>
      <c r="N313" s="88">
        <v>0</v>
      </c>
      <c r="O313" s="88">
        <v>0</v>
      </c>
      <c r="P313" s="88">
        <v>0</v>
      </c>
      <c r="Q313" s="88">
        <v>0</v>
      </c>
      <c r="R313" s="88">
        <v>0</v>
      </c>
    </row>
    <row r="314" spans="1:18" x14ac:dyDescent="0.3">
      <c r="A314" s="195">
        <v>575</v>
      </c>
      <c r="B314" s="177">
        <v>1001</v>
      </c>
      <c r="C314" s="177" t="s">
        <v>163</v>
      </c>
      <c r="D314" s="201" t="s">
        <v>764</v>
      </c>
      <c r="E314" s="88" t="s">
        <v>1417</v>
      </c>
      <c r="F314" s="88">
        <v>0</v>
      </c>
      <c r="G314" s="88">
        <v>0</v>
      </c>
      <c r="H314" s="88">
        <v>0</v>
      </c>
      <c r="I314" s="88">
        <v>0</v>
      </c>
      <c r="J314" s="88">
        <v>0</v>
      </c>
      <c r="K314" s="88">
        <v>0</v>
      </c>
      <c r="L314" s="88">
        <v>0</v>
      </c>
      <c r="M314" s="88">
        <v>0</v>
      </c>
      <c r="N314" s="88">
        <v>0</v>
      </c>
      <c r="O314" s="88">
        <v>0</v>
      </c>
      <c r="P314" s="88">
        <v>0</v>
      </c>
      <c r="Q314" s="88">
        <v>0</v>
      </c>
      <c r="R314" s="88">
        <v>0</v>
      </c>
    </row>
    <row r="315" spans="1:18" x14ac:dyDescent="0.3">
      <c r="A315" s="195">
        <v>575</v>
      </c>
      <c r="B315" s="177">
        <v>1001</v>
      </c>
      <c r="C315" s="177" t="s">
        <v>163</v>
      </c>
      <c r="D315" s="201" t="s">
        <v>766</v>
      </c>
      <c r="E315" s="88" t="s">
        <v>1418</v>
      </c>
      <c r="F315" s="88">
        <v>0</v>
      </c>
      <c r="G315" s="88">
        <v>0</v>
      </c>
      <c r="H315" s="88">
        <v>0</v>
      </c>
      <c r="I315" s="88">
        <v>0</v>
      </c>
      <c r="J315" s="88">
        <v>0</v>
      </c>
      <c r="K315" s="88">
        <v>0</v>
      </c>
      <c r="L315" s="88">
        <v>0</v>
      </c>
      <c r="M315" s="88">
        <v>0</v>
      </c>
      <c r="N315" s="88">
        <v>0</v>
      </c>
      <c r="O315" s="88">
        <v>0</v>
      </c>
      <c r="P315" s="88">
        <v>0</v>
      </c>
      <c r="Q315" s="88">
        <v>0</v>
      </c>
      <c r="R315" s="88">
        <v>0</v>
      </c>
    </row>
    <row r="316" spans="1:18" x14ac:dyDescent="0.3">
      <c r="A316" s="195">
        <v>575</v>
      </c>
      <c r="B316" s="177">
        <v>1001</v>
      </c>
      <c r="C316" s="177" t="s">
        <v>163</v>
      </c>
      <c r="D316" s="201" t="s">
        <v>768</v>
      </c>
      <c r="E316" s="88" t="s">
        <v>1419</v>
      </c>
      <c r="F316" s="88">
        <v>0</v>
      </c>
      <c r="G316" s="88">
        <v>0</v>
      </c>
      <c r="H316" s="88">
        <v>0</v>
      </c>
      <c r="I316" s="88">
        <v>0</v>
      </c>
      <c r="J316" s="88">
        <v>0</v>
      </c>
      <c r="K316" s="88">
        <v>0</v>
      </c>
      <c r="L316" s="88">
        <v>0</v>
      </c>
      <c r="M316" s="88">
        <v>0</v>
      </c>
      <c r="N316" s="88">
        <v>0</v>
      </c>
      <c r="O316" s="88">
        <v>0</v>
      </c>
      <c r="P316" s="88">
        <v>0</v>
      </c>
      <c r="Q316" s="88">
        <v>0</v>
      </c>
      <c r="R316" s="88">
        <v>0</v>
      </c>
    </row>
    <row r="317" spans="1:18" x14ac:dyDescent="0.3">
      <c r="A317" s="195">
        <v>576</v>
      </c>
      <c r="B317" s="177">
        <v>1001</v>
      </c>
      <c r="C317" s="177" t="s">
        <v>163</v>
      </c>
      <c r="D317" s="201" t="s">
        <v>770</v>
      </c>
      <c r="E317" s="88" t="s">
        <v>1420</v>
      </c>
      <c r="F317" s="88">
        <v>0</v>
      </c>
      <c r="G317" s="88">
        <v>0</v>
      </c>
      <c r="H317" s="88">
        <v>0</v>
      </c>
      <c r="I317" s="88">
        <v>0</v>
      </c>
      <c r="J317" s="88">
        <v>0</v>
      </c>
      <c r="K317" s="88">
        <v>0</v>
      </c>
      <c r="L317" s="88">
        <v>0</v>
      </c>
      <c r="M317" s="88">
        <v>0</v>
      </c>
      <c r="N317" s="88">
        <v>0</v>
      </c>
      <c r="O317" s="88">
        <v>0</v>
      </c>
      <c r="P317" s="88">
        <v>0</v>
      </c>
      <c r="Q317" s="88">
        <v>0</v>
      </c>
      <c r="R317" s="88">
        <v>0</v>
      </c>
    </row>
    <row r="318" spans="1:18" x14ac:dyDescent="0.3">
      <c r="A318" s="195">
        <v>576</v>
      </c>
      <c r="B318" s="177">
        <v>1001</v>
      </c>
      <c r="C318" s="177" t="s">
        <v>163</v>
      </c>
      <c r="D318" s="201" t="s">
        <v>772</v>
      </c>
      <c r="E318" s="88" t="s">
        <v>1421</v>
      </c>
      <c r="F318" s="88">
        <v>0</v>
      </c>
      <c r="G318" s="88">
        <v>0</v>
      </c>
      <c r="H318" s="88">
        <v>0</v>
      </c>
      <c r="I318" s="88">
        <v>0</v>
      </c>
      <c r="J318" s="88">
        <v>0</v>
      </c>
      <c r="K318" s="88">
        <v>0</v>
      </c>
      <c r="L318" s="88">
        <v>0</v>
      </c>
      <c r="M318" s="88">
        <v>0</v>
      </c>
      <c r="N318" s="88">
        <v>0</v>
      </c>
      <c r="O318" s="88">
        <v>0</v>
      </c>
      <c r="P318" s="88">
        <v>0</v>
      </c>
      <c r="Q318" s="88">
        <v>0</v>
      </c>
      <c r="R318" s="88">
        <v>0</v>
      </c>
    </row>
    <row r="319" spans="1:18" x14ac:dyDescent="0.3">
      <c r="A319" s="195">
        <v>576</v>
      </c>
      <c r="B319" s="177">
        <v>1001</v>
      </c>
      <c r="C319" s="177" t="s">
        <v>163</v>
      </c>
      <c r="D319" s="201" t="s">
        <v>774</v>
      </c>
      <c r="E319" s="88" t="s">
        <v>1422</v>
      </c>
      <c r="F319" s="88">
        <v>0</v>
      </c>
      <c r="G319" s="88">
        <v>0</v>
      </c>
      <c r="H319" s="88">
        <v>0</v>
      </c>
      <c r="I319" s="88">
        <v>0</v>
      </c>
      <c r="J319" s="88">
        <v>0</v>
      </c>
      <c r="K319" s="88">
        <v>0</v>
      </c>
      <c r="L319" s="88">
        <v>0</v>
      </c>
      <c r="M319" s="88">
        <v>0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</row>
    <row r="320" spans="1:18" x14ac:dyDescent="0.3">
      <c r="A320" s="195">
        <v>576</v>
      </c>
      <c r="B320" s="177">
        <v>1001</v>
      </c>
      <c r="C320" s="177" t="s">
        <v>163</v>
      </c>
      <c r="D320" s="201" t="s">
        <v>776</v>
      </c>
      <c r="E320" s="88" t="s">
        <v>1423</v>
      </c>
      <c r="F320" s="88">
        <v>0</v>
      </c>
      <c r="G320" s="88">
        <v>0</v>
      </c>
      <c r="H320" s="88">
        <v>0</v>
      </c>
      <c r="I320" s="88">
        <v>0</v>
      </c>
      <c r="J320" s="88">
        <v>0</v>
      </c>
      <c r="K320" s="88">
        <v>0</v>
      </c>
      <c r="L320" s="88">
        <v>0</v>
      </c>
      <c r="M320" s="88">
        <v>0</v>
      </c>
      <c r="N320" s="88">
        <v>0</v>
      </c>
      <c r="O320" s="88">
        <v>0</v>
      </c>
      <c r="P320" s="88">
        <v>0</v>
      </c>
      <c r="Q320" s="88">
        <v>0</v>
      </c>
      <c r="R320" s="88">
        <v>0</v>
      </c>
    </row>
    <row r="321" spans="1:18" x14ac:dyDescent="0.3">
      <c r="A321" s="195">
        <v>576</v>
      </c>
      <c r="B321" s="177">
        <v>1001</v>
      </c>
      <c r="C321" s="177" t="s">
        <v>163</v>
      </c>
      <c r="D321" s="201" t="s">
        <v>778</v>
      </c>
      <c r="E321" s="88" t="s">
        <v>1424</v>
      </c>
      <c r="F321" s="88">
        <v>0</v>
      </c>
      <c r="G321" s="88">
        <v>0</v>
      </c>
      <c r="H321" s="88">
        <v>0</v>
      </c>
      <c r="I321" s="88">
        <v>0</v>
      </c>
      <c r="J321" s="88">
        <v>0</v>
      </c>
      <c r="K321" s="88">
        <v>0</v>
      </c>
      <c r="L321" s="88">
        <v>0</v>
      </c>
      <c r="M321" s="88">
        <v>0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</row>
    <row r="322" spans="1:18" x14ac:dyDescent="0.3">
      <c r="A322" s="195">
        <v>580</v>
      </c>
      <c r="B322" s="177">
        <v>1001</v>
      </c>
      <c r="C322" s="177" t="s">
        <v>163</v>
      </c>
      <c r="D322" s="201" t="s">
        <v>780</v>
      </c>
      <c r="E322" s="88" t="s">
        <v>1425</v>
      </c>
      <c r="F322" s="88">
        <v>133287.53946170001</v>
      </c>
      <c r="G322" s="88">
        <v>126201.0765082</v>
      </c>
      <c r="H322" s="88">
        <v>126963.2221705</v>
      </c>
      <c r="I322" s="88">
        <v>131526.146362</v>
      </c>
      <c r="J322" s="88">
        <v>134977.52064530001</v>
      </c>
      <c r="K322" s="88">
        <v>124295.8823475</v>
      </c>
      <c r="L322" s="88">
        <v>135478.11803320001</v>
      </c>
      <c r="M322" s="88">
        <v>132144.28693160001</v>
      </c>
      <c r="N322" s="88">
        <v>128989.58265700001</v>
      </c>
      <c r="O322" s="88">
        <v>135501.23242769999</v>
      </c>
      <c r="P322" s="88">
        <v>128007.6804188</v>
      </c>
      <c r="Q322" s="88">
        <v>131419.5780377</v>
      </c>
      <c r="R322" s="88">
        <v>1568791.8660011999</v>
      </c>
    </row>
    <row r="323" spans="1:18" x14ac:dyDescent="0.3">
      <c r="A323" s="195">
        <v>581</v>
      </c>
      <c r="B323" s="177">
        <v>1001</v>
      </c>
      <c r="C323" s="177" t="s">
        <v>163</v>
      </c>
      <c r="D323" s="201" t="s">
        <v>782</v>
      </c>
      <c r="E323" s="88" t="s">
        <v>1426</v>
      </c>
      <c r="F323" s="88">
        <v>81234.544089799994</v>
      </c>
      <c r="G323" s="88">
        <v>81917.912625099998</v>
      </c>
      <c r="H323" s="88">
        <v>87519.912625099998</v>
      </c>
      <c r="I323" s="88">
        <v>91712.767577999999</v>
      </c>
      <c r="J323" s="88">
        <v>94094.577739600005</v>
      </c>
      <c r="K323" s="88">
        <v>92169.022455900005</v>
      </c>
      <c r="L323" s="88">
        <v>105755.0860289</v>
      </c>
      <c r="M323" s="88">
        <v>114671.96950609999</v>
      </c>
      <c r="N323" s="88">
        <v>112613.3336272</v>
      </c>
      <c r="O323" s="88">
        <v>116990.2371692</v>
      </c>
      <c r="P323" s="88">
        <v>100521.4803481</v>
      </c>
      <c r="Q323" s="88">
        <v>102889.03912489999</v>
      </c>
      <c r="R323" s="88">
        <v>1182089.8829179001</v>
      </c>
    </row>
    <row r="324" spans="1:18" x14ac:dyDescent="0.3">
      <c r="A324" s="195">
        <v>581</v>
      </c>
      <c r="B324" s="177">
        <v>1001</v>
      </c>
      <c r="C324" s="177" t="s">
        <v>163</v>
      </c>
      <c r="D324" s="201" t="s">
        <v>784</v>
      </c>
      <c r="E324" s="88" t="s">
        <v>1427</v>
      </c>
      <c r="F324" s="88">
        <v>0</v>
      </c>
      <c r="G324" s="88">
        <v>0</v>
      </c>
      <c r="H324" s="88">
        <v>0</v>
      </c>
      <c r="I324" s="88">
        <v>0</v>
      </c>
      <c r="J324" s="88">
        <v>0</v>
      </c>
      <c r="K324" s="88">
        <v>0</v>
      </c>
      <c r="L324" s="88">
        <v>0</v>
      </c>
      <c r="M324" s="88">
        <v>0</v>
      </c>
      <c r="N324" s="88">
        <v>0</v>
      </c>
      <c r="O324" s="88">
        <v>0</v>
      </c>
      <c r="P324" s="88">
        <v>0</v>
      </c>
      <c r="Q324" s="88">
        <v>0</v>
      </c>
      <c r="R324" s="88">
        <v>0</v>
      </c>
    </row>
    <row r="325" spans="1:18" x14ac:dyDescent="0.3">
      <c r="A325" s="195">
        <v>582</v>
      </c>
      <c r="B325" s="177">
        <v>1001</v>
      </c>
      <c r="C325" s="177" t="s">
        <v>163</v>
      </c>
      <c r="D325" s="201" t="s">
        <v>786</v>
      </c>
      <c r="E325" s="88" t="s">
        <v>1428</v>
      </c>
      <c r="F325" s="88">
        <v>100542.45959280001</v>
      </c>
      <c r="G325" s="88">
        <v>81206.438401199994</v>
      </c>
      <c r="H325" s="88">
        <v>81252.903695400004</v>
      </c>
      <c r="I325" s="88">
        <v>86476.592394099993</v>
      </c>
      <c r="J325" s="88">
        <v>91172.852441199997</v>
      </c>
      <c r="K325" s="88">
        <v>77089.134895399999</v>
      </c>
      <c r="L325" s="88">
        <v>91187.8793592</v>
      </c>
      <c r="M325" s="88">
        <v>86496.599162500002</v>
      </c>
      <c r="N325" s="88">
        <v>81807.700479199993</v>
      </c>
      <c r="O325" s="88">
        <v>91178.310422099996</v>
      </c>
      <c r="P325" s="88">
        <v>81780.851710100003</v>
      </c>
      <c r="Q325" s="88">
        <v>86470.763209600002</v>
      </c>
      <c r="R325" s="88">
        <v>1036662.4857628</v>
      </c>
    </row>
    <row r="326" spans="1:18" x14ac:dyDescent="0.3">
      <c r="A326" s="195">
        <v>583</v>
      </c>
      <c r="B326" s="177">
        <v>1001</v>
      </c>
      <c r="C326" s="177" t="s">
        <v>163</v>
      </c>
      <c r="D326" s="201" t="s">
        <v>788</v>
      </c>
      <c r="E326" s="88" t="s">
        <v>1429</v>
      </c>
      <c r="F326" s="88">
        <v>638933.57002960006</v>
      </c>
      <c r="G326" s="88">
        <v>668076.03453860001</v>
      </c>
      <c r="H326" s="88">
        <v>676133.71900579997</v>
      </c>
      <c r="I326" s="88">
        <v>689980.49572160002</v>
      </c>
      <c r="J326" s="88">
        <v>692023.57651389996</v>
      </c>
      <c r="K326" s="88">
        <v>640004.27597459999</v>
      </c>
      <c r="L326" s="88">
        <v>691007.12328399997</v>
      </c>
      <c r="M326" s="88">
        <v>700267.98230969999</v>
      </c>
      <c r="N326" s="88">
        <v>679711.34690030001</v>
      </c>
      <c r="O326" s="88">
        <v>713561.3183091</v>
      </c>
      <c r="P326" s="88">
        <v>656601.3224838</v>
      </c>
      <c r="Q326" s="88">
        <v>676633.89161149994</v>
      </c>
      <c r="R326" s="88">
        <v>8122934.6566824997</v>
      </c>
    </row>
    <row r="327" spans="1:18" x14ac:dyDescent="0.3">
      <c r="A327" s="195">
        <v>584</v>
      </c>
      <c r="B327" s="177">
        <v>1001</v>
      </c>
      <c r="C327" s="177" t="s">
        <v>163</v>
      </c>
      <c r="D327" s="201" t="s">
        <v>790</v>
      </c>
      <c r="E327" s="88" t="s">
        <v>1430</v>
      </c>
      <c r="F327" s="88">
        <v>75111.604153699998</v>
      </c>
      <c r="G327" s="88">
        <v>70110.902894300001</v>
      </c>
      <c r="H327" s="88">
        <v>71176.902894300001</v>
      </c>
      <c r="I327" s="88">
        <v>74210.753529199996</v>
      </c>
      <c r="J327" s="88">
        <v>77244.604153699998</v>
      </c>
      <c r="K327" s="88">
        <v>69210.045643899997</v>
      </c>
      <c r="L327" s="88">
        <v>79378.604153699998</v>
      </c>
      <c r="M327" s="88">
        <v>78477.753529199996</v>
      </c>
      <c r="N327" s="88">
        <v>75443.902894300001</v>
      </c>
      <c r="O327" s="88">
        <v>81511.604153699998</v>
      </c>
      <c r="P327" s="88">
        <v>73310.902894300001</v>
      </c>
      <c r="Q327" s="88">
        <v>76344.753529199996</v>
      </c>
      <c r="R327" s="88">
        <v>901532.3344235</v>
      </c>
    </row>
    <row r="328" spans="1:18" x14ac:dyDescent="0.3">
      <c r="A328" s="195">
        <v>585</v>
      </c>
      <c r="B328" s="177">
        <v>1001</v>
      </c>
      <c r="C328" s="177" t="s">
        <v>163</v>
      </c>
      <c r="D328" s="201" t="s">
        <v>792</v>
      </c>
      <c r="E328" s="88" t="s">
        <v>1431</v>
      </c>
      <c r="F328" s="88">
        <v>160028.90583090001</v>
      </c>
      <c r="G328" s="88">
        <v>146906.96835849999</v>
      </c>
      <c r="H328" s="88">
        <v>154906.96835849999</v>
      </c>
      <c r="I328" s="88">
        <v>154924.13378140001</v>
      </c>
      <c r="J328" s="88">
        <v>161551.2932438</v>
      </c>
      <c r="K328" s="88">
        <v>141669.80039700001</v>
      </c>
      <c r="L328" s="88">
        <v>161551.2932438</v>
      </c>
      <c r="M328" s="88">
        <v>162924.13378140001</v>
      </c>
      <c r="N328" s="88">
        <v>148296.97432879999</v>
      </c>
      <c r="O328" s="88">
        <v>161551.2932438</v>
      </c>
      <c r="P328" s="88">
        <v>148296.97432879999</v>
      </c>
      <c r="Q328" s="88">
        <v>154924.13378140001</v>
      </c>
      <c r="R328" s="88">
        <v>1857532.8726780999</v>
      </c>
    </row>
    <row r="329" spans="1:18" x14ac:dyDescent="0.3">
      <c r="A329" s="195">
        <v>586</v>
      </c>
      <c r="B329" s="177">
        <v>1001</v>
      </c>
      <c r="C329" s="177" t="s">
        <v>163</v>
      </c>
      <c r="D329" s="201" t="s">
        <v>794</v>
      </c>
      <c r="E329" s="88" t="s">
        <v>1432</v>
      </c>
      <c r="F329" s="88">
        <v>458382.3919245</v>
      </c>
      <c r="G329" s="88">
        <v>430484.14251859998</v>
      </c>
      <c r="H329" s="88">
        <v>438983.78021250002</v>
      </c>
      <c r="I329" s="88">
        <v>463499.78789049998</v>
      </c>
      <c r="J329" s="88">
        <v>480666.68077949999</v>
      </c>
      <c r="K329" s="88">
        <v>437453.45960110001</v>
      </c>
      <c r="L329" s="88">
        <v>492868.03449950001</v>
      </c>
      <c r="M329" s="88">
        <v>487509.79531750001</v>
      </c>
      <c r="N329" s="88">
        <v>473414.05925699999</v>
      </c>
      <c r="O329" s="88">
        <v>504120.90806540003</v>
      </c>
      <c r="P329" s="88">
        <v>457828.667075</v>
      </c>
      <c r="Q329" s="88">
        <v>478670.4782141</v>
      </c>
      <c r="R329" s="88">
        <v>5603882.1853552004</v>
      </c>
    </row>
    <row r="330" spans="1:18" x14ac:dyDescent="0.3">
      <c r="A330" s="195">
        <v>587</v>
      </c>
      <c r="B330" s="177">
        <v>1001</v>
      </c>
      <c r="C330" s="177" t="s">
        <v>163</v>
      </c>
      <c r="D330" s="201" t="s">
        <v>796</v>
      </c>
      <c r="E330" s="88" t="s">
        <v>1433</v>
      </c>
      <c r="F330" s="88">
        <v>0</v>
      </c>
      <c r="G330" s="88">
        <v>0</v>
      </c>
      <c r="H330" s="88">
        <v>0</v>
      </c>
      <c r="I330" s="88">
        <v>0</v>
      </c>
      <c r="J330" s="88">
        <v>0</v>
      </c>
      <c r="K330" s="88">
        <v>0</v>
      </c>
      <c r="L330" s="88">
        <v>0</v>
      </c>
      <c r="M330" s="88">
        <v>0</v>
      </c>
      <c r="N330" s="88">
        <v>0</v>
      </c>
      <c r="O330" s="88">
        <v>0</v>
      </c>
      <c r="P330" s="88">
        <v>0</v>
      </c>
      <c r="Q330" s="88">
        <v>0</v>
      </c>
      <c r="R330" s="88">
        <v>0</v>
      </c>
    </row>
    <row r="331" spans="1:18" x14ac:dyDescent="0.3">
      <c r="A331" s="195">
        <v>588</v>
      </c>
      <c r="B331" s="177">
        <v>1001</v>
      </c>
      <c r="C331" s="177" t="s">
        <v>163</v>
      </c>
      <c r="D331" s="201" t="s">
        <v>798</v>
      </c>
      <c r="E331" s="88" t="s">
        <v>1434</v>
      </c>
      <c r="F331" s="88">
        <v>1082599.5589071</v>
      </c>
      <c r="G331" s="88">
        <v>979091.28240449994</v>
      </c>
      <c r="H331" s="88">
        <v>978957.28678069997</v>
      </c>
      <c r="I331" s="88">
        <v>1072443.3139444001</v>
      </c>
      <c r="J331" s="88">
        <v>1049762.9760231001</v>
      </c>
      <c r="K331" s="88">
        <v>980842.26669049996</v>
      </c>
      <c r="L331" s="88">
        <v>1128506.4450016001</v>
      </c>
      <c r="M331" s="88">
        <v>1057846.8467166999</v>
      </c>
      <c r="N331" s="88">
        <v>1013751.7837584</v>
      </c>
      <c r="O331" s="88">
        <v>1114781.9457065</v>
      </c>
      <c r="P331" s="88">
        <v>1026469.4855579</v>
      </c>
      <c r="Q331" s="88">
        <v>1047835.5980795</v>
      </c>
      <c r="R331" s="88">
        <v>12532888.7895709</v>
      </c>
    </row>
    <row r="332" spans="1:18" x14ac:dyDescent="0.3">
      <c r="A332" s="195">
        <v>589</v>
      </c>
      <c r="B332" s="177">
        <v>1001</v>
      </c>
      <c r="C332" s="177" t="s">
        <v>163</v>
      </c>
      <c r="D332" s="201" t="s">
        <v>800</v>
      </c>
      <c r="E332" s="88" t="s">
        <v>1435</v>
      </c>
      <c r="F332" s="88">
        <v>31417</v>
      </c>
      <c r="G332" s="88">
        <v>31417</v>
      </c>
      <c r="H332" s="88">
        <v>31417</v>
      </c>
      <c r="I332" s="88">
        <v>31417</v>
      </c>
      <c r="J332" s="88">
        <v>31417</v>
      </c>
      <c r="K332" s="88">
        <v>31417</v>
      </c>
      <c r="L332" s="88">
        <v>31417</v>
      </c>
      <c r="M332" s="88">
        <v>31417</v>
      </c>
      <c r="N332" s="88">
        <v>31417</v>
      </c>
      <c r="O332" s="88">
        <v>31417</v>
      </c>
      <c r="P332" s="88">
        <v>31417</v>
      </c>
      <c r="Q332" s="88">
        <v>31417</v>
      </c>
      <c r="R332" s="88">
        <v>377004</v>
      </c>
    </row>
    <row r="333" spans="1:18" x14ac:dyDescent="0.3">
      <c r="A333" s="195">
        <v>590</v>
      </c>
      <c r="B333" s="177">
        <v>1001</v>
      </c>
      <c r="C333" s="177" t="s">
        <v>163</v>
      </c>
      <c r="D333" s="201" t="s">
        <v>802</v>
      </c>
      <c r="E333" s="88" t="s">
        <v>1436</v>
      </c>
      <c r="F333" s="88">
        <v>0</v>
      </c>
      <c r="G333" s="88">
        <v>0</v>
      </c>
      <c r="H333" s="88">
        <v>0</v>
      </c>
      <c r="I333" s="88">
        <v>0</v>
      </c>
      <c r="J333" s="88">
        <v>0</v>
      </c>
      <c r="K333" s="88">
        <v>0</v>
      </c>
      <c r="L333" s="88">
        <v>0</v>
      </c>
      <c r="M333" s="88">
        <v>0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</row>
    <row r="334" spans="1:18" x14ac:dyDescent="0.3">
      <c r="A334" s="195">
        <v>591</v>
      </c>
      <c r="B334" s="177">
        <v>1001</v>
      </c>
      <c r="C334" s="177" t="s">
        <v>163</v>
      </c>
      <c r="D334" s="201" t="s">
        <v>804</v>
      </c>
      <c r="E334" s="88" t="s">
        <v>1437</v>
      </c>
      <c r="F334" s="88">
        <v>-14288.132801899999</v>
      </c>
      <c r="G334" s="88">
        <v>-15164.555536399999</v>
      </c>
      <c r="H334" s="88">
        <v>-15164.555536399999</v>
      </c>
      <c r="I334" s="88">
        <v>-14415.8417986</v>
      </c>
      <c r="J334" s="88">
        <v>-14001.0080471</v>
      </c>
      <c r="K334" s="88">
        <v>-15365.9839598</v>
      </c>
      <c r="L334" s="88">
        <v>-13879.1580135</v>
      </c>
      <c r="M334" s="88">
        <v>-14264.213441800001</v>
      </c>
      <c r="N334" s="88">
        <v>-14572.9284326</v>
      </c>
      <c r="O334" s="88">
        <v>-13870.0231028</v>
      </c>
      <c r="P334" s="88">
        <v>-14821.4211548</v>
      </c>
      <c r="Q334" s="88">
        <v>-14411.9924372</v>
      </c>
      <c r="R334" s="88">
        <v>-174219.81426290001</v>
      </c>
    </row>
    <row r="335" spans="1:18" x14ac:dyDescent="0.3">
      <c r="A335" s="195">
        <v>592</v>
      </c>
      <c r="B335" s="177">
        <v>1001</v>
      </c>
      <c r="C335" s="177" t="s">
        <v>163</v>
      </c>
      <c r="D335" s="201" t="s">
        <v>806</v>
      </c>
      <c r="E335" s="88" t="s">
        <v>1438</v>
      </c>
      <c r="F335" s="88">
        <v>214300.7540972</v>
      </c>
      <c r="G335" s="88">
        <v>200682.50471969999</v>
      </c>
      <c r="H335" s="88">
        <v>200719.66769900001</v>
      </c>
      <c r="I335" s="88">
        <v>211075.44459920001</v>
      </c>
      <c r="J335" s="88">
        <v>218093.55593150001</v>
      </c>
      <c r="K335" s="88">
        <v>197152.03134859999</v>
      </c>
      <c r="L335" s="88">
        <v>218189.608171</v>
      </c>
      <c r="M335" s="88">
        <v>211182.3068274</v>
      </c>
      <c r="N335" s="88">
        <v>204191.1032449</v>
      </c>
      <c r="O335" s="88">
        <v>218141.07319200001</v>
      </c>
      <c r="P335" s="88">
        <v>204075.54490519999</v>
      </c>
      <c r="Q335" s="88">
        <v>211045.564847</v>
      </c>
      <c r="R335" s="88">
        <v>2508849.1595827001</v>
      </c>
    </row>
    <row r="336" spans="1:18" x14ac:dyDescent="0.3">
      <c r="A336" s="195">
        <v>592</v>
      </c>
      <c r="B336" s="177">
        <v>1001</v>
      </c>
      <c r="C336" s="177" t="s">
        <v>163</v>
      </c>
      <c r="D336" s="201" t="s">
        <v>808</v>
      </c>
      <c r="E336" s="88" t="s">
        <v>1439</v>
      </c>
      <c r="F336" s="88">
        <v>0</v>
      </c>
      <c r="G336" s="88">
        <v>0</v>
      </c>
      <c r="H336" s="88">
        <v>0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0</v>
      </c>
      <c r="P336" s="88">
        <v>0</v>
      </c>
      <c r="Q336" s="88">
        <v>0</v>
      </c>
      <c r="R336" s="88">
        <v>0</v>
      </c>
    </row>
    <row r="337" spans="1:18" x14ac:dyDescent="0.3">
      <c r="A337" s="195">
        <v>593</v>
      </c>
      <c r="B337" s="177">
        <v>1001</v>
      </c>
      <c r="C337" s="177" t="s">
        <v>163</v>
      </c>
      <c r="D337" s="201" t="s">
        <v>810</v>
      </c>
      <c r="E337" s="88" t="s">
        <v>1440</v>
      </c>
      <c r="F337" s="88">
        <v>3445094.3707560999</v>
      </c>
      <c r="G337" s="88">
        <v>3397583.9748824001</v>
      </c>
      <c r="H337" s="88">
        <v>3414478.8105453998</v>
      </c>
      <c r="I337" s="88">
        <v>3490371.5337095</v>
      </c>
      <c r="J337" s="88">
        <v>3520330.4557003002</v>
      </c>
      <c r="K337" s="88">
        <v>3453237.7292415998</v>
      </c>
      <c r="L337" s="88">
        <v>3614740.9857464</v>
      </c>
      <c r="M337" s="88">
        <v>3624571.3409263999</v>
      </c>
      <c r="N337" s="88">
        <v>3583262.9823913998</v>
      </c>
      <c r="O337" s="88">
        <v>3666700.4721428999</v>
      </c>
      <c r="P337" s="88">
        <v>3497829.6166584999</v>
      </c>
      <c r="Q337" s="88">
        <v>3536462.6310374001</v>
      </c>
      <c r="R337" s="88">
        <v>42244664.903738298</v>
      </c>
    </row>
    <row r="338" spans="1:18" x14ac:dyDescent="0.3">
      <c r="A338" s="195">
        <v>594</v>
      </c>
      <c r="B338" s="177">
        <v>1001</v>
      </c>
      <c r="C338" s="177" t="s">
        <v>163</v>
      </c>
      <c r="D338" s="201" t="s">
        <v>812</v>
      </c>
      <c r="E338" s="88" t="s">
        <v>1441</v>
      </c>
      <c r="F338" s="88">
        <v>380071.57728770003</v>
      </c>
      <c r="G338" s="88">
        <v>361372.20832709997</v>
      </c>
      <c r="H338" s="88">
        <v>369920.74285679997</v>
      </c>
      <c r="I338" s="88">
        <v>388965.00734020001</v>
      </c>
      <c r="J338" s="88">
        <v>403297.42877409997</v>
      </c>
      <c r="K338" s="88">
        <v>379250.20844349999</v>
      </c>
      <c r="L338" s="88">
        <v>431151.22111619997</v>
      </c>
      <c r="M338" s="88">
        <v>433497.37516659999</v>
      </c>
      <c r="N338" s="88">
        <v>419367.97701039998</v>
      </c>
      <c r="O338" s="88">
        <v>447687.4374309</v>
      </c>
      <c r="P338" s="88">
        <v>393643.00557580002</v>
      </c>
      <c r="Q338" s="88">
        <v>407520.96299979999</v>
      </c>
      <c r="R338" s="88">
        <v>4815745.1523291003</v>
      </c>
    </row>
    <row r="339" spans="1:18" x14ac:dyDescent="0.3">
      <c r="A339" s="195">
        <v>595</v>
      </c>
      <c r="B339" s="177">
        <v>1001</v>
      </c>
      <c r="C339" s="177" t="s">
        <v>163</v>
      </c>
      <c r="D339" s="201" t="s">
        <v>814</v>
      </c>
      <c r="E339" s="88" t="s">
        <v>1442</v>
      </c>
      <c r="F339" s="88">
        <v>18368.029344800001</v>
      </c>
      <c r="G339" s="88">
        <v>16881.1580746</v>
      </c>
      <c r="H339" s="88">
        <v>17021.329734200001</v>
      </c>
      <c r="I339" s="88">
        <v>19456.754393899999</v>
      </c>
      <c r="J339" s="88">
        <v>19009.2429452</v>
      </c>
      <c r="K339" s="88">
        <v>16695.297847000002</v>
      </c>
      <c r="L339" s="88">
        <v>19168.521328399998</v>
      </c>
      <c r="M339" s="88">
        <v>18237.928473799999</v>
      </c>
      <c r="N339" s="88">
        <v>17466.614002400001</v>
      </c>
      <c r="O339" s="88">
        <v>20283.4700108</v>
      </c>
      <c r="P339" s="88">
        <v>17466.614002400001</v>
      </c>
      <c r="Q339" s="88">
        <v>18390.281713799999</v>
      </c>
      <c r="R339" s="88">
        <v>218445.24187130001</v>
      </c>
    </row>
    <row r="340" spans="1:18" x14ac:dyDescent="0.3">
      <c r="A340" s="195">
        <v>596</v>
      </c>
      <c r="B340" s="177">
        <v>1001</v>
      </c>
      <c r="C340" s="177" t="s">
        <v>163</v>
      </c>
      <c r="D340" s="201" t="s">
        <v>816</v>
      </c>
      <c r="E340" s="88" t="s">
        <v>1443</v>
      </c>
      <c r="F340" s="88">
        <v>51720.997549300002</v>
      </c>
      <c r="G340" s="88">
        <v>51720.997549300002</v>
      </c>
      <c r="H340" s="88">
        <v>51720.997549300002</v>
      </c>
      <c r="I340" s="88">
        <v>51720.997549300002</v>
      </c>
      <c r="J340" s="88">
        <v>51720.997549300002</v>
      </c>
      <c r="K340" s="88">
        <v>51720.997549300002</v>
      </c>
      <c r="L340" s="88">
        <v>51720.997549300002</v>
      </c>
      <c r="M340" s="88">
        <v>51720.997549300002</v>
      </c>
      <c r="N340" s="88">
        <v>51720.997549300002</v>
      </c>
      <c r="O340" s="88">
        <v>51720.997549300002</v>
      </c>
      <c r="P340" s="88">
        <v>51720.997549300002</v>
      </c>
      <c r="Q340" s="88">
        <v>51720.997549300002</v>
      </c>
      <c r="R340" s="88">
        <v>620651.97059160005</v>
      </c>
    </row>
    <row r="341" spans="1:18" x14ac:dyDescent="0.3">
      <c r="A341" s="195">
        <v>597</v>
      </c>
      <c r="B341" s="177">
        <v>1001</v>
      </c>
      <c r="C341" s="177" t="s">
        <v>163</v>
      </c>
      <c r="D341" s="201" t="s">
        <v>818</v>
      </c>
      <c r="E341" s="88" t="s">
        <v>1444</v>
      </c>
      <c r="F341" s="88">
        <v>73966.621852099997</v>
      </c>
      <c r="G341" s="88">
        <v>68317.353604400007</v>
      </c>
      <c r="H341" s="88">
        <v>68317.353604400007</v>
      </c>
      <c r="I341" s="88">
        <v>72829.856359099998</v>
      </c>
      <c r="J341" s="88">
        <v>75731.211739199993</v>
      </c>
      <c r="K341" s="88">
        <v>67027.139264900004</v>
      </c>
      <c r="L341" s="88">
        <v>75731.211739199993</v>
      </c>
      <c r="M341" s="88">
        <v>72829.856359099998</v>
      </c>
      <c r="N341" s="88">
        <v>69928.500979499993</v>
      </c>
      <c r="O341" s="88">
        <v>75731.211739199993</v>
      </c>
      <c r="P341" s="88">
        <v>69968.341052799995</v>
      </c>
      <c r="Q341" s="88">
        <v>72871.593577599997</v>
      </c>
      <c r="R341" s="88">
        <v>863250.25187150005</v>
      </c>
    </row>
    <row r="342" spans="1:18" x14ac:dyDescent="0.3">
      <c r="A342" s="195">
        <v>598</v>
      </c>
      <c r="B342" s="177">
        <v>1001</v>
      </c>
      <c r="C342" s="177" t="s">
        <v>163</v>
      </c>
      <c r="D342" s="201" t="s">
        <v>820</v>
      </c>
      <c r="E342" s="88" t="s">
        <v>1445</v>
      </c>
      <c r="F342" s="88">
        <v>0</v>
      </c>
      <c r="G342" s="88">
        <v>0</v>
      </c>
      <c r="H342" s="88">
        <v>0</v>
      </c>
      <c r="I342" s="88">
        <v>0</v>
      </c>
      <c r="J342" s="88">
        <v>0</v>
      </c>
      <c r="K342" s="88">
        <v>0</v>
      </c>
      <c r="L342" s="88">
        <v>0</v>
      </c>
      <c r="M342" s="88">
        <v>0</v>
      </c>
      <c r="N342" s="88">
        <v>0</v>
      </c>
      <c r="O342" s="88">
        <v>0</v>
      </c>
      <c r="P342" s="88">
        <v>0</v>
      </c>
      <c r="Q342" s="88">
        <v>0</v>
      </c>
      <c r="R342" s="88">
        <v>0</v>
      </c>
    </row>
    <row r="343" spans="1:18" x14ac:dyDescent="0.3">
      <c r="A343" s="195">
        <v>800</v>
      </c>
      <c r="B343" s="177">
        <v>1001</v>
      </c>
      <c r="C343" s="177" t="s">
        <v>163</v>
      </c>
      <c r="D343" s="201" t="s">
        <v>822</v>
      </c>
      <c r="E343" s="88" t="s">
        <v>1446</v>
      </c>
      <c r="F343" s="88">
        <v>0</v>
      </c>
      <c r="G343" s="88">
        <v>0</v>
      </c>
      <c r="H343" s="88">
        <v>0</v>
      </c>
      <c r="I343" s="88">
        <v>0</v>
      </c>
      <c r="J343" s="88">
        <v>0</v>
      </c>
      <c r="K343" s="88">
        <v>0</v>
      </c>
      <c r="L343" s="88">
        <v>0</v>
      </c>
      <c r="M343" s="88">
        <v>0</v>
      </c>
      <c r="N343" s="88">
        <v>0</v>
      </c>
      <c r="O343" s="88">
        <v>0</v>
      </c>
      <c r="P343" s="88">
        <v>0</v>
      </c>
      <c r="Q343" s="88">
        <v>0</v>
      </c>
      <c r="R343" s="88">
        <v>0</v>
      </c>
    </row>
    <row r="344" spans="1:18" x14ac:dyDescent="0.3">
      <c r="A344" s="195">
        <v>800</v>
      </c>
      <c r="B344" s="177">
        <v>1001</v>
      </c>
      <c r="C344" s="177" t="s">
        <v>163</v>
      </c>
      <c r="D344" s="201" t="s">
        <v>824</v>
      </c>
      <c r="E344" s="88" t="s">
        <v>1447</v>
      </c>
      <c r="F344" s="88">
        <v>0</v>
      </c>
      <c r="G344" s="88">
        <v>0</v>
      </c>
      <c r="H344" s="88">
        <v>0</v>
      </c>
      <c r="I344" s="88">
        <v>0</v>
      </c>
      <c r="J344" s="88">
        <v>0</v>
      </c>
      <c r="K344" s="88">
        <v>0</v>
      </c>
      <c r="L344" s="88">
        <v>0</v>
      </c>
      <c r="M344" s="88">
        <v>0</v>
      </c>
      <c r="N344" s="88">
        <v>0</v>
      </c>
      <c r="O344" s="88">
        <v>0</v>
      </c>
      <c r="P344" s="88">
        <v>0</v>
      </c>
      <c r="Q344" s="88">
        <v>0</v>
      </c>
      <c r="R344" s="88">
        <v>0</v>
      </c>
    </row>
    <row r="345" spans="1:18" x14ac:dyDescent="0.3">
      <c r="A345" s="195">
        <v>801</v>
      </c>
      <c r="B345" s="177">
        <v>1001</v>
      </c>
      <c r="C345" s="177" t="s">
        <v>163</v>
      </c>
      <c r="D345" s="201" t="s">
        <v>826</v>
      </c>
      <c r="E345" s="88" t="s">
        <v>1448</v>
      </c>
      <c r="F345" s="88">
        <v>0</v>
      </c>
      <c r="G345" s="88">
        <v>0</v>
      </c>
      <c r="H345" s="88">
        <v>0</v>
      </c>
      <c r="I345" s="88">
        <v>0</v>
      </c>
      <c r="J345" s="88">
        <v>0</v>
      </c>
      <c r="K345" s="88">
        <v>0</v>
      </c>
      <c r="L345" s="88">
        <v>0</v>
      </c>
      <c r="M345" s="88">
        <v>0</v>
      </c>
      <c r="N345" s="88">
        <v>0</v>
      </c>
      <c r="O345" s="88">
        <v>0</v>
      </c>
      <c r="P345" s="88">
        <v>0</v>
      </c>
      <c r="Q345" s="88">
        <v>0</v>
      </c>
      <c r="R345" s="88">
        <v>0</v>
      </c>
    </row>
    <row r="346" spans="1:18" x14ac:dyDescent="0.3">
      <c r="A346" s="195">
        <v>802</v>
      </c>
      <c r="B346" s="177">
        <v>1001</v>
      </c>
      <c r="C346" s="177" t="s">
        <v>163</v>
      </c>
      <c r="D346" s="201" t="s">
        <v>828</v>
      </c>
      <c r="E346" s="88" t="s">
        <v>1449</v>
      </c>
      <c r="F346" s="88">
        <v>0</v>
      </c>
      <c r="G346" s="88">
        <v>0</v>
      </c>
      <c r="H346" s="88">
        <v>0</v>
      </c>
      <c r="I346" s="88">
        <v>0</v>
      </c>
      <c r="J346" s="88">
        <v>0</v>
      </c>
      <c r="K346" s="88">
        <v>0</v>
      </c>
      <c r="L346" s="88">
        <v>0</v>
      </c>
      <c r="M346" s="88">
        <v>0</v>
      </c>
      <c r="N346" s="88">
        <v>0</v>
      </c>
      <c r="O346" s="88">
        <v>0</v>
      </c>
      <c r="P346" s="88">
        <v>0</v>
      </c>
      <c r="Q346" s="88">
        <v>0</v>
      </c>
      <c r="R346" s="88">
        <v>0</v>
      </c>
    </row>
    <row r="347" spans="1:18" x14ac:dyDescent="0.3">
      <c r="A347" s="195">
        <v>803</v>
      </c>
      <c r="B347" s="177">
        <v>1001</v>
      </c>
      <c r="C347" s="177" t="s">
        <v>163</v>
      </c>
      <c r="D347" s="201" t="s">
        <v>830</v>
      </c>
      <c r="E347" s="88" t="s">
        <v>1450</v>
      </c>
      <c r="F347" s="88">
        <v>0</v>
      </c>
      <c r="G347" s="88">
        <v>0</v>
      </c>
      <c r="H347" s="88">
        <v>0</v>
      </c>
      <c r="I347" s="88">
        <v>0</v>
      </c>
      <c r="J347" s="88">
        <v>0</v>
      </c>
      <c r="K347" s="88">
        <v>0</v>
      </c>
      <c r="L347" s="88">
        <v>0</v>
      </c>
      <c r="M347" s="88">
        <v>0</v>
      </c>
      <c r="N347" s="88">
        <v>0</v>
      </c>
      <c r="O347" s="88">
        <v>0</v>
      </c>
      <c r="P347" s="88">
        <v>0</v>
      </c>
      <c r="Q347" s="88">
        <v>0</v>
      </c>
      <c r="R347" s="88">
        <v>0</v>
      </c>
    </row>
    <row r="348" spans="1:18" x14ac:dyDescent="0.3">
      <c r="A348" s="195">
        <v>804</v>
      </c>
      <c r="B348" s="177">
        <v>1001</v>
      </c>
      <c r="C348" s="177" t="s">
        <v>163</v>
      </c>
      <c r="D348" s="201" t="s">
        <v>832</v>
      </c>
      <c r="E348" s="88" t="s">
        <v>1451</v>
      </c>
      <c r="F348" s="88">
        <v>0</v>
      </c>
      <c r="G348" s="88">
        <v>0</v>
      </c>
      <c r="H348" s="88">
        <v>0</v>
      </c>
      <c r="I348" s="88">
        <v>0</v>
      </c>
      <c r="J348" s="88">
        <v>0</v>
      </c>
      <c r="K348" s="88">
        <v>0</v>
      </c>
      <c r="L348" s="88">
        <v>0</v>
      </c>
      <c r="M348" s="88">
        <v>0</v>
      </c>
      <c r="N348" s="88">
        <v>0</v>
      </c>
      <c r="O348" s="88">
        <v>0</v>
      </c>
      <c r="P348" s="88">
        <v>0</v>
      </c>
      <c r="Q348" s="88">
        <v>0</v>
      </c>
      <c r="R348" s="88">
        <v>0</v>
      </c>
    </row>
    <row r="349" spans="1:18" x14ac:dyDescent="0.3">
      <c r="A349" s="195">
        <v>804</v>
      </c>
      <c r="B349" s="177">
        <v>1001</v>
      </c>
      <c r="C349" s="177" t="s">
        <v>163</v>
      </c>
      <c r="D349" s="201" t="s">
        <v>834</v>
      </c>
      <c r="E349" s="88" t="s">
        <v>1452</v>
      </c>
      <c r="F349" s="88">
        <v>0</v>
      </c>
      <c r="G349" s="88">
        <v>0</v>
      </c>
      <c r="H349" s="88">
        <v>0</v>
      </c>
      <c r="I349" s="88">
        <v>0</v>
      </c>
      <c r="J349" s="88">
        <v>0</v>
      </c>
      <c r="K349" s="88">
        <v>0</v>
      </c>
      <c r="L349" s="88">
        <v>0</v>
      </c>
      <c r="M349" s="88">
        <v>0</v>
      </c>
      <c r="N349" s="88">
        <v>0</v>
      </c>
      <c r="O349" s="88">
        <v>0</v>
      </c>
      <c r="P349" s="88">
        <v>0</v>
      </c>
      <c r="Q349" s="88">
        <v>0</v>
      </c>
      <c r="R349" s="88">
        <v>0</v>
      </c>
    </row>
    <row r="350" spans="1:18" x14ac:dyDescent="0.3">
      <c r="A350" s="195">
        <v>805</v>
      </c>
      <c r="B350" s="177">
        <v>1001</v>
      </c>
      <c r="C350" s="177" t="s">
        <v>163</v>
      </c>
      <c r="D350" s="201" t="s">
        <v>836</v>
      </c>
      <c r="E350" s="88" t="s">
        <v>1453</v>
      </c>
      <c r="F350" s="88">
        <v>0</v>
      </c>
      <c r="G350" s="88">
        <v>0</v>
      </c>
      <c r="H350" s="88">
        <v>0</v>
      </c>
      <c r="I350" s="88">
        <v>0</v>
      </c>
      <c r="J350" s="88">
        <v>0</v>
      </c>
      <c r="K350" s="88">
        <v>0</v>
      </c>
      <c r="L350" s="88">
        <v>0</v>
      </c>
      <c r="M350" s="88">
        <v>0</v>
      </c>
      <c r="N350" s="88">
        <v>0</v>
      </c>
      <c r="O350" s="88">
        <v>0</v>
      </c>
      <c r="P350" s="88">
        <v>0</v>
      </c>
      <c r="Q350" s="88">
        <v>0</v>
      </c>
      <c r="R350" s="88">
        <v>0</v>
      </c>
    </row>
    <row r="351" spans="1:18" x14ac:dyDescent="0.3">
      <c r="A351" s="195">
        <v>805</v>
      </c>
      <c r="B351" s="177">
        <v>1001</v>
      </c>
      <c r="C351" s="177" t="s">
        <v>163</v>
      </c>
      <c r="D351" s="201" t="s">
        <v>838</v>
      </c>
      <c r="E351" s="88" t="s">
        <v>1454</v>
      </c>
      <c r="F351" s="88">
        <v>0</v>
      </c>
      <c r="G351" s="88">
        <v>0</v>
      </c>
      <c r="H351" s="88">
        <v>0</v>
      </c>
      <c r="I351" s="88">
        <v>0</v>
      </c>
      <c r="J351" s="88">
        <v>0</v>
      </c>
      <c r="K351" s="88">
        <v>0</v>
      </c>
      <c r="L351" s="88">
        <v>0</v>
      </c>
      <c r="M351" s="88">
        <v>0</v>
      </c>
      <c r="N351" s="88">
        <v>0</v>
      </c>
      <c r="O351" s="88">
        <v>0</v>
      </c>
      <c r="P351" s="88">
        <v>0</v>
      </c>
      <c r="Q351" s="88">
        <v>0</v>
      </c>
      <c r="R351" s="88">
        <v>0</v>
      </c>
    </row>
    <row r="352" spans="1:18" x14ac:dyDescent="0.3">
      <c r="A352" s="195">
        <v>806</v>
      </c>
      <c r="B352" s="177">
        <v>1001</v>
      </c>
      <c r="C352" s="177" t="s">
        <v>163</v>
      </c>
      <c r="D352" s="201" t="s">
        <v>840</v>
      </c>
      <c r="E352" s="88" t="s">
        <v>1455</v>
      </c>
      <c r="F352" s="88">
        <v>0</v>
      </c>
      <c r="G352" s="88">
        <v>0</v>
      </c>
      <c r="H352" s="88">
        <v>0</v>
      </c>
      <c r="I352" s="88">
        <v>0</v>
      </c>
      <c r="J352" s="88">
        <v>0</v>
      </c>
      <c r="K352" s="88">
        <v>0</v>
      </c>
      <c r="L352" s="88">
        <v>0</v>
      </c>
      <c r="M352" s="88">
        <v>0</v>
      </c>
      <c r="N352" s="88">
        <v>0</v>
      </c>
      <c r="O352" s="88">
        <v>0</v>
      </c>
      <c r="P352" s="88">
        <v>0</v>
      </c>
      <c r="Q352" s="88">
        <v>0</v>
      </c>
      <c r="R352" s="88">
        <v>0</v>
      </c>
    </row>
    <row r="353" spans="1:18" x14ac:dyDescent="0.3">
      <c r="A353" s="195">
        <v>807</v>
      </c>
      <c r="B353" s="177">
        <v>1001</v>
      </c>
      <c r="C353" s="177" t="s">
        <v>163</v>
      </c>
      <c r="D353" s="201" t="s">
        <v>842</v>
      </c>
      <c r="E353" s="88" t="s">
        <v>1456</v>
      </c>
      <c r="F353" s="88">
        <v>0</v>
      </c>
      <c r="G353" s="88">
        <v>0</v>
      </c>
      <c r="H353" s="88">
        <v>0</v>
      </c>
      <c r="I353" s="88">
        <v>0</v>
      </c>
      <c r="J353" s="88">
        <v>0</v>
      </c>
      <c r="K353" s="88">
        <v>0</v>
      </c>
      <c r="L353" s="88">
        <v>0</v>
      </c>
      <c r="M353" s="88">
        <v>0</v>
      </c>
      <c r="N353" s="88">
        <v>0</v>
      </c>
      <c r="O353" s="88">
        <v>0</v>
      </c>
      <c r="P353" s="88">
        <v>0</v>
      </c>
      <c r="Q353" s="88">
        <v>0</v>
      </c>
      <c r="R353" s="88">
        <v>0</v>
      </c>
    </row>
    <row r="354" spans="1:18" x14ac:dyDescent="0.3">
      <c r="A354" s="195">
        <v>807</v>
      </c>
      <c r="B354" s="177">
        <v>1001</v>
      </c>
      <c r="C354" s="177" t="s">
        <v>163</v>
      </c>
      <c r="D354" s="201" t="s">
        <v>844</v>
      </c>
      <c r="E354" s="88" t="s">
        <v>1457</v>
      </c>
      <c r="F354" s="88">
        <v>0</v>
      </c>
      <c r="G354" s="88">
        <v>0</v>
      </c>
      <c r="H354" s="88">
        <v>0</v>
      </c>
      <c r="I354" s="88">
        <v>0</v>
      </c>
      <c r="J354" s="88">
        <v>0</v>
      </c>
      <c r="K354" s="88">
        <v>0</v>
      </c>
      <c r="L354" s="88">
        <v>0</v>
      </c>
      <c r="M354" s="88">
        <v>0</v>
      </c>
      <c r="N354" s="88">
        <v>0</v>
      </c>
      <c r="O354" s="88">
        <v>0</v>
      </c>
      <c r="P354" s="88">
        <v>0</v>
      </c>
      <c r="Q354" s="88">
        <v>0</v>
      </c>
      <c r="R354" s="88">
        <v>0</v>
      </c>
    </row>
    <row r="355" spans="1:18" x14ac:dyDescent="0.3">
      <c r="A355" s="195">
        <v>807</v>
      </c>
      <c r="B355" s="177">
        <v>1001</v>
      </c>
      <c r="C355" s="177" t="s">
        <v>163</v>
      </c>
      <c r="D355" s="201" t="s">
        <v>846</v>
      </c>
      <c r="E355" s="88" t="s">
        <v>1458</v>
      </c>
      <c r="F355" s="88">
        <v>0</v>
      </c>
      <c r="G355" s="88">
        <v>0</v>
      </c>
      <c r="H355" s="88">
        <v>0</v>
      </c>
      <c r="I355" s="88">
        <v>0</v>
      </c>
      <c r="J355" s="88">
        <v>0</v>
      </c>
      <c r="K355" s="88">
        <v>0</v>
      </c>
      <c r="L355" s="88">
        <v>0</v>
      </c>
      <c r="M355" s="88">
        <v>0</v>
      </c>
      <c r="N355" s="88">
        <v>0</v>
      </c>
      <c r="O355" s="88">
        <v>0</v>
      </c>
      <c r="P355" s="88">
        <v>0</v>
      </c>
      <c r="Q355" s="88">
        <v>0</v>
      </c>
      <c r="R355" s="88">
        <v>0</v>
      </c>
    </row>
    <row r="356" spans="1:18" x14ac:dyDescent="0.3">
      <c r="A356" s="195">
        <v>807</v>
      </c>
      <c r="B356" s="177">
        <v>1001</v>
      </c>
      <c r="C356" s="177" t="s">
        <v>163</v>
      </c>
      <c r="D356" s="201" t="s">
        <v>848</v>
      </c>
      <c r="E356" s="88" t="s">
        <v>1459</v>
      </c>
      <c r="F356" s="88">
        <v>0</v>
      </c>
      <c r="G356" s="88">
        <v>0</v>
      </c>
      <c r="H356" s="88">
        <v>0</v>
      </c>
      <c r="I356" s="88">
        <v>0</v>
      </c>
      <c r="J356" s="88">
        <v>0</v>
      </c>
      <c r="K356" s="88">
        <v>0</v>
      </c>
      <c r="L356" s="88">
        <v>0</v>
      </c>
      <c r="M356" s="88">
        <v>0</v>
      </c>
      <c r="N356" s="88">
        <v>0</v>
      </c>
      <c r="O356" s="88">
        <v>0</v>
      </c>
      <c r="P356" s="88">
        <v>0</v>
      </c>
      <c r="Q356" s="88">
        <v>0</v>
      </c>
      <c r="R356" s="88">
        <v>0</v>
      </c>
    </row>
    <row r="357" spans="1:18" x14ac:dyDescent="0.3">
      <c r="A357" s="195">
        <v>807</v>
      </c>
      <c r="B357" s="177">
        <v>1001</v>
      </c>
      <c r="C357" s="177" t="s">
        <v>163</v>
      </c>
      <c r="D357" s="201" t="s">
        <v>850</v>
      </c>
      <c r="E357" s="88" t="s">
        <v>1460</v>
      </c>
      <c r="F357" s="88">
        <v>0</v>
      </c>
      <c r="G357" s="88">
        <v>0</v>
      </c>
      <c r="H357" s="88">
        <v>0</v>
      </c>
      <c r="I357" s="88">
        <v>0</v>
      </c>
      <c r="J357" s="88">
        <v>0</v>
      </c>
      <c r="K357" s="88">
        <v>0</v>
      </c>
      <c r="L357" s="88">
        <v>0</v>
      </c>
      <c r="M357" s="88">
        <v>0</v>
      </c>
      <c r="N357" s="88">
        <v>0</v>
      </c>
      <c r="O357" s="88">
        <v>0</v>
      </c>
      <c r="P357" s="88">
        <v>0</v>
      </c>
      <c r="Q357" s="88">
        <v>0</v>
      </c>
      <c r="R357" s="88">
        <v>0</v>
      </c>
    </row>
    <row r="358" spans="1:18" x14ac:dyDescent="0.3">
      <c r="A358" s="195">
        <v>808</v>
      </c>
      <c r="B358" s="177">
        <v>1001</v>
      </c>
      <c r="C358" s="177" t="s">
        <v>163</v>
      </c>
      <c r="D358" s="201" t="s">
        <v>852</v>
      </c>
      <c r="E358" s="88" t="s">
        <v>1461</v>
      </c>
      <c r="F358" s="88">
        <v>0</v>
      </c>
      <c r="G358" s="88">
        <v>0</v>
      </c>
      <c r="H358" s="88">
        <v>0</v>
      </c>
      <c r="I358" s="88">
        <v>0</v>
      </c>
      <c r="J358" s="88">
        <v>0</v>
      </c>
      <c r="K358" s="88">
        <v>0</v>
      </c>
      <c r="L358" s="88">
        <v>0</v>
      </c>
      <c r="M358" s="88">
        <v>0</v>
      </c>
      <c r="N358" s="88">
        <v>0</v>
      </c>
      <c r="O358" s="88">
        <v>0</v>
      </c>
      <c r="P358" s="88">
        <v>0</v>
      </c>
      <c r="Q358" s="88">
        <v>0</v>
      </c>
      <c r="R358" s="88">
        <v>0</v>
      </c>
    </row>
    <row r="359" spans="1:18" x14ac:dyDescent="0.3">
      <c r="A359" s="195">
        <v>808</v>
      </c>
      <c r="B359" s="177">
        <v>1001</v>
      </c>
      <c r="C359" s="177" t="s">
        <v>163</v>
      </c>
      <c r="D359" s="201" t="s">
        <v>854</v>
      </c>
      <c r="E359" s="88" t="s">
        <v>1462</v>
      </c>
      <c r="F359" s="88">
        <v>0</v>
      </c>
      <c r="G359" s="88">
        <v>0</v>
      </c>
      <c r="H359" s="88">
        <v>0</v>
      </c>
      <c r="I359" s="88">
        <v>0</v>
      </c>
      <c r="J359" s="88">
        <v>0</v>
      </c>
      <c r="K359" s="88">
        <v>0</v>
      </c>
      <c r="L359" s="88">
        <v>0</v>
      </c>
      <c r="M359" s="88">
        <v>0</v>
      </c>
      <c r="N359" s="88">
        <v>0</v>
      </c>
      <c r="O359" s="88">
        <v>0</v>
      </c>
      <c r="P359" s="88">
        <v>0</v>
      </c>
      <c r="Q359" s="88">
        <v>0</v>
      </c>
      <c r="R359" s="88">
        <v>0</v>
      </c>
    </row>
    <row r="360" spans="1:18" x14ac:dyDescent="0.3">
      <c r="A360" s="195">
        <v>809</v>
      </c>
      <c r="B360" s="177">
        <v>1001</v>
      </c>
      <c r="C360" s="177" t="s">
        <v>163</v>
      </c>
      <c r="D360" s="201" t="s">
        <v>856</v>
      </c>
      <c r="E360" s="88" t="s">
        <v>1463</v>
      </c>
      <c r="F360" s="88">
        <v>0</v>
      </c>
      <c r="G360" s="88">
        <v>0</v>
      </c>
      <c r="H360" s="88">
        <v>0</v>
      </c>
      <c r="I360" s="88">
        <v>0</v>
      </c>
      <c r="J360" s="88">
        <v>0</v>
      </c>
      <c r="K360" s="88">
        <v>0</v>
      </c>
      <c r="L360" s="88">
        <v>0</v>
      </c>
      <c r="M360" s="88">
        <v>0</v>
      </c>
      <c r="N360" s="88">
        <v>0</v>
      </c>
      <c r="O360" s="88">
        <v>0</v>
      </c>
      <c r="P360" s="88">
        <v>0</v>
      </c>
      <c r="Q360" s="88">
        <v>0</v>
      </c>
      <c r="R360" s="88">
        <v>0</v>
      </c>
    </row>
    <row r="361" spans="1:18" x14ac:dyDescent="0.3">
      <c r="A361" s="195">
        <v>809</v>
      </c>
      <c r="B361" s="177">
        <v>1001</v>
      </c>
      <c r="C361" s="177" t="s">
        <v>163</v>
      </c>
      <c r="D361" s="201" t="s">
        <v>858</v>
      </c>
      <c r="E361" s="88" t="s">
        <v>1464</v>
      </c>
      <c r="F361" s="88">
        <v>0</v>
      </c>
      <c r="G361" s="88">
        <v>0</v>
      </c>
      <c r="H361" s="88">
        <v>0</v>
      </c>
      <c r="I361" s="88">
        <v>0</v>
      </c>
      <c r="J361" s="88">
        <v>0</v>
      </c>
      <c r="K361" s="88">
        <v>0</v>
      </c>
      <c r="L361" s="88">
        <v>0</v>
      </c>
      <c r="M361" s="88">
        <v>0</v>
      </c>
      <c r="N361" s="88">
        <v>0</v>
      </c>
      <c r="O361" s="88">
        <v>0</v>
      </c>
      <c r="P361" s="88">
        <v>0</v>
      </c>
      <c r="Q361" s="88">
        <v>0</v>
      </c>
      <c r="R361" s="88">
        <v>0</v>
      </c>
    </row>
    <row r="362" spans="1:18" x14ac:dyDescent="0.3">
      <c r="A362" s="195">
        <v>810</v>
      </c>
      <c r="B362" s="177">
        <v>1001</v>
      </c>
      <c r="C362" s="177" t="s">
        <v>163</v>
      </c>
      <c r="D362" s="201" t="s">
        <v>860</v>
      </c>
      <c r="E362" s="88" t="s">
        <v>1465</v>
      </c>
      <c r="F362" s="88">
        <v>0</v>
      </c>
      <c r="G362" s="88">
        <v>0</v>
      </c>
      <c r="H362" s="88">
        <v>0</v>
      </c>
      <c r="I362" s="88">
        <v>0</v>
      </c>
      <c r="J362" s="88">
        <v>0</v>
      </c>
      <c r="K362" s="88">
        <v>0</v>
      </c>
      <c r="L362" s="88">
        <v>0</v>
      </c>
      <c r="M362" s="88">
        <v>0</v>
      </c>
      <c r="N362" s="88">
        <v>0</v>
      </c>
      <c r="O362" s="88">
        <v>0</v>
      </c>
      <c r="P362" s="88">
        <v>0</v>
      </c>
      <c r="Q362" s="88">
        <v>0</v>
      </c>
      <c r="R362" s="88">
        <v>0</v>
      </c>
    </row>
    <row r="363" spans="1:18" x14ac:dyDescent="0.3">
      <c r="A363" s="195">
        <v>811</v>
      </c>
      <c r="B363" s="177">
        <v>1001</v>
      </c>
      <c r="C363" s="177" t="s">
        <v>163</v>
      </c>
      <c r="D363" s="201" t="s">
        <v>862</v>
      </c>
      <c r="E363" s="88" t="s">
        <v>1466</v>
      </c>
      <c r="F363" s="88">
        <v>0</v>
      </c>
      <c r="G363" s="88">
        <v>0</v>
      </c>
      <c r="H363" s="88">
        <v>0</v>
      </c>
      <c r="I363" s="88">
        <v>0</v>
      </c>
      <c r="J363" s="88">
        <v>0</v>
      </c>
      <c r="K363" s="88">
        <v>0</v>
      </c>
      <c r="L363" s="88">
        <v>0</v>
      </c>
      <c r="M363" s="88">
        <v>0</v>
      </c>
      <c r="N363" s="88">
        <v>0</v>
      </c>
      <c r="O363" s="88">
        <v>0</v>
      </c>
      <c r="P363" s="88">
        <v>0</v>
      </c>
      <c r="Q363" s="88">
        <v>0</v>
      </c>
      <c r="R363" s="88">
        <v>0</v>
      </c>
    </row>
    <row r="364" spans="1:18" x14ac:dyDescent="0.3">
      <c r="A364" s="195">
        <v>812</v>
      </c>
      <c r="B364" s="177">
        <v>1001</v>
      </c>
      <c r="C364" s="177" t="s">
        <v>163</v>
      </c>
      <c r="D364" s="201" t="s">
        <v>864</v>
      </c>
      <c r="E364" s="88" t="s">
        <v>1467</v>
      </c>
      <c r="F364" s="88">
        <v>0</v>
      </c>
      <c r="G364" s="88">
        <v>0</v>
      </c>
      <c r="H364" s="88">
        <v>0</v>
      </c>
      <c r="I364" s="88">
        <v>0</v>
      </c>
      <c r="J364" s="88">
        <v>0</v>
      </c>
      <c r="K364" s="88">
        <v>0</v>
      </c>
      <c r="L364" s="88">
        <v>0</v>
      </c>
      <c r="M364" s="88">
        <v>0</v>
      </c>
      <c r="N364" s="88">
        <v>0</v>
      </c>
      <c r="O364" s="88">
        <v>0</v>
      </c>
      <c r="P364" s="88">
        <v>0</v>
      </c>
      <c r="Q364" s="88">
        <v>0</v>
      </c>
      <c r="R364" s="88">
        <v>0</v>
      </c>
    </row>
    <row r="365" spans="1:18" x14ac:dyDescent="0.3">
      <c r="A365" s="195">
        <v>813</v>
      </c>
      <c r="B365" s="177">
        <v>1001</v>
      </c>
      <c r="C365" s="177" t="s">
        <v>163</v>
      </c>
      <c r="D365" s="201" t="s">
        <v>866</v>
      </c>
      <c r="E365" s="88" t="s">
        <v>1468</v>
      </c>
      <c r="F365" s="88">
        <v>0</v>
      </c>
      <c r="G365" s="88">
        <v>0</v>
      </c>
      <c r="H365" s="88">
        <v>0</v>
      </c>
      <c r="I365" s="88">
        <v>0</v>
      </c>
      <c r="J365" s="88">
        <v>0</v>
      </c>
      <c r="K365" s="88">
        <v>0</v>
      </c>
      <c r="L365" s="88">
        <v>0</v>
      </c>
      <c r="M365" s="88">
        <v>0</v>
      </c>
      <c r="N365" s="88">
        <v>0</v>
      </c>
      <c r="O365" s="88">
        <v>0</v>
      </c>
      <c r="P365" s="88">
        <v>0</v>
      </c>
      <c r="Q365" s="88">
        <v>0</v>
      </c>
      <c r="R365" s="88">
        <v>0</v>
      </c>
    </row>
    <row r="366" spans="1:18" x14ac:dyDescent="0.3">
      <c r="A366" s="195">
        <v>826</v>
      </c>
      <c r="B366" s="177">
        <v>1001</v>
      </c>
      <c r="C366" s="177" t="s">
        <v>163</v>
      </c>
      <c r="D366" s="201" t="s">
        <v>868</v>
      </c>
      <c r="E366" s="88" t="s">
        <v>1469</v>
      </c>
      <c r="F366" s="88">
        <v>0</v>
      </c>
      <c r="G366" s="88">
        <v>0</v>
      </c>
      <c r="H366" s="88">
        <v>0</v>
      </c>
      <c r="I366" s="88">
        <v>0</v>
      </c>
      <c r="J366" s="88">
        <v>0</v>
      </c>
      <c r="K366" s="88">
        <v>0</v>
      </c>
      <c r="L366" s="88">
        <v>0</v>
      </c>
      <c r="M366" s="88">
        <v>0</v>
      </c>
      <c r="N366" s="88">
        <v>0</v>
      </c>
      <c r="O366" s="88">
        <v>0</v>
      </c>
      <c r="P366" s="88">
        <v>0</v>
      </c>
      <c r="Q366" s="88">
        <v>0</v>
      </c>
      <c r="R366" s="88">
        <v>0</v>
      </c>
    </row>
    <row r="367" spans="1:18" x14ac:dyDescent="0.3">
      <c r="A367" s="195">
        <v>850</v>
      </c>
      <c r="B367" s="177">
        <v>1001</v>
      </c>
      <c r="C367" s="177" t="s">
        <v>163</v>
      </c>
      <c r="D367" s="201" t="s">
        <v>870</v>
      </c>
      <c r="E367" s="88" t="s">
        <v>1470</v>
      </c>
      <c r="F367" s="88">
        <v>0</v>
      </c>
      <c r="G367" s="88">
        <v>0</v>
      </c>
      <c r="H367" s="88">
        <v>0</v>
      </c>
      <c r="I367" s="88">
        <v>0</v>
      </c>
      <c r="J367" s="88">
        <v>0</v>
      </c>
      <c r="K367" s="88">
        <v>0</v>
      </c>
      <c r="L367" s="88">
        <v>0</v>
      </c>
      <c r="M367" s="88">
        <v>0</v>
      </c>
      <c r="N367" s="88">
        <v>0</v>
      </c>
      <c r="O367" s="88">
        <v>0</v>
      </c>
      <c r="P367" s="88">
        <v>0</v>
      </c>
      <c r="Q367" s="88">
        <v>0</v>
      </c>
      <c r="R367" s="88">
        <v>0</v>
      </c>
    </row>
    <row r="368" spans="1:18" x14ac:dyDescent="0.3">
      <c r="A368" s="195">
        <v>851</v>
      </c>
      <c r="B368" s="177">
        <v>1001</v>
      </c>
      <c r="C368" s="177" t="s">
        <v>163</v>
      </c>
      <c r="D368" s="201" t="s">
        <v>872</v>
      </c>
      <c r="E368" s="88" t="s">
        <v>1471</v>
      </c>
      <c r="F368" s="88">
        <v>0</v>
      </c>
      <c r="G368" s="88">
        <v>0</v>
      </c>
      <c r="H368" s="88">
        <v>0</v>
      </c>
      <c r="I368" s="88">
        <v>0</v>
      </c>
      <c r="J368" s="88">
        <v>0</v>
      </c>
      <c r="K368" s="88">
        <v>0</v>
      </c>
      <c r="L368" s="88">
        <v>0</v>
      </c>
      <c r="M368" s="88">
        <v>0</v>
      </c>
      <c r="N368" s="88">
        <v>0</v>
      </c>
      <c r="O368" s="88">
        <v>0</v>
      </c>
      <c r="P368" s="88">
        <v>0</v>
      </c>
      <c r="Q368" s="88">
        <v>0</v>
      </c>
      <c r="R368" s="88">
        <v>0</v>
      </c>
    </row>
    <row r="369" spans="1:18" x14ac:dyDescent="0.3">
      <c r="A369" s="195">
        <v>852</v>
      </c>
      <c r="B369" s="177">
        <v>1001</v>
      </c>
      <c r="C369" s="177" t="s">
        <v>163</v>
      </c>
      <c r="D369" s="201" t="s">
        <v>874</v>
      </c>
      <c r="E369" s="88" t="s">
        <v>1472</v>
      </c>
      <c r="F369" s="88">
        <v>0</v>
      </c>
      <c r="G369" s="88">
        <v>0</v>
      </c>
      <c r="H369" s="88">
        <v>0</v>
      </c>
      <c r="I369" s="88">
        <v>0</v>
      </c>
      <c r="J369" s="88">
        <v>0</v>
      </c>
      <c r="K369" s="88">
        <v>0</v>
      </c>
      <c r="L369" s="88">
        <v>0</v>
      </c>
      <c r="M369" s="88">
        <v>0</v>
      </c>
      <c r="N369" s="88">
        <v>0</v>
      </c>
      <c r="O369" s="88">
        <v>0</v>
      </c>
      <c r="P369" s="88">
        <v>0</v>
      </c>
      <c r="Q369" s="88">
        <v>0</v>
      </c>
      <c r="R369" s="88">
        <v>0</v>
      </c>
    </row>
    <row r="370" spans="1:18" x14ac:dyDescent="0.3">
      <c r="A370" s="195">
        <v>853</v>
      </c>
      <c r="B370" s="177">
        <v>1001</v>
      </c>
      <c r="C370" s="177" t="s">
        <v>163</v>
      </c>
      <c r="D370" s="201" t="s">
        <v>876</v>
      </c>
      <c r="E370" s="88" t="s">
        <v>1473</v>
      </c>
      <c r="F370" s="88">
        <v>0</v>
      </c>
      <c r="G370" s="88">
        <v>0</v>
      </c>
      <c r="H370" s="88">
        <v>0</v>
      </c>
      <c r="I370" s="88">
        <v>0</v>
      </c>
      <c r="J370" s="88">
        <v>0</v>
      </c>
      <c r="K370" s="88">
        <v>0</v>
      </c>
      <c r="L370" s="88">
        <v>0</v>
      </c>
      <c r="M370" s="88">
        <v>0</v>
      </c>
      <c r="N370" s="88">
        <v>0</v>
      </c>
      <c r="O370" s="88">
        <v>0</v>
      </c>
      <c r="P370" s="88">
        <v>0</v>
      </c>
      <c r="Q370" s="88">
        <v>0</v>
      </c>
      <c r="R370" s="88">
        <v>0</v>
      </c>
    </row>
    <row r="371" spans="1:18" x14ac:dyDescent="0.3">
      <c r="A371" s="195">
        <v>854</v>
      </c>
      <c r="B371" s="177">
        <v>1001</v>
      </c>
      <c r="C371" s="177" t="s">
        <v>163</v>
      </c>
      <c r="D371" s="201" t="s">
        <v>878</v>
      </c>
      <c r="E371" s="88" t="s">
        <v>1474</v>
      </c>
      <c r="F371" s="88">
        <v>0</v>
      </c>
      <c r="G371" s="88">
        <v>0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0</v>
      </c>
    </row>
    <row r="372" spans="1:18" x14ac:dyDescent="0.3">
      <c r="A372" s="195">
        <v>855</v>
      </c>
      <c r="B372" s="177">
        <v>1001</v>
      </c>
      <c r="C372" s="177" t="s">
        <v>163</v>
      </c>
      <c r="D372" s="201" t="s">
        <v>880</v>
      </c>
      <c r="E372" s="88" t="s">
        <v>1475</v>
      </c>
      <c r="F372" s="88">
        <v>0</v>
      </c>
      <c r="G372" s="88">
        <v>0</v>
      </c>
      <c r="H372" s="88">
        <v>0</v>
      </c>
      <c r="I372" s="88">
        <v>0</v>
      </c>
      <c r="J372" s="88">
        <v>0</v>
      </c>
      <c r="K372" s="88">
        <v>0</v>
      </c>
      <c r="L372" s="88">
        <v>0</v>
      </c>
      <c r="M372" s="88">
        <v>0</v>
      </c>
      <c r="N372" s="88">
        <v>0</v>
      </c>
      <c r="O372" s="88">
        <v>0</v>
      </c>
      <c r="P372" s="88">
        <v>0</v>
      </c>
      <c r="Q372" s="88">
        <v>0</v>
      </c>
      <c r="R372" s="88">
        <v>0</v>
      </c>
    </row>
    <row r="373" spans="1:18" x14ac:dyDescent="0.3">
      <c r="A373" s="195">
        <v>856</v>
      </c>
      <c r="B373" s="177">
        <v>1001</v>
      </c>
      <c r="C373" s="177" t="s">
        <v>163</v>
      </c>
      <c r="D373" s="201" t="s">
        <v>882</v>
      </c>
      <c r="E373" s="88" t="s">
        <v>1476</v>
      </c>
      <c r="F373" s="88">
        <v>0</v>
      </c>
      <c r="G373" s="88">
        <v>0</v>
      </c>
      <c r="H373" s="88">
        <v>0</v>
      </c>
      <c r="I373" s="88">
        <v>0</v>
      </c>
      <c r="J373" s="88">
        <v>0</v>
      </c>
      <c r="K373" s="88">
        <v>0</v>
      </c>
      <c r="L373" s="88">
        <v>0</v>
      </c>
      <c r="M373" s="88">
        <v>0</v>
      </c>
      <c r="N373" s="88">
        <v>0</v>
      </c>
      <c r="O373" s="88">
        <v>0</v>
      </c>
      <c r="P373" s="88">
        <v>0</v>
      </c>
      <c r="Q373" s="88">
        <v>0</v>
      </c>
      <c r="R373" s="88">
        <v>0</v>
      </c>
    </row>
    <row r="374" spans="1:18" x14ac:dyDescent="0.3">
      <c r="A374" s="195">
        <v>857</v>
      </c>
      <c r="B374" s="177">
        <v>1001</v>
      </c>
      <c r="C374" s="177" t="s">
        <v>163</v>
      </c>
      <c r="D374" s="201" t="s">
        <v>884</v>
      </c>
      <c r="E374" s="88" t="s">
        <v>1477</v>
      </c>
      <c r="F374" s="88">
        <v>0</v>
      </c>
      <c r="G374" s="88">
        <v>0</v>
      </c>
      <c r="H374" s="88">
        <v>0</v>
      </c>
      <c r="I374" s="88">
        <v>0</v>
      </c>
      <c r="J374" s="88">
        <v>0</v>
      </c>
      <c r="K374" s="88">
        <v>0</v>
      </c>
      <c r="L374" s="88">
        <v>0</v>
      </c>
      <c r="M374" s="88">
        <v>0</v>
      </c>
      <c r="N374" s="88">
        <v>0</v>
      </c>
      <c r="O374" s="88">
        <v>0</v>
      </c>
      <c r="P374" s="88">
        <v>0</v>
      </c>
      <c r="Q374" s="88">
        <v>0</v>
      </c>
      <c r="R374" s="88">
        <v>0</v>
      </c>
    </row>
    <row r="375" spans="1:18" x14ac:dyDescent="0.3">
      <c r="A375" s="195">
        <v>858</v>
      </c>
      <c r="B375" s="177">
        <v>1001</v>
      </c>
      <c r="C375" s="177" t="s">
        <v>163</v>
      </c>
      <c r="D375" s="201" t="s">
        <v>886</v>
      </c>
      <c r="E375" s="88" t="s">
        <v>1478</v>
      </c>
      <c r="F375" s="88">
        <v>0</v>
      </c>
      <c r="G375" s="88">
        <v>0</v>
      </c>
      <c r="H375" s="88">
        <v>0</v>
      </c>
      <c r="I375" s="88">
        <v>0</v>
      </c>
      <c r="J375" s="88">
        <v>0</v>
      </c>
      <c r="K375" s="88">
        <v>0</v>
      </c>
      <c r="L375" s="88">
        <v>0</v>
      </c>
      <c r="M375" s="88">
        <v>0</v>
      </c>
      <c r="N375" s="88">
        <v>0</v>
      </c>
      <c r="O375" s="88">
        <v>0</v>
      </c>
      <c r="P375" s="88">
        <v>0</v>
      </c>
      <c r="Q375" s="88">
        <v>0</v>
      </c>
      <c r="R375" s="88">
        <v>0</v>
      </c>
    </row>
    <row r="376" spans="1:18" x14ac:dyDescent="0.3">
      <c r="A376" s="195">
        <v>859</v>
      </c>
      <c r="B376" s="177">
        <v>1001</v>
      </c>
      <c r="C376" s="177" t="s">
        <v>163</v>
      </c>
      <c r="D376" s="201" t="s">
        <v>888</v>
      </c>
      <c r="E376" s="88" t="s">
        <v>1479</v>
      </c>
      <c r="F376" s="88">
        <v>0</v>
      </c>
      <c r="G376" s="88">
        <v>0</v>
      </c>
      <c r="H376" s="88">
        <v>0</v>
      </c>
      <c r="I376" s="88">
        <v>0</v>
      </c>
      <c r="J376" s="88">
        <v>0</v>
      </c>
      <c r="K376" s="88">
        <v>0</v>
      </c>
      <c r="L376" s="88">
        <v>0</v>
      </c>
      <c r="M376" s="88">
        <v>0</v>
      </c>
      <c r="N376" s="88">
        <v>0</v>
      </c>
      <c r="O376" s="88">
        <v>0</v>
      </c>
      <c r="P376" s="88">
        <v>0</v>
      </c>
      <c r="Q376" s="88">
        <v>0</v>
      </c>
      <c r="R376" s="88">
        <v>0</v>
      </c>
    </row>
    <row r="377" spans="1:18" x14ac:dyDescent="0.3">
      <c r="A377" s="195">
        <v>860</v>
      </c>
      <c r="B377" s="177">
        <v>1001</v>
      </c>
      <c r="C377" s="177" t="s">
        <v>163</v>
      </c>
      <c r="D377" s="201" t="s">
        <v>890</v>
      </c>
      <c r="E377" s="88" t="s">
        <v>1480</v>
      </c>
      <c r="F377" s="88">
        <v>0</v>
      </c>
      <c r="G377" s="88">
        <v>0</v>
      </c>
      <c r="H377" s="88">
        <v>0</v>
      </c>
      <c r="I377" s="88">
        <v>0</v>
      </c>
      <c r="J377" s="88">
        <v>0</v>
      </c>
      <c r="K377" s="88">
        <v>0</v>
      </c>
      <c r="L377" s="88">
        <v>0</v>
      </c>
      <c r="M377" s="88">
        <v>0</v>
      </c>
      <c r="N377" s="88">
        <v>0</v>
      </c>
      <c r="O377" s="88">
        <v>0</v>
      </c>
      <c r="P377" s="88">
        <v>0</v>
      </c>
      <c r="Q377" s="88">
        <v>0</v>
      </c>
      <c r="R377" s="88">
        <v>0</v>
      </c>
    </row>
    <row r="378" spans="1:18" x14ac:dyDescent="0.3">
      <c r="A378" s="195">
        <v>861</v>
      </c>
      <c r="B378" s="177">
        <v>1001</v>
      </c>
      <c r="C378" s="177" t="s">
        <v>163</v>
      </c>
      <c r="D378" s="201" t="s">
        <v>892</v>
      </c>
      <c r="E378" s="88" t="s">
        <v>1481</v>
      </c>
      <c r="F378" s="88">
        <v>0</v>
      </c>
      <c r="G378" s="88">
        <v>0</v>
      </c>
      <c r="H378" s="88">
        <v>0</v>
      </c>
      <c r="I378" s="88">
        <v>0</v>
      </c>
      <c r="J378" s="88">
        <v>0</v>
      </c>
      <c r="K378" s="88">
        <v>0</v>
      </c>
      <c r="L378" s="88">
        <v>0</v>
      </c>
      <c r="M378" s="88">
        <v>0</v>
      </c>
      <c r="N378" s="88">
        <v>0</v>
      </c>
      <c r="O378" s="88">
        <v>0</v>
      </c>
      <c r="P378" s="88">
        <v>0</v>
      </c>
      <c r="Q378" s="88">
        <v>0</v>
      </c>
      <c r="R378" s="88">
        <v>0</v>
      </c>
    </row>
    <row r="379" spans="1:18" x14ac:dyDescent="0.3">
      <c r="A379" s="195">
        <v>862</v>
      </c>
      <c r="B379" s="177">
        <v>1001</v>
      </c>
      <c r="C379" s="177" t="s">
        <v>163</v>
      </c>
      <c r="D379" s="201" t="s">
        <v>894</v>
      </c>
      <c r="E379" s="88" t="s">
        <v>1482</v>
      </c>
      <c r="F379" s="88">
        <v>0</v>
      </c>
      <c r="G379" s="88">
        <v>0</v>
      </c>
      <c r="H379" s="88">
        <v>0</v>
      </c>
      <c r="I379" s="88">
        <v>0</v>
      </c>
      <c r="J379" s="88">
        <v>0</v>
      </c>
      <c r="K379" s="88">
        <v>0</v>
      </c>
      <c r="L379" s="88">
        <v>0</v>
      </c>
      <c r="M379" s="88">
        <v>0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</row>
    <row r="380" spans="1:18" x14ac:dyDescent="0.3">
      <c r="A380" s="195">
        <v>863</v>
      </c>
      <c r="B380" s="177">
        <v>1001</v>
      </c>
      <c r="C380" s="177" t="s">
        <v>163</v>
      </c>
      <c r="D380" s="201" t="s">
        <v>896</v>
      </c>
      <c r="E380" s="88" t="s">
        <v>1483</v>
      </c>
      <c r="F380" s="88">
        <v>0</v>
      </c>
      <c r="G380" s="88">
        <v>0</v>
      </c>
      <c r="H380" s="88">
        <v>0</v>
      </c>
      <c r="I380" s="88">
        <v>0</v>
      </c>
      <c r="J380" s="88">
        <v>0</v>
      </c>
      <c r="K380" s="88">
        <v>0</v>
      </c>
      <c r="L380" s="88">
        <v>0</v>
      </c>
      <c r="M380" s="88">
        <v>0</v>
      </c>
      <c r="N380" s="88">
        <v>0</v>
      </c>
      <c r="O380" s="88">
        <v>0</v>
      </c>
      <c r="P380" s="88">
        <v>0</v>
      </c>
      <c r="Q380" s="88">
        <v>0</v>
      </c>
      <c r="R380" s="88">
        <v>0</v>
      </c>
    </row>
    <row r="381" spans="1:18" x14ac:dyDescent="0.3">
      <c r="A381" s="195">
        <v>864</v>
      </c>
      <c r="B381" s="177">
        <v>1001</v>
      </c>
      <c r="C381" s="177" t="s">
        <v>163</v>
      </c>
      <c r="D381" s="201" t="s">
        <v>898</v>
      </c>
      <c r="E381" s="88" t="s">
        <v>1484</v>
      </c>
      <c r="F381" s="88">
        <v>0</v>
      </c>
      <c r="G381" s="88">
        <v>0</v>
      </c>
      <c r="H381" s="88">
        <v>0</v>
      </c>
      <c r="I381" s="88">
        <v>0</v>
      </c>
      <c r="J381" s="88">
        <v>0</v>
      </c>
      <c r="K381" s="88">
        <v>0</v>
      </c>
      <c r="L381" s="88">
        <v>0</v>
      </c>
      <c r="M381" s="88">
        <v>0</v>
      </c>
      <c r="N381" s="88">
        <v>0</v>
      </c>
      <c r="O381" s="88">
        <v>0</v>
      </c>
      <c r="P381" s="88">
        <v>0</v>
      </c>
      <c r="Q381" s="88">
        <v>0</v>
      </c>
      <c r="R381" s="88">
        <v>0</v>
      </c>
    </row>
    <row r="382" spans="1:18" x14ac:dyDescent="0.3">
      <c r="A382" s="195">
        <v>865</v>
      </c>
      <c r="B382" s="177">
        <v>1001</v>
      </c>
      <c r="C382" s="177" t="s">
        <v>163</v>
      </c>
      <c r="D382" s="201" t="s">
        <v>900</v>
      </c>
      <c r="E382" s="88" t="s">
        <v>1485</v>
      </c>
      <c r="F382" s="88">
        <v>0</v>
      </c>
      <c r="G382" s="88">
        <v>0</v>
      </c>
      <c r="H382" s="88">
        <v>0</v>
      </c>
      <c r="I382" s="88">
        <v>0</v>
      </c>
      <c r="J382" s="88">
        <v>0</v>
      </c>
      <c r="K382" s="88">
        <v>0</v>
      </c>
      <c r="L382" s="88">
        <v>0</v>
      </c>
      <c r="M382" s="88">
        <v>0</v>
      </c>
      <c r="N382" s="88">
        <v>0</v>
      </c>
      <c r="O382" s="88">
        <v>0</v>
      </c>
      <c r="P382" s="88">
        <v>0</v>
      </c>
      <c r="Q382" s="88">
        <v>0</v>
      </c>
      <c r="R382" s="88">
        <v>0</v>
      </c>
    </row>
    <row r="383" spans="1:18" x14ac:dyDescent="0.3">
      <c r="A383" s="195">
        <v>866</v>
      </c>
      <c r="B383" s="177">
        <v>1001</v>
      </c>
      <c r="C383" s="177" t="s">
        <v>163</v>
      </c>
      <c r="D383" s="201" t="s">
        <v>902</v>
      </c>
      <c r="E383" s="88" t="s">
        <v>1486</v>
      </c>
      <c r="F383" s="88">
        <v>0</v>
      </c>
      <c r="G383" s="88">
        <v>0</v>
      </c>
      <c r="H383" s="88">
        <v>0</v>
      </c>
      <c r="I383" s="88">
        <v>0</v>
      </c>
      <c r="J383" s="88">
        <v>0</v>
      </c>
      <c r="K383" s="88">
        <v>0</v>
      </c>
      <c r="L383" s="88">
        <v>0</v>
      </c>
      <c r="M383" s="88">
        <v>0</v>
      </c>
      <c r="N383" s="88">
        <v>0</v>
      </c>
      <c r="O383" s="88">
        <v>0</v>
      </c>
      <c r="P383" s="88">
        <v>0</v>
      </c>
      <c r="Q383" s="88">
        <v>0</v>
      </c>
      <c r="R383" s="88">
        <v>0</v>
      </c>
    </row>
    <row r="384" spans="1:18" x14ac:dyDescent="0.3">
      <c r="A384" s="195">
        <v>867</v>
      </c>
      <c r="B384" s="177">
        <v>1001</v>
      </c>
      <c r="C384" s="177" t="s">
        <v>163</v>
      </c>
      <c r="D384" s="201" t="s">
        <v>904</v>
      </c>
      <c r="E384" s="88" t="s">
        <v>1487</v>
      </c>
      <c r="F384" s="88">
        <v>0</v>
      </c>
      <c r="G384" s="88">
        <v>0</v>
      </c>
      <c r="H384" s="88">
        <v>0</v>
      </c>
      <c r="I384" s="88">
        <v>0</v>
      </c>
      <c r="J384" s="88">
        <v>0</v>
      </c>
      <c r="K384" s="88">
        <v>0</v>
      </c>
      <c r="L384" s="88">
        <v>0</v>
      </c>
      <c r="M384" s="88">
        <v>0</v>
      </c>
      <c r="N384" s="88">
        <v>0</v>
      </c>
      <c r="O384" s="88">
        <v>0</v>
      </c>
      <c r="P384" s="88">
        <v>0</v>
      </c>
      <c r="Q384" s="88">
        <v>0</v>
      </c>
      <c r="R384" s="88">
        <v>0</v>
      </c>
    </row>
    <row r="385" spans="1:18" x14ac:dyDescent="0.3">
      <c r="A385" s="195">
        <v>870</v>
      </c>
      <c r="B385" s="177">
        <v>1001</v>
      </c>
      <c r="C385" s="177" t="s">
        <v>163</v>
      </c>
      <c r="D385" s="201" t="s">
        <v>906</v>
      </c>
      <c r="E385" s="88" t="s">
        <v>1488</v>
      </c>
      <c r="F385" s="88">
        <v>0</v>
      </c>
      <c r="G385" s="88">
        <v>0</v>
      </c>
      <c r="H385" s="88">
        <v>0</v>
      </c>
      <c r="I385" s="88">
        <v>0</v>
      </c>
      <c r="J385" s="88">
        <v>0</v>
      </c>
      <c r="K385" s="88">
        <v>0</v>
      </c>
      <c r="L385" s="88">
        <v>0</v>
      </c>
      <c r="M385" s="88">
        <v>0</v>
      </c>
      <c r="N385" s="88">
        <v>0</v>
      </c>
      <c r="O385" s="88">
        <v>0</v>
      </c>
      <c r="P385" s="88">
        <v>0</v>
      </c>
      <c r="Q385" s="88">
        <v>0</v>
      </c>
      <c r="R385" s="88">
        <v>0</v>
      </c>
    </row>
    <row r="386" spans="1:18" x14ac:dyDescent="0.3">
      <c r="A386" s="195">
        <v>871</v>
      </c>
      <c r="B386" s="177">
        <v>1001</v>
      </c>
      <c r="C386" s="177" t="s">
        <v>163</v>
      </c>
      <c r="D386" s="201" t="s">
        <v>908</v>
      </c>
      <c r="E386" s="88" t="s">
        <v>1489</v>
      </c>
      <c r="F386" s="88">
        <v>0</v>
      </c>
      <c r="G386" s="88">
        <v>0</v>
      </c>
      <c r="H386" s="88">
        <v>0</v>
      </c>
      <c r="I386" s="88">
        <v>0</v>
      </c>
      <c r="J386" s="88">
        <v>0</v>
      </c>
      <c r="K386" s="88">
        <v>0</v>
      </c>
      <c r="L386" s="88">
        <v>0</v>
      </c>
      <c r="M386" s="88">
        <v>0</v>
      </c>
      <c r="N386" s="88">
        <v>0</v>
      </c>
      <c r="O386" s="88">
        <v>0</v>
      </c>
      <c r="P386" s="88">
        <v>0</v>
      </c>
      <c r="Q386" s="88">
        <v>0</v>
      </c>
      <c r="R386" s="88">
        <v>0</v>
      </c>
    </row>
    <row r="387" spans="1:18" x14ac:dyDescent="0.3">
      <c r="A387" s="195">
        <v>872</v>
      </c>
      <c r="B387" s="177">
        <v>1001</v>
      </c>
      <c r="C387" s="177" t="s">
        <v>163</v>
      </c>
      <c r="D387" s="201" t="s">
        <v>910</v>
      </c>
      <c r="E387" s="88" t="s">
        <v>1490</v>
      </c>
      <c r="F387" s="88">
        <v>0</v>
      </c>
      <c r="G387" s="88">
        <v>0</v>
      </c>
      <c r="H387" s="88">
        <v>0</v>
      </c>
      <c r="I387" s="88">
        <v>0</v>
      </c>
      <c r="J387" s="88">
        <v>0</v>
      </c>
      <c r="K387" s="88">
        <v>0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0</v>
      </c>
    </row>
    <row r="388" spans="1:18" x14ac:dyDescent="0.3">
      <c r="A388" s="195">
        <v>873</v>
      </c>
      <c r="B388" s="177">
        <v>1001</v>
      </c>
      <c r="C388" s="177" t="s">
        <v>163</v>
      </c>
      <c r="D388" s="201" t="s">
        <v>912</v>
      </c>
      <c r="E388" s="88" t="s">
        <v>1491</v>
      </c>
      <c r="F388" s="88">
        <v>0</v>
      </c>
      <c r="G388" s="88">
        <v>0</v>
      </c>
      <c r="H388" s="88">
        <v>0</v>
      </c>
      <c r="I388" s="88">
        <v>0</v>
      </c>
      <c r="J388" s="88">
        <v>0</v>
      </c>
      <c r="K388" s="88">
        <v>0</v>
      </c>
      <c r="L388" s="88">
        <v>0</v>
      </c>
      <c r="M388" s="88">
        <v>0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</row>
    <row r="389" spans="1:18" x14ac:dyDescent="0.3">
      <c r="A389" s="195">
        <v>874</v>
      </c>
      <c r="B389" s="177">
        <v>1001</v>
      </c>
      <c r="C389" s="177" t="s">
        <v>163</v>
      </c>
      <c r="D389" s="201" t="s">
        <v>914</v>
      </c>
      <c r="E389" s="88" t="s">
        <v>1492</v>
      </c>
      <c r="F389" s="88">
        <v>0</v>
      </c>
      <c r="G389" s="88">
        <v>0</v>
      </c>
      <c r="H389" s="88">
        <v>0</v>
      </c>
      <c r="I389" s="88">
        <v>0</v>
      </c>
      <c r="J389" s="88">
        <v>0</v>
      </c>
      <c r="K389" s="88">
        <v>0</v>
      </c>
      <c r="L389" s="88">
        <v>0</v>
      </c>
      <c r="M389" s="88">
        <v>0</v>
      </c>
      <c r="N389" s="88">
        <v>0</v>
      </c>
      <c r="O389" s="88">
        <v>0</v>
      </c>
      <c r="P389" s="88">
        <v>0</v>
      </c>
      <c r="Q389" s="88">
        <v>0</v>
      </c>
      <c r="R389" s="88">
        <v>0</v>
      </c>
    </row>
    <row r="390" spans="1:18" x14ac:dyDescent="0.3">
      <c r="A390" s="195">
        <v>875</v>
      </c>
      <c r="B390" s="177">
        <v>1001</v>
      </c>
      <c r="C390" s="177" t="s">
        <v>163</v>
      </c>
      <c r="D390" s="201" t="s">
        <v>916</v>
      </c>
      <c r="E390" s="88" t="s">
        <v>1493</v>
      </c>
      <c r="F390" s="88">
        <v>0</v>
      </c>
      <c r="G390" s="88">
        <v>0</v>
      </c>
      <c r="H390" s="88">
        <v>0</v>
      </c>
      <c r="I390" s="88">
        <v>0</v>
      </c>
      <c r="J390" s="88">
        <v>0</v>
      </c>
      <c r="K390" s="88">
        <v>0</v>
      </c>
      <c r="L390" s="88">
        <v>0</v>
      </c>
      <c r="M390" s="88">
        <v>0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</row>
    <row r="391" spans="1:18" x14ac:dyDescent="0.3">
      <c r="A391" s="195">
        <v>876</v>
      </c>
      <c r="B391" s="177">
        <v>1001</v>
      </c>
      <c r="C391" s="177" t="s">
        <v>163</v>
      </c>
      <c r="D391" s="201" t="s">
        <v>918</v>
      </c>
      <c r="E391" s="88" t="s">
        <v>1494</v>
      </c>
      <c r="F391" s="88">
        <v>0</v>
      </c>
      <c r="G391" s="88">
        <v>0</v>
      </c>
      <c r="H391" s="88">
        <v>0</v>
      </c>
      <c r="I391" s="88">
        <v>0</v>
      </c>
      <c r="J391" s="88">
        <v>0</v>
      </c>
      <c r="K391" s="88">
        <v>0</v>
      </c>
      <c r="L391" s="88">
        <v>0</v>
      </c>
      <c r="M391" s="88">
        <v>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</row>
    <row r="392" spans="1:18" x14ac:dyDescent="0.3">
      <c r="A392" s="195">
        <v>877</v>
      </c>
      <c r="B392" s="177">
        <v>1001</v>
      </c>
      <c r="C392" s="177" t="s">
        <v>163</v>
      </c>
      <c r="D392" s="201" t="s">
        <v>920</v>
      </c>
      <c r="E392" s="88" t="s">
        <v>1495</v>
      </c>
      <c r="F392" s="88">
        <v>0</v>
      </c>
      <c r="G392" s="88">
        <v>0</v>
      </c>
      <c r="H392" s="88">
        <v>0</v>
      </c>
      <c r="I392" s="88">
        <v>0</v>
      </c>
      <c r="J392" s="88">
        <v>0</v>
      </c>
      <c r="K392" s="88">
        <v>0</v>
      </c>
      <c r="L392" s="88">
        <v>0</v>
      </c>
      <c r="M392" s="88">
        <v>0</v>
      </c>
      <c r="N392" s="88">
        <v>0</v>
      </c>
      <c r="O392" s="88">
        <v>0</v>
      </c>
      <c r="P392" s="88">
        <v>0</v>
      </c>
      <c r="Q392" s="88">
        <v>0</v>
      </c>
      <c r="R392" s="88">
        <v>0</v>
      </c>
    </row>
    <row r="393" spans="1:18" x14ac:dyDescent="0.3">
      <c r="A393" s="195">
        <v>878</v>
      </c>
      <c r="B393" s="177">
        <v>1001</v>
      </c>
      <c r="C393" s="177" t="s">
        <v>163</v>
      </c>
      <c r="D393" s="201" t="s">
        <v>922</v>
      </c>
      <c r="E393" s="88" t="s">
        <v>1496</v>
      </c>
      <c r="F393" s="88">
        <v>0</v>
      </c>
      <c r="G393" s="88">
        <v>0</v>
      </c>
      <c r="H393" s="88">
        <v>0</v>
      </c>
      <c r="I393" s="88">
        <v>0</v>
      </c>
      <c r="J393" s="88">
        <v>0</v>
      </c>
      <c r="K393" s="88">
        <v>0</v>
      </c>
      <c r="L393" s="88">
        <v>0</v>
      </c>
      <c r="M393" s="88">
        <v>0</v>
      </c>
      <c r="N393" s="88">
        <v>0</v>
      </c>
      <c r="O393" s="88">
        <v>0</v>
      </c>
      <c r="P393" s="88">
        <v>0</v>
      </c>
      <c r="Q393" s="88">
        <v>0</v>
      </c>
      <c r="R393" s="88">
        <v>0</v>
      </c>
    </row>
    <row r="394" spans="1:18" x14ac:dyDescent="0.3">
      <c r="A394" s="195">
        <v>879</v>
      </c>
      <c r="B394" s="177">
        <v>1001</v>
      </c>
      <c r="C394" s="177" t="s">
        <v>163</v>
      </c>
      <c r="D394" s="201" t="s">
        <v>924</v>
      </c>
      <c r="E394" s="88" t="s">
        <v>1497</v>
      </c>
      <c r="F394" s="88">
        <v>0</v>
      </c>
      <c r="G394" s="88">
        <v>0</v>
      </c>
      <c r="H394" s="88">
        <v>0</v>
      </c>
      <c r="I394" s="88">
        <v>0</v>
      </c>
      <c r="J394" s="88">
        <v>0</v>
      </c>
      <c r="K394" s="88">
        <v>0</v>
      </c>
      <c r="L394" s="88">
        <v>0</v>
      </c>
      <c r="M394" s="88">
        <v>0</v>
      </c>
      <c r="N394" s="88">
        <v>0</v>
      </c>
      <c r="O394" s="88">
        <v>0</v>
      </c>
      <c r="P394" s="88">
        <v>0</v>
      </c>
      <c r="Q394" s="88">
        <v>0</v>
      </c>
      <c r="R394" s="88">
        <v>0</v>
      </c>
    </row>
    <row r="395" spans="1:18" x14ac:dyDescent="0.3">
      <c r="A395" s="195">
        <v>880</v>
      </c>
      <c r="B395" s="177">
        <v>1001</v>
      </c>
      <c r="C395" s="177" t="s">
        <v>163</v>
      </c>
      <c r="D395" s="201" t="s">
        <v>926</v>
      </c>
      <c r="E395" s="88" t="s">
        <v>1498</v>
      </c>
      <c r="F395" s="88">
        <v>0</v>
      </c>
      <c r="G395" s="88">
        <v>0</v>
      </c>
      <c r="H395" s="88">
        <v>0</v>
      </c>
      <c r="I395" s="88">
        <v>0</v>
      </c>
      <c r="J395" s="88">
        <v>0</v>
      </c>
      <c r="K395" s="88">
        <v>0</v>
      </c>
      <c r="L395" s="88">
        <v>0</v>
      </c>
      <c r="M395" s="88">
        <v>0</v>
      </c>
      <c r="N395" s="88">
        <v>0</v>
      </c>
      <c r="O395" s="88">
        <v>0</v>
      </c>
      <c r="P395" s="88">
        <v>0</v>
      </c>
      <c r="Q395" s="88">
        <v>0</v>
      </c>
      <c r="R395" s="88">
        <v>0</v>
      </c>
    </row>
    <row r="396" spans="1:18" x14ac:dyDescent="0.3">
      <c r="A396" s="195">
        <v>881</v>
      </c>
      <c r="B396" s="177">
        <v>1001</v>
      </c>
      <c r="C396" s="177" t="s">
        <v>163</v>
      </c>
      <c r="D396" s="201" t="s">
        <v>928</v>
      </c>
      <c r="E396" s="88" t="s">
        <v>1499</v>
      </c>
      <c r="F396" s="88">
        <v>0</v>
      </c>
      <c r="G396" s="88">
        <v>0</v>
      </c>
      <c r="H396" s="88">
        <v>0</v>
      </c>
      <c r="I396" s="88">
        <v>0</v>
      </c>
      <c r="J396" s="88">
        <v>0</v>
      </c>
      <c r="K396" s="88">
        <v>0</v>
      </c>
      <c r="L396" s="88">
        <v>0</v>
      </c>
      <c r="M396" s="88">
        <v>0</v>
      </c>
      <c r="N396" s="88">
        <v>0</v>
      </c>
      <c r="O396" s="88">
        <v>0</v>
      </c>
      <c r="P396" s="88">
        <v>0</v>
      </c>
      <c r="Q396" s="88">
        <v>0</v>
      </c>
      <c r="R396" s="88">
        <v>0</v>
      </c>
    </row>
    <row r="397" spans="1:18" x14ac:dyDescent="0.3">
      <c r="A397" s="195">
        <v>885</v>
      </c>
      <c r="B397" s="177">
        <v>1001</v>
      </c>
      <c r="C397" s="177" t="s">
        <v>163</v>
      </c>
      <c r="D397" s="201" t="s">
        <v>930</v>
      </c>
      <c r="E397" s="88" t="s">
        <v>1500</v>
      </c>
      <c r="F397" s="88">
        <v>0</v>
      </c>
      <c r="G397" s="88">
        <v>0</v>
      </c>
      <c r="H397" s="88">
        <v>0</v>
      </c>
      <c r="I397" s="88">
        <v>0</v>
      </c>
      <c r="J397" s="88">
        <v>0</v>
      </c>
      <c r="K397" s="88">
        <v>0</v>
      </c>
      <c r="L397" s="88">
        <v>0</v>
      </c>
      <c r="M397" s="88">
        <v>0</v>
      </c>
      <c r="N397" s="88">
        <v>0</v>
      </c>
      <c r="O397" s="88">
        <v>0</v>
      </c>
      <c r="P397" s="88">
        <v>0</v>
      </c>
      <c r="Q397" s="88">
        <v>0</v>
      </c>
      <c r="R397" s="88">
        <v>0</v>
      </c>
    </row>
    <row r="398" spans="1:18" x14ac:dyDescent="0.3">
      <c r="A398" s="195">
        <v>886</v>
      </c>
      <c r="B398" s="177">
        <v>1001</v>
      </c>
      <c r="C398" s="177" t="s">
        <v>163</v>
      </c>
      <c r="D398" s="201" t="s">
        <v>932</v>
      </c>
      <c r="E398" s="88" t="s">
        <v>1501</v>
      </c>
      <c r="F398" s="88">
        <v>0</v>
      </c>
      <c r="G398" s="88">
        <v>0</v>
      </c>
      <c r="H398" s="88">
        <v>0</v>
      </c>
      <c r="I398" s="88">
        <v>0</v>
      </c>
      <c r="J398" s="88">
        <v>0</v>
      </c>
      <c r="K398" s="88">
        <v>0</v>
      </c>
      <c r="L398" s="88">
        <v>0</v>
      </c>
      <c r="M398" s="88">
        <v>0</v>
      </c>
      <c r="N398" s="88">
        <v>0</v>
      </c>
      <c r="O398" s="88">
        <v>0</v>
      </c>
      <c r="P398" s="88">
        <v>0</v>
      </c>
      <c r="Q398" s="88">
        <v>0</v>
      </c>
      <c r="R398" s="88">
        <v>0</v>
      </c>
    </row>
    <row r="399" spans="1:18" x14ac:dyDescent="0.3">
      <c r="A399" s="195">
        <v>887</v>
      </c>
      <c r="B399" s="177">
        <v>1001</v>
      </c>
      <c r="C399" s="177" t="s">
        <v>163</v>
      </c>
      <c r="D399" s="201" t="s">
        <v>934</v>
      </c>
      <c r="E399" s="88" t="s">
        <v>1502</v>
      </c>
      <c r="F399" s="88">
        <v>0</v>
      </c>
      <c r="G399" s="88">
        <v>0</v>
      </c>
      <c r="H399" s="88">
        <v>0</v>
      </c>
      <c r="I399" s="88">
        <v>0</v>
      </c>
      <c r="J399" s="88">
        <v>0</v>
      </c>
      <c r="K399" s="88">
        <v>0</v>
      </c>
      <c r="L399" s="88">
        <v>0</v>
      </c>
      <c r="M399" s="88">
        <v>0</v>
      </c>
      <c r="N399" s="88">
        <v>0</v>
      </c>
      <c r="O399" s="88">
        <v>0</v>
      </c>
      <c r="P399" s="88">
        <v>0</v>
      </c>
      <c r="Q399" s="88">
        <v>0</v>
      </c>
      <c r="R399" s="88">
        <v>0</v>
      </c>
    </row>
    <row r="400" spans="1:18" x14ac:dyDescent="0.3">
      <c r="A400" s="195">
        <v>888</v>
      </c>
      <c r="B400" s="177">
        <v>1001</v>
      </c>
      <c r="C400" s="177" t="s">
        <v>163</v>
      </c>
      <c r="D400" s="201" t="s">
        <v>936</v>
      </c>
      <c r="E400" s="88" t="s">
        <v>1503</v>
      </c>
      <c r="F400" s="88">
        <v>0</v>
      </c>
      <c r="G400" s="88">
        <v>0</v>
      </c>
      <c r="H400" s="88">
        <v>0</v>
      </c>
      <c r="I400" s="88">
        <v>0</v>
      </c>
      <c r="J400" s="88">
        <v>0</v>
      </c>
      <c r="K400" s="88">
        <v>0</v>
      </c>
      <c r="L400" s="88">
        <v>0</v>
      </c>
      <c r="M400" s="88">
        <v>0</v>
      </c>
      <c r="N400" s="88">
        <v>0</v>
      </c>
      <c r="O400" s="88">
        <v>0</v>
      </c>
      <c r="P400" s="88">
        <v>0</v>
      </c>
      <c r="Q400" s="88">
        <v>0</v>
      </c>
      <c r="R400" s="88">
        <v>0</v>
      </c>
    </row>
    <row r="401" spans="1:18" x14ac:dyDescent="0.3">
      <c r="A401" s="195">
        <v>889</v>
      </c>
      <c r="B401" s="177">
        <v>1001</v>
      </c>
      <c r="C401" s="177" t="s">
        <v>163</v>
      </c>
      <c r="D401" s="201" t="s">
        <v>938</v>
      </c>
      <c r="E401" s="88" t="s">
        <v>1504</v>
      </c>
      <c r="F401" s="88">
        <v>0</v>
      </c>
      <c r="G401" s="88">
        <v>0</v>
      </c>
      <c r="H401" s="88">
        <v>0</v>
      </c>
      <c r="I401" s="88">
        <v>0</v>
      </c>
      <c r="J401" s="88">
        <v>0</v>
      </c>
      <c r="K401" s="88">
        <v>0</v>
      </c>
      <c r="L401" s="88">
        <v>0</v>
      </c>
      <c r="M401" s="88">
        <v>0</v>
      </c>
      <c r="N401" s="88">
        <v>0</v>
      </c>
      <c r="O401" s="88">
        <v>0</v>
      </c>
      <c r="P401" s="88">
        <v>0</v>
      </c>
      <c r="Q401" s="88">
        <v>0</v>
      </c>
      <c r="R401" s="88">
        <v>0</v>
      </c>
    </row>
    <row r="402" spans="1:18" x14ac:dyDescent="0.3">
      <c r="A402" s="195">
        <v>890</v>
      </c>
      <c r="B402" s="177">
        <v>1001</v>
      </c>
      <c r="C402" s="177" t="s">
        <v>163</v>
      </c>
      <c r="D402" s="201" t="s">
        <v>940</v>
      </c>
      <c r="E402" s="88" t="s">
        <v>1505</v>
      </c>
      <c r="F402" s="88">
        <v>0</v>
      </c>
      <c r="G402" s="88">
        <v>0</v>
      </c>
      <c r="H402" s="88">
        <v>0</v>
      </c>
      <c r="I402" s="88">
        <v>0</v>
      </c>
      <c r="J402" s="88">
        <v>0</v>
      </c>
      <c r="K402" s="88">
        <v>0</v>
      </c>
      <c r="L402" s="88">
        <v>0</v>
      </c>
      <c r="M402" s="88">
        <v>0</v>
      </c>
      <c r="N402" s="88">
        <v>0</v>
      </c>
      <c r="O402" s="88">
        <v>0</v>
      </c>
      <c r="P402" s="88">
        <v>0</v>
      </c>
      <c r="Q402" s="88">
        <v>0</v>
      </c>
      <c r="R402" s="88">
        <v>0</v>
      </c>
    </row>
    <row r="403" spans="1:18" x14ac:dyDescent="0.3">
      <c r="A403" s="195">
        <v>891</v>
      </c>
      <c r="B403" s="177">
        <v>1001</v>
      </c>
      <c r="C403" s="177" t="s">
        <v>163</v>
      </c>
      <c r="D403" s="201" t="s">
        <v>942</v>
      </c>
      <c r="E403" s="88" t="s">
        <v>1506</v>
      </c>
      <c r="F403" s="88">
        <v>0</v>
      </c>
      <c r="G403" s="88">
        <v>0</v>
      </c>
      <c r="H403" s="88">
        <v>0</v>
      </c>
      <c r="I403" s="88">
        <v>0</v>
      </c>
      <c r="J403" s="88">
        <v>0</v>
      </c>
      <c r="K403" s="88">
        <v>0</v>
      </c>
      <c r="L403" s="88">
        <v>0</v>
      </c>
      <c r="M403" s="88">
        <v>0</v>
      </c>
      <c r="N403" s="88">
        <v>0</v>
      </c>
      <c r="O403" s="88">
        <v>0</v>
      </c>
      <c r="P403" s="88">
        <v>0</v>
      </c>
      <c r="Q403" s="88">
        <v>0</v>
      </c>
      <c r="R403" s="88">
        <v>0</v>
      </c>
    </row>
    <row r="404" spans="1:18" x14ac:dyDescent="0.3">
      <c r="A404" s="195">
        <v>892</v>
      </c>
      <c r="B404" s="177">
        <v>1001</v>
      </c>
      <c r="C404" s="177" t="s">
        <v>163</v>
      </c>
      <c r="D404" s="201" t="s">
        <v>944</v>
      </c>
      <c r="E404" s="88" t="s">
        <v>1507</v>
      </c>
      <c r="F404" s="88">
        <v>0</v>
      </c>
      <c r="G404" s="88">
        <v>0</v>
      </c>
      <c r="H404" s="88">
        <v>0</v>
      </c>
      <c r="I404" s="88">
        <v>0</v>
      </c>
      <c r="J404" s="88">
        <v>0</v>
      </c>
      <c r="K404" s="88">
        <v>0</v>
      </c>
      <c r="L404" s="88">
        <v>0</v>
      </c>
      <c r="M404" s="88">
        <v>0</v>
      </c>
      <c r="N404" s="88">
        <v>0</v>
      </c>
      <c r="O404" s="88">
        <v>0</v>
      </c>
      <c r="P404" s="88">
        <v>0</v>
      </c>
      <c r="Q404" s="88">
        <v>0</v>
      </c>
      <c r="R404" s="88">
        <v>0</v>
      </c>
    </row>
    <row r="405" spans="1:18" x14ac:dyDescent="0.3">
      <c r="A405" s="195">
        <v>893</v>
      </c>
      <c r="B405" s="177">
        <v>1001</v>
      </c>
      <c r="C405" s="177" t="s">
        <v>163</v>
      </c>
      <c r="D405" s="201" t="s">
        <v>946</v>
      </c>
      <c r="E405" s="88" t="s">
        <v>1508</v>
      </c>
      <c r="F405" s="88">
        <v>0</v>
      </c>
      <c r="G405" s="88">
        <v>0</v>
      </c>
      <c r="H405" s="88">
        <v>0</v>
      </c>
      <c r="I405" s="88">
        <v>0</v>
      </c>
      <c r="J405" s="88">
        <v>0</v>
      </c>
      <c r="K405" s="88">
        <v>0</v>
      </c>
      <c r="L405" s="88">
        <v>0</v>
      </c>
      <c r="M405" s="88">
        <v>0</v>
      </c>
      <c r="N405" s="88">
        <v>0</v>
      </c>
      <c r="O405" s="88">
        <v>0</v>
      </c>
      <c r="P405" s="88">
        <v>0</v>
      </c>
      <c r="Q405" s="88">
        <v>0</v>
      </c>
      <c r="R405" s="88">
        <v>0</v>
      </c>
    </row>
    <row r="406" spans="1:18" x14ac:dyDescent="0.3">
      <c r="A406" s="195">
        <v>894</v>
      </c>
      <c r="B406" s="177">
        <v>1001</v>
      </c>
      <c r="C406" s="177" t="s">
        <v>163</v>
      </c>
      <c r="D406" s="201" t="s">
        <v>948</v>
      </c>
      <c r="E406" s="88" t="s">
        <v>1509</v>
      </c>
      <c r="F406" s="88">
        <v>0</v>
      </c>
      <c r="G406" s="88">
        <v>0</v>
      </c>
      <c r="H406" s="88">
        <v>0</v>
      </c>
      <c r="I406" s="88">
        <v>0</v>
      </c>
      <c r="J406" s="88">
        <v>0</v>
      </c>
      <c r="K406" s="88">
        <v>0</v>
      </c>
      <c r="L406" s="88">
        <v>0</v>
      </c>
      <c r="M406" s="88">
        <v>0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</row>
    <row r="407" spans="1:18" x14ac:dyDescent="0.3">
      <c r="A407" s="195">
        <v>901</v>
      </c>
      <c r="B407" s="177">
        <v>1001</v>
      </c>
      <c r="C407" s="177" t="s">
        <v>163</v>
      </c>
      <c r="D407" s="201" t="s">
        <v>950</v>
      </c>
      <c r="E407" s="88" t="s">
        <v>1510</v>
      </c>
      <c r="F407" s="88">
        <v>0</v>
      </c>
      <c r="G407" s="88">
        <v>0</v>
      </c>
      <c r="H407" s="88">
        <v>0</v>
      </c>
      <c r="I407" s="88">
        <v>0</v>
      </c>
      <c r="J407" s="88">
        <v>0</v>
      </c>
      <c r="K407" s="88">
        <v>0</v>
      </c>
      <c r="L407" s="88">
        <v>0</v>
      </c>
      <c r="M407" s="88">
        <v>0</v>
      </c>
      <c r="N407" s="88">
        <v>0</v>
      </c>
      <c r="O407" s="88">
        <v>0</v>
      </c>
      <c r="P407" s="88">
        <v>0</v>
      </c>
      <c r="Q407" s="88">
        <v>0</v>
      </c>
      <c r="R407" s="88">
        <v>0</v>
      </c>
    </row>
    <row r="408" spans="1:18" x14ac:dyDescent="0.3">
      <c r="A408" s="195">
        <v>902</v>
      </c>
      <c r="B408" s="177">
        <v>1001</v>
      </c>
      <c r="C408" s="177" t="s">
        <v>163</v>
      </c>
      <c r="D408" s="201" t="s">
        <v>952</v>
      </c>
      <c r="E408" s="88" t="s">
        <v>1511</v>
      </c>
      <c r="F408" s="88">
        <v>431185.06006809999</v>
      </c>
      <c r="G408" s="88">
        <v>302261.96785219997</v>
      </c>
      <c r="H408" s="88">
        <v>287542.43879819999</v>
      </c>
      <c r="I408" s="88">
        <v>457231.26276239997</v>
      </c>
      <c r="J408" s="88">
        <v>304915.48686260002</v>
      </c>
      <c r="K408" s="88">
        <v>312722.44296880002</v>
      </c>
      <c r="L408" s="88">
        <v>444291.44127439999</v>
      </c>
      <c r="M408" s="88">
        <v>352215.14415459998</v>
      </c>
      <c r="N408" s="88">
        <v>328748.37724160001</v>
      </c>
      <c r="O408" s="88">
        <v>438645.30197069998</v>
      </c>
      <c r="P408" s="88">
        <v>387580.47074060002</v>
      </c>
      <c r="Q408" s="88">
        <v>347086.8997214</v>
      </c>
      <c r="R408" s="88">
        <v>4394426.2944155997</v>
      </c>
    </row>
    <row r="409" spans="1:18" x14ac:dyDescent="0.3">
      <c r="A409" s="195">
        <v>903</v>
      </c>
      <c r="B409" s="177">
        <v>1001</v>
      </c>
      <c r="C409" s="177" t="s">
        <v>163</v>
      </c>
      <c r="D409" s="201" t="s">
        <v>954</v>
      </c>
      <c r="E409" s="88" t="s">
        <v>1512</v>
      </c>
      <c r="F409" s="88">
        <v>2466636.7537588002</v>
      </c>
      <c r="G409" s="88">
        <v>2272445.5497673</v>
      </c>
      <c r="H409" s="88">
        <v>2333938.7997673</v>
      </c>
      <c r="I409" s="88">
        <v>2366390.3708213</v>
      </c>
      <c r="J409" s="88">
        <v>2635607.6479042</v>
      </c>
      <c r="K409" s="88">
        <v>2352957.7176704002</v>
      </c>
      <c r="L409" s="88">
        <v>2498471.9086477002</v>
      </c>
      <c r="M409" s="88">
        <v>2488309.6796117998</v>
      </c>
      <c r="N409" s="88">
        <v>2425938.4725389001</v>
      </c>
      <c r="O409" s="88">
        <v>2489198.6449978999</v>
      </c>
      <c r="P409" s="88">
        <v>2575892.9512888999</v>
      </c>
      <c r="Q409" s="88">
        <v>2470817.3780636</v>
      </c>
      <c r="R409" s="88">
        <v>29376605.874838099</v>
      </c>
    </row>
    <row r="410" spans="1:18" x14ac:dyDescent="0.3">
      <c r="A410" s="195">
        <v>904</v>
      </c>
      <c r="B410" s="177">
        <v>1001</v>
      </c>
      <c r="C410" s="177" t="s">
        <v>163</v>
      </c>
      <c r="D410" s="201" t="s">
        <v>956</v>
      </c>
      <c r="E410" s="88" t="s">
        <v>1513</v>
      </c>
      <c r="F410" s="88">
        <v>535004.08548150002</v>
      </c>
      <c r="G410" s="88">
        <v>416854.43843610003</v>
      </c>
      <c r="H410" s="88">
        <v>394595.26702500001</v>
      </c>
      <c r="I410" s="88">
        <v>496259.70926839998</v>
      </c>
      <c r="J410" s="88">
        <v>476106.71931050002</v>
      </c>
      <c r="K410" s="88">
        <v>475209.16333120002</v>
      </c>
      <c r="L410" s="88">
        <v>481730.64659289998</v>
      </c>
      <c r="M410" s="88">
        <v>442112.22286059998</v>
      </c>
      <c r="N410" s="88">
        <v>556668.11251939996</v>
      </c>
      <c r="O410" s="88">
        <v>492223.62028540001</v>
      </c>
      <c r="P410" s="88">
        <v>482058.76406670001</v>
      </c>
      <c r="Q410" s="88">
        <v>547957.67691379995</v>
      </c>
      <c r="R410" s="88">
        <v>5796780.4260914996</v>
      </c>
    </row>
    <row r="411" spans="1:18" x14ac:dyDescent="0.3">
      <c r="A411" s="195">
        <v>905</v>
      </c>
      <c r="B411" s="177">
        <v>1001</v>
      </c>
      <c r="C411" s="177" t="s">
        <v>163</v>
      </c>
      <c r="D411" s="201" t="s">
        <v>958</v>
      </c>
      <c r="E411" s="88" t="s">
        <v>1514</v>
      </c>
      <c r="F411" s="88">
        <v>0</v>
      </c>
      <c r="G411" s="88">
        <v>0</v>
      </c>
      <c r="H411" s="88">
        <v>0</v>
      </c>
      <c r="I411" s="88">
        <v>0</v>
      </c>
      <c r="J411" s="88">
        <v>0</v>
      </c>
      <c r="K411" s="88">
        <v>0</v>
      </c>
      <c r="L411" s="88">
        <v>0</v>
      </c>
      <c r="M411" s="88">
        <v>0</v>
      </c>
      <c r="N411" s="88">
        <v>0</v>
      </c>
      <c r="O411" s="88">
        <v>0</v>
      </c>
      <c r="P411" s="88">
        <v>0</v>
      </c>
      <c r="Q411" s="88">
        <v>0</v>
      </c>
      <c r="R411" s="88">
        <v>0</v>
      </c>
    </row>
    <row r="412" spans="1:18" x14ac:dyDescent="0.3">
      <c r="A412" s="195">
        <v>907</v>
      </c>
      <c r="B412" s="177">
        <v>1001</v>
      </c>
      <c r="C412" s="177" t="s">
        <v>163</v>
      </c>
      <c r="D412" s="201" t="s">
        <v>960</v>
      </c>
      <c r="E412" s="88" t="s">
        <v>1515</v>
      </c>
      <c r="F412" s="88">
        <v>0</v>
      </c>
      <c r="G412" s="88">
        <v>0</v>
      </c>
      <c r="H412" s="88">
        <v>0</v>
      </c>
      <c r="I412" s="88">
        <v>0</v>
      </c>
      <c r="J412" s="88">
        <v>0</v>
      </c>
      <c r="K412" s="88">
        <v>0</v>
      </c>
      <c r="L412" s="88">
        <v>0</v>
      </c>
      <c r="M412" s="88">
        <v>0</v>
      </c>
      <c r="N412" s="88">
        <v>0</v>
      </c>
      <c r="O412" s="88">
        <v>0</v>
      </c>
      <c r="P412" s="88">
        <v>0</v>
      </c>
      <c r="Q412" s="88">
        <v>0</v>
      </c>
      <c r="R412" s="88">
        <v>0</v>
      </c>
    </row>
    <row r="413" spans="1:18" x14ac:dyDescent="0.3">
      <c r="A413" s="195">
        <v>908</v>
      </c>
      <c r="B413" s="177">
        <v>1001</v>
      </c>
      <c r="C413" s="177" t="s">
        <v>163</v>
      </c>
      <c r="D413" s="201" t="s">
        <v>962</v>
      </c>
      <c r="E413" s="88" t="s">
        <v>1516</v>
      </c>
      <c r="F413" s="88">
        <v>4887684.6267860001</v>
      </c>
      <c r="G413" s="88">
        <v>4492728.0283834003</v>
      </c>
      <c r="H413" s="88">
        <v>4240970.2315854002</v>
      </c>
      <c r="I413" s="88">
        <v>4638738.8576191999</v>
      </c>
      <c r="J413" s="88">
        <v>5068116.9442383004</v>
      </c>
      <c r="K413" s="88">
        <v>5946296.3986221999</v>
      </c>
      <c r="L413" s="88">
        <v>6165039.4529951001</v>
      </c>
      <c r="M413" s="88">
        <v>5975558.7296519997</v>
      </c>
      <c r="N413" s="88">
        <v>6211684.8590652999</v>
      </c>
      <c r="O413" s="88">
        <v>5640602.3964545</v>
      </c>
      <c r="P413" s="88">
        <v>4827218.8068610998</v>
      </c>
      <c r="Q413" s="88">
        <v>4606025.3370319</v>
      </c>
      <c r="R413" s="88">
        <v>62700664.669294402</v>
      </c>
    </row>
    <row r="414" spans="1:18" x14ac:dyDescent="0.3">
      <c r="A414" s="195">
        <v>909</v>
      </c>
      <c r="B414" s="177">
        <v>1001</v>
      </c>
      <c r="C414" s="177" t="s">
        <v>163</v>
      </c>
      <c r="D414" s="201" t="s">
        <v>963</v>
      </c>
      <c r="E414" s="88" t="s">
        <v>1517</v>
      </c>
      <c r="F414" s="88">
        <v>344976.86804089998</v>
      </c>
      <c r="G414" s="88">
        <v>370329.36627910001</v>
      </c>
      <c r="H414" s="88">
        <v>620392.67918219999</v>
      </c>
      <c r="I414" s="88">
        <v>330421.66512590001</v>
      </c>
      <c r="J414" s="88">
        <v>362420.26713729999</v>
      </c>
      <c r="K414" s="88">
        <v>320407.90912040003</v>
      </c>
      <c r="L414" s="88">
        <v>519163.06851409998</v>
      </c>
      <c r="M414" s="88">
        <v>857943.65842200001</v>
      </c>
      <c r="N414" s="88">
        <v>634939.64162010001</v>
      </c>
      <c r="O414" s="88">
        <v>525308.27425430005</v>
      </c>
      <c r="P414" s="88">
        <v>328283.75790879998</v>
      </c>
      <c r="Q414" s="88">
        <v>269571.8222769</v>
      </c>
      <c r="R414" s="88">
        <v>5484158.9778819997</v>
      </c>
    </row>
    <row r="415" spans="1:18" x14ac:dyDescent="0.3">
      <c r="A415" s="195">
        <v>910</v>
      </c>
      <c r="B415" s="177">
        <v>1001</v>
      </c>
      <c r="C415" s="177" t="s">
        <v>163</v>
      </c>
      <c r="D415" s="201" t="s">
        <v>965</v>
      </c>
      <c r="E415" s="88" t="s">
        <v>1518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0</v>
      </c>
      <c r="L415" s="88">
        <v>0</v>
      </c>
      <c r="M415" s="88">
        <v>0</v>
      </c>
      <c r="N415" s="88">
        <v>0</v>
      </c>
      <c r="O415" s="88">
        <v>0</v>
      </c>
      <c r="P415" s="88">
        <v>0</v>
      </c>
      <c r="Q415" s="88">
        <v>0</v>
      </c>
      <c r="R415" s="88">
        <v>0</v>
      </c>
    </row>
    <row r="416" spans="1:18" x14ac:dyDescent="0.3">
      <c r="A416" s="195">
        <v>911</v>
      </c>
      <c r="B416" s="177">
        <v>1001</v>
      </c>
      <c r="C416" s="177" t="s">
        <v>163</v>
      </c>
      <c r="D416" s="201" t="s">
        <v>967</v>
      </c>
      <c r="E416" s="88" t="s">
        <v>1519</v>
      </c>
      <c r="F416" s="88">
        <v>0</v>
      </c>
      <c r="G416" s="88">
        <v>0</v>
      </c>
      <c r="H416" s="88">
        <v>0</v>
      </c>
      <c r="I416" s="88">
        <v>0</v>
      </c>
      <c r="J416" s="88">
        <v>0</v>
      </c>
      <c r="K416" s="88">
        <v>0</v>
      </c>
      <c r="L416" s="88">
        <v>0</v>
      </c>
      <c r="M416" s="88">
        <v>0</v>
      </c>
      <c r="N416" s="88">
        <v>0</v>
      </c>
      <c r="O416" s="88">
        <v>0</v>
      </c>
      <c r="P416" s="88">
        <v>0</v>
      </c>
      <c r="Q416" s="88">
        <v>0</v>
      </c>
      <c r="R416" s="88">
        <v>0</v>
      </c>
    </row>
    <row r="417" spans="1:18" x14ac:dyDescent="0.3">
      <c r="A417" s="195">
        <v>912</v>
      </c>
      <c r="B417" s="177">
        <v>1001</v>
      </c>
      <c r="C417" s="177" t="s">
        <v>163</v>
      </c>
      <c r="D417" s="201" t="s">
        <v>969</v>
      </c>
      <c r="E417" s="88" t="s">
        <v>1520</v>
      </c>
      <c r="F417" s="88">
        <v>97997</v>
      </c>
      <c r="G417" s="88">
        <v>10000</v>
      </c>
      <c r="H417" s="88">
        <v>16470</v>
      </c>
      <c r="I417" s="88">
        <v>26647</v>
      </c>
      <c r="J417" s="88">
        <v>11290</v>
      </c>
      <c r="K417" s="88">
        <v>13385</v>
      </c>
      <c r="L417" s="88">
        <v>24197</v>
      </c>
      <c r="M417" s="88">
        <v>11500</v>
      </c>
      <c r="N417" s="88">
        <v>26500</v>
      </c>
      <c r="O417" s="88">
        <v>54516</v>
      </c>
      <c r="P417" s="88">
        <v>29500</v>
      </c>
      <c r="Q417" s="88">
        <v>13000</v>
      </c>
      <c r="R417" s="88">
        <v>335002</v>
      </c>
    </row>
    <row r="418" spans="1:18" x14ac:dyDescent="0.3">
      <c r="A418" s="195">
        <v>913</v>
      </c>
      <c r="B418" s="177">
        <v>1001</v>
      </c>
      <c r="C418" s="177" t="s">
        <v>163</v>
      </c>
      <c r="D418" s="201" t="s">
        <v>971</v>
      </c>
      <c r="E418" s="88" t="s">
        <v>1521</v>
      </c>
      <c r="F418" s="88">
        <v>0</v>
      </c>
      <c r="G418" s="88">
        <v>0</v>
      </c>
      <c r="H418" s="88">
        <v>0</v>
      </c>
      <c r="I418" s="88">
        <v>0</v>
      </c>
      <c r="J418" s="88">
        <v>0</v>
      </c>
      <c r="K418" s="88">
        <v>0</v>
      </c>
      <c r="L418" s="88">
        <v>0</v>
      </c>
      <c r="M418" s="88">
        <v>0</v>
      </c>
      <c r="N418" s="88">
        <v>0</v>
      </c>
      <c r="O418" s="88">
        <v>0</v>
      </c>
      <c r="P418" s="88">
        <v>0</v>
      </c>
      <c r="Q418" s="88">
        <v>0</v>
      </c>
      <c r="R418" s="88">
        <v>0</v>
      </c>
    </row>
    <row r="419" spans="1:18" x14ac:dyDescent="0.3">
      <c r="A419" s="195">
        <v>916</v>
      </c>
      <c r="B419" s="177">
        <v>1001</v>
      </c>
      <c r="C419" s="177" t="s">
        <v>163</v>
      </c>
      <c r="D419" s="201" t="s">
        <v>973</v>
      </c>
      <c r="E419" s="88" t="s">
        <v>1522</v>
      </c>
      <c r="F419" s="88">
        <v>0</v>
      </c>
      <c r="G419" s="88">
        <v>0</v>
      </c>
      <c r="H419" s="88">
        <v>0</v>
      </c>
      <c r="I419" s="88">
        <v>0</v>
      </c>
      <c r="J419" s="88">
        <v>0</v>
      </c>
      <c r="K419" s="88">
        <v>0</v>
      </c>
      <c r="L419" s="88">
        <v>0</v>
      </c>
      <c r="M419" s="88">
        <v>0</v>
      </c>
      <c r="N419" s="88">
        <v>0</v>
      </c>
      <c r="O419" s="88">
        <v>0</v>
      </c>
      <c r="P419" s="88">
        <v>0</v>
      </c>
      <c r="Q419" s="88">
        <v>0</v>
      </c>
      <c r="R419" s="88">
        <v>0</v>
      </c>
    </row>
    <row r="420" spans="1:18" x14ac:dyDescent="0.3">
      <c r="A420" s="195">
        <v>920</v>
      </c>
      <c r="B420" s="177">
        <v>1001</v>
      </c>
      <c r="C420" s="177" t="s">
        <v>163</v>
      </c>
      <c r="D420" s="201" t="s">
        <v>975</v>
      </c>
      <c r="E420" s="88" t="s">
        <v>1523</v>
      </c>
      <c r="F420" s="88">
        <v>6334324.7280780999</v>
      </c>
      <c r="G420" s="88">
        <v>5958108.0198590001</v>
      </c>
      <c r="H420" s="88">
        <v>5873689.5393299004</v>
      </c>
      <c r="I420" s="88">
        <v>6134268.8557120999</v>
      </c>
      <c r="J420" s="88">
        <v>6302099.5262510004</v>
      </c>
      <c r="K420" s="88">
        <v>5679949.8523481004</v>
      </c>
      <c r="L420" s="88">
        <v>6338389.2459754003</v>
      </c>
      <c r="M420" s="88">
        <v>6156516.2385056997</v>
      </c>
      <c r="N420" s="88">
        <v>5899265.1025245003</v>
      </c>
      <c r="O420" s="88">
        <v>6325928.5940017998</v>
      </c>
      <c r="P420" s="88">
        <v>5929077.2413130002</v>
      </c>
      <c r="Q420" s="88">
        <v>6110786.7284057997</v>
      </c>
      <c r="R420" s="88">
        <v>73042403.672304407</v>
      </c>
    </row>
    <row r="421" spans="1:18" x14ac:dyDescent="0.3">
      <c r="A421" s="195">
        <v>921</v>
      </c>
      <c r="B421" s="177">
        <v>1001</v>
      </c>
      <c r="C421" s="177" t="s">
        <v>163</v>
      </c>
      <c r="D421" s="201" t="s">
        <v>977</v>
      </c>
      <c r="E421" s="88" t="s">
        <v>1524</v>
      </c>
      <c r="F421" s="88">
        <v>623214.0013764</v>
      </c>
      <c r="G421" s="88">
        <v>336722.22055839997</v>
      </c>
      <c r="H421" s="88">
        <v>498252.56669210002</v>
      </c>
      <c r="I421" s="88">
        <v>526763.14661709999</v>
      </c>
      <c r="J421" s="88">
        <v>300899.8711171</v>
      </c>
      <c r="K421" s="88">
        <v>472409.25269210001</v>
      </c>
      <c r="L421" s="88">
        <v>488440.30456710001</v>
      </c>
      <c r="M421" s="88">
        <v>294596.97131709999</v>
      </c>
      <c r="N421" s="88">
        <v>369908.44769210002</v>
      </c>
      <c r="O421" s="88">
        <v>512247.79231709999</v>
      </c>
      <c r="P421" s="88">
        <v>314646.99581709999</v>
      </c>
      <c r="Q421" s="88">
        <v>464738.78194209997</v>
      </c>
      <c r="R421" s="88">
        <v>5202840.3527058</v>
      </c>
    </row>
    <row r="422" spans="1:18" x14ac:dyDescent="0.3">
      <c r="A422" s="195">
        <v>922</v>
      </c>
      <c r="B422" s="177">
        <v>1001</v>
      </c>
      <c r="C422" s="177" t="s">
        <v>163</v>
      </c>
      <c r="D422" s="201" t="s">
        <v>979</v>
      </c>
      <c r="E422" s="88" t="s">
        <v>1525</v>
      </c>
      <c r="F422" s="88">
        <v>-4866475.9369681999</v>
      </c>
      <c r="G422" s="88">
        <v>-4720457.4225460999</v>
      </c>
      <c r="H422" s="88">
        <v>-4959677.3047139002</v>
      </c>
      <c r="I422" s="88">
        <v>-4864986.3861277997</v>
      </c>
      <c r="J422" s="88">
        <v>-4863822.7085033003</v>
      </c>
      <c r="K422" s="88">
        <v>-4902639.5207968997</v>
      </c>
      <c r="L422" s="88">
        <v>-4881490.1586995004</v>
      </c>
      <c r="M422" s="88">
        <v>-4797973.9661464002</v>
      </c>
      <c r="N422" s="88">
        <v>-4932787.8911207998</v>
      </c>
      <c r="O422" s="88">
        <v>-4793368.5497752</v>
      </c>
      <c r="P422" s="88">
        <v>-4759149.8370484002</v>
      </c>
      <c r="Q422" s="88">
        <v>-4967831.3500897</v>
      </c>
      <c r="R422" s="88">
        <v>-58310661.032536201</v>
      </c>
    </row>
    <row r="423" spans="1:18" x14ac:dyDescent="0.3">
      <c r="A423" s="195">
        <v>923</v>
      </c>
      <c r="B423" s="177">
        <v>1001</v>
      </c>
      <c r="C423" s="177" t="s">
        <v>163</v>
      </c>
      <c r="D423" s="201" t="s">
        <v>981</v>
      </c>
      <c r="E423" s="88" t="s">
        <v>1526</v>
      </c>
      <c r="F423" s="88">
        <v>3317516.5481258002</v>
      </c>
      <c r="G423" s="88">
        <v>2502917.7280585999</v>
      </c>
      <c r="H423" s="88">
        <v>2916808.4449741002</v>
      </c>
      <c r="I423" s="88">
        <v>2927428.3744040998</v>
      </c>
      <c r="J423" s="88">
        <v>2928159.2543023</v>
      </c>
      <c r="K423" s="88">
        <v>2995345.8962897998</v>
      </c>
      <c r="L423" s="88">
        <v>3078196.4322040998</v>
      </c>
      <c r="M423" s="88">
        <v>2870893.6411898001</v>
      </c>
      <c r="N423" s="88">
        <v>3090769.4778565001</v>
      </c>
      <c r="O423" s="88">
        <v>2697807.6344041</v>
      </c>
      <c r="P423" s="88">
        <v>2833943.0861897999</v>
      </c>
      <c r="Q423" s="88">
        <v>3113471.1111897998</v>
      </c>
      <c r="R423" s="88">
        <v>35273257.629188798</v>
      </c>
    </row>
    <row r="424" spans="1:18" x14ac:dyDescent="0.3">
      <c r="A424" s="195">
        <v>924</v>
      </c>
      <c r="B424" s="177">
        <v>1001</v>
      </c>
      <c r="C424" s="177" t="s">
        <v>163</v>
      </c>
      <c r="D424" s="201" t="s">
        <v>983</v>
      </c>
      <c r="E424" s="88" t="s">
        <v>1527</v>
      </c>
      <c r="F424" s="88">
        <v>1443147.2532962</v>
      </c>
      <c r="G424" s="88">
        <v>1443147.2</v>
      </c>
      <c r="H424" s="88">
        <v>1672527.63</v>
      </c>
      <c r="I424" s="88">
        <v>1672527.65</v>
      </c>
      <c r="J424" s="88">
        <v>1672527.65</v>
      </c>
      <c r="K424" s="88">
        <v>1672527.65</v>
      </c>
      <c r="L424" s="88">
        <v>1672527.65</v>
      </c>
      <c r="M424" s="88">
        <v>1672527.65</v>
      </c>
      <c r="N424" s="88">
        <v>1672527.65</v>
      </c>
      <c r="O424" s="88">
        <v>1672527.65</v>
      </c>
      <c r="P424" s="88">
        <v>1672527.65</v>
      </c>
      <c r="Q424" s="88">
        <v>1672527.65</v>
      </c>
      <c r="R424" s="88">
        <v>19611570.9332962</v>
      </c>
    </row>
    <row r="425" spans="1:18" x14ac:dyDescent="0.3">
      <c r="A425" s="195">
        <v>925</v>
      </c>
      <c r="B425" s="177">
        <v>1001</v>
      </c>
      <c r="C425" s="177" t="s">
        <v>163</v>
      </c>
      <c r="D425" s="201" t="s">
        <v>984</v>
      </c>
      <c r="E425" s="88" t="s">
        <v>1528</v>
      </c>
      <c r="F425" s="88">
        <v>1837214.4638894999</v>
      </c>
      <c r="G425" s="88">
        <v>1837214.3881421001</v>
      </c>
      <c r="H425" s="88">
        <v>1840656.3881421001</v>
      </c>
      <c r="I425" s="88">
        <v>1837214.3881421001</v>
      </c>
      <c r="J425" s="88">
        <v>1837256.9337654</v>
      </c>
      <c r="K425" s="88">
        <v>1980206.7212054001</v>
      </c>
      <c r="L425" s="88">
        <v>1976764.8581421</v>
      </c>
      <c r="M425" s="88">
        <v>1982951.1031420999</v>
      </c>
      <c r="N425" s="88">
        <v>1986393.1981420999</v>
      </c>
      <c r="O425" s="88">
        <v>1982951.1981420999</v>
      </c>
      <c r="P425" s="88">
        <v>1982951.1981420999</v>
      </c>
      <c r="Q425" s="88">
        <v>2613329.9279674999</v>
      </c>
      <c r="R425" s="88">
        <v>23695104.766964599</v>
      </c>
    </row>
    <row r="426" spans="1:18" x14ac:dyDescent="0.3">
      <c r="A426" s="195">
        <v>926</v>
      </c>
      <c r="B426" s="177">
        <v>1001</v>
      </c>
      <c r="C426" s="177" t="s">
        <v>163</v>
      </c>
      <c r="D426" s="201" t="s">
        <v>986</v>
      </c>
      <c r="E426" s="88" t="s">
        <v>1529</v>
      </c>
      <c r="F426" s="88">
        <v>2316396.4305326999</v>
      </c>
      <c r="G426" s="88">
        <v>2537819.5711873998</v>
      </c>
      <c r="H426" s="88">
        <v>5944661.0085426997</v>
      </c>
      <c r="I426" s="88">
        <v>2373231.6967789</v>
      </c>
      <c r="J426" s="88">
        <v>2257715.1102748001</v>
      </c>
      <c r="K426" s="88">
        <v>6027081.5879547</v>
      </c>
      <c r="L426" s="88">
        <v>2235550.6393327001</v>
      </c>
      <c r="M426" s="88">
        <v>2350487.1441041999</v>
      </c>
      <c r="N426" s="88">
        <v>5878117.4283967</v>
      </c>
      <c r="O426" s="88">
        <v>2208262.2346362001</v>
      </c>
      <c r="P426" s="88">
        <v>2465888.2851534002</v>
      </c>
      <c r="Q426" s="88">
        <v>5763914.1912168004</v>
      </c>
      <c r="R426" s="88">
        <v>42359125.328111202</v>
      </c>
    </row>
    <row r="427" spans="1:18" x14ac:dyDescent="0.3">
      <c r="A427" s="195">
        <v>927</v>
      </c>
      <c r="B427" s="177">
        <v>1001</v>
      </c>
      <c r="C427" s="177" t="s">
        <v>163</v>
      </c>
      <c r="D427" s="201" t="s">
        <v>988</v>
      </c>
      <c r="E427" s="88" t="s">
        <v>1530</v>
      </c>
      <c r="F427" s="88">
        <v>0</v>
      </c>
      <c r="G427" s="88">
        <v>0</v>
      </c>
      <c r="H427" s="88">
        <v>0</v>
      </c>
      <c r="I427" s="88">
        <v>0</v>
      </c>
      <c r="J427" s="88">
        <v>0</v>
      </c>
      <c r="K427" s="88">
        <v>0</v>
      </c>
      <c r="L427" s="88">
        <v>0</v>
      </c>
      <c r="M427" s="88">
        <v>0</v>
      </c>
      <c r="N427" s="88">
        <v>0</v>
      </c>
      <c r="O427" s="88">
        <v>0</v>
      </c>
      <c r="P427" s="88">
        <v>0</v>
      </c>
      <c r="Q427" s="88">
        <v>0</v>
      </c>
      <c r="R427" s="88">
        <v>0</v>
      </c>
    </row>
    <row r="428" spans="1:18" x14ac:dyDescent="0.3">
      <c r="A428" s="195">
        <v>928</v>
      </c>
      <c r="B428" s="177">
        <v>1001</v>
      </c>
      <c r="C428" s="177" t="s">
        <v>163</v>
      </c>
      <c r="D428" s="201" t="s">
        <v>990</v>
      </c>
      <c r="E428" s="88" t="s">
        <v>1531</v>
      </c>
      <c r="F428" s="88">
        <v>175221.0555556</v>
      </c>
      <c r="G428" s="88">
        <v>175221.0555556</v>
      </c>
      <c r="H428" s="88">
        <v>175221.0555556</v>
      </c>
      <c r="I428" s="88">
        <v>175221.0555556</v>
      </c>
      <c r="J428" s="88">
        <v>175221.0555556</v>
      </c>
      <c r="K428" s="88">
        <v>175221.0555556</v>
      </c>
      <c r="L428" s="88">
        <v>175221.0555556</v>
      </c>
      <c r="M428" s="88">
        <v>175221.0555556</v>
      </c>
      <c r="N428" s="88">
        <v>175221.0555556</v>
      </c>
      <c r="O428" s="88">
        <v>175221.0555556</v>
      </c>
      <c r="P428" s="88">
        <v>175221.0555556</v>
      </c>
      <c r="Q428" s="88">
        <v>178221.0555556</v>
      </c>
      <c r="R428" s="88">
        <v>2105652.6666672002</v>
      </c>
    </row>
    <row r="429" spans="1:18" x14ac:dyDescent="0.3">
      <c r="A429" s="195">
        <v>929</v>
      </c>
      <c r="B429" s="177">
        <v>1001</v>
      </c>
      <c r="C429" s="177" t="s">
        <v>163</v>
      </c>
      <c r="D429" s="201" t="s">
        <v>992</v>
      </c>
      <c r="E429" s="88" t="s">
        <v>1532</v>
      </c>
      <c r="F429" s="88">
        <v>0</v>
      </c>
      <c r="G429" s="88">
        <v>0</v>
      </c>
      <c r="H429" s="88">
        <v>0</v>
      </c>
      <c r="I429" s="88">
        <v>0</v>
      </c>
      <c r="J429" s="88">
        <v>0</v>
      </c>
      <c r="K429" s="88">
        <v>0</v>
      </c>
      <c r="L429" s="88">
        <v>0</v>
      </c>
      <c r="M429" s="88">
        <v>0</v>
      </c>
      <c r="N429" s="88">
        <v>0</v>
      </c>
      <c r="O429" s="88">
        <v>0</v>
      </c>
      <c r="P429" s="88">
        <v>0</v>
      </c>
      <c r="Q429" s="88">
        <v>0</v>
      </c>
      <c r="R429" s="88">
        <v>0</v>
      </c>
    </row>
    <row r="430" spans="1:18" x14ac:dyDescent="0.3">
      <c r="A430" s="195">
        <v>930</v>
      </c>
      <c r="B430" s="177">
        <v>1001</v>
      </c>
      <c r="C430" s="177" t="s">
        <v>163</v>
      </c>
      <c r="D430" s="201" t="s">
        <v>994</v>
      </c>
      <c r="E430" s="88" t="s">
        <v>1533</v>
      </c>
      <c r="F430" s="88">
        <v>2333.3333333</v>
      </c>
      <c r="G430" s="88">
        <v>2333.3333333</v>
      </c>
      <c r="H430" s="88">
        <v>2333.3333333</v>
      </c>
      <c r="I430" s="88">
        <v>2333.3333333</v>
      </c>
      <c r="J430" s="88">
        <v>2333.3333333</v>
      </c>
      <c r="K430" s="88">
        <v>82333.333333300005</v>
      </c>
      <c r="L430" s="88">
        <v>2333.3333333</v>
      </c>
      <c r="M430" s="88">
        <v>2333.3333333</v>
      </c>
      <c r="N430" s="88">
        <v>2333.3333333</v>
      </c>
      <c r="O430" s="88">
        <v>2333.3333333</v>
      </c>
      <c r="P430" s="88">
        <v>2333.3333333</v>
      </c>
      <c r="Q430" s="88">
        <v>2333.3333333</v>
      </c>
      <c r="R430" s="88">
        <v>107999.9999996</v>
      </c>
    </row>
    <row r="431" spans="1:18" x14ac:dyDescent="0.3">
      <c r="A431" s="195">
        <v>930</v>
      </c>
      <c r="B431" s="177">
        <v>1001</v>
      </c>
      <c r="C431" s="177" t="s">
        <v>163</v>
      </c>
      <c r="D431" s="201" t="s">
        <v>996</v>
      </c>
      <c r="E431" s="88" t="s">
        <v>1534</v>
      </c>
      <c r="F431" s="88">
        <v>1595954.7675572999</v>
      </c>
      <c r="G431" s="88">
        <v>1013935.7786999</v>
      </c>
      <c r="H431" s="88">
        <v>2461243.8542702999</v>
      </c>
      <c r="I431" s="88">
        <v>1048779.9333378</v>
      </c>
      <c r="J431" s="88">
        <v>1027135.8734443</v>
      </c>
      <c r="K431" s="88">
        <v>2351952.6559273</v>
      </c>
      <c r="L431" s="88">
        <v>1007708.6927624</v>
      </c>
      <c r="M431" s="88">
        <v>1017014.5563598</v>
      </c>
      <c r="N431" s="88">
        <v>2482674.1446226998</v>
      </c>
      <c r="O431" s="88">
        <v>1079552.2903636999</v>
      </c>
      <c r="P431" s="88">
        <v>1007802.6932697</v>
      </c>
      <c r="Q431" s="88">
        <v>2217708.7489785999</v>
      </c>
      <c r="R431" s="88">
        <v>18311463.9895938</v>
      </c>
    </row>
    <row r="432" spans="1:18" x14ac:dyDescent="0.3">
      <c r="A432" s="195">
        <v>931</v>
      </c>
      <c r="B432" s="177">
        <v>1001</v>
      </c>
      <c r="C432" s="177" t="s">
        <v>163</v>
      </c>
      <c r="D432" s="201" t="s">
        <v>998</v>
      </c>
      <c r="E432" s="88" t="s">
        <v>1535</v>
      </c>
      <c r="F432" s="88">
        <v>155034.532125</v>
      </c>
      <c r="G432" s="88">
        <v>155034.532125</v>
      </c>
      <c r="H432" s="88">
        <v>155034.532125</v>
      </c>
      <c r="I432" s="88">
        <v>155034.532125</v>
      </c>
      <c r="J432" s="88">
        <v>155034.532125</v>
      </c>
      <c r="K432" s="88">
        <v>155034.532125</v>
      </c>
      <c r="L432" s="88">
        <v>155034.532125</v>
      </c>
      <c r="M432" s="88">
        <v>155034.532125</v>
      </c>
      <c r="N432" s="88">
        <v>155034.532125</v>
      </c>
      <c r="O432" s="88">
        <v>155034.532125</v>
      </c>
      <c r="P432" s="88">
        <v>155034.532125</v>
      </c>
      <c r="Q432" s="88">
        <v>155034.532125</v>
      </c>
      <c r="R432" s="88">
        <v>1860414.3855000001</v>
      </c>
    </row>
    <row r="433" spans="1:18" x14ac:dyDescent="0.3">
      <c r="A433" s="195">
        <v>932</v>
      </c>
      <c r="B433" s="177">
        <v>1001</v>
      </c>
      <c r="C433" s="177" t="s">
        <v>163</v>
      </c>
      <c r="D433" s="201" t="s">
        <v>1000</v>
      </c>
      <c r="E433" s="88" t="s">
        <v>1536</v>
      </c>
      <c r="F433" s="88">
        <v>0</v>
      </c>
      <c r="G433" s="88">
        <v>0</v>
      </c>
      <c r="H433" s="88">
        <v>0</v>
      </c>
      <c r="I433" s="88">
        <v>0</v>
      </c>
      <c r="J433" s="88">
        <v>0</v>
      </c>
      <c r="K433" s="88">
        <v>0</v>
      </c>
      <c r="L433" s="88">
        <v>0</v>
      </c>
      <c r="M433" s="88">
        <v>0</v>
      </c>
      <c r="N433" s="88">
        <v>0</v>
      </c>
      <c r="O433" s="88">
        <v>0</v>
      </c>
      <c r="P433" s="88">
        <v>0</v>
      </c>
      <c r="Q433" s="88">
        <v>0</v>
      </c>
      <c r="R433" s="88">
        <v>0</v>
      </c>
    </row>
    <row r="434" spans="1:18" x14ac:dyDescent="0.3">
      <c r="A434" s="195">
        <v>935</v>
      </c>
      <c r="B434" s="177">
        <v>1001</v>
      </c>
      <c r="C434" s="177" t="s">
        <v>163</v>
      </c>
      <c r="D434" s="201" t="s">
        <v>1002</v>
      </c>
      <c r="E434" s="88" t="s">
        <v>1537</v>
      </c>
      <c r="F434" s="88">
        <v>198975.0698734</v>
      </c>
      <c r="G434" s="88">
        <v>161011.04337239999</v>
      </c>
      <c r="H434" s="88">
        <v>146126.7133724</v>
      </c>
      <c r="I434" s="88">
        <v>152540.7344633</v>
      </c>
      <c r="J434" s="88">
        <v>155172.2760022</v>
      </c>
      <c r="K434" s="88">
        <v>142768.02054980001</v>
      </c>
      <c r="L434" s="88">
        <v>219468.36091640001</v>
      </c>
      <c r="M434" s="88">
        <v>151031.25046780001</v>
      </c>
      <c r="N434" s="88">
        <v>146899.14001850001</v>
      </c>
      <c r="O434" s="88">
        <v>162348.36091640001</v>
      </c>
      <c r="P434" s="88">
        <v>146900.14001850001</v>
      </c>
      <c r="Q434" s="88">
        <v>151040.52217809999</v>
      </c>
      <c r="R434" s="88">
        <v>1934281.6321492</v>
      </c>
    </row>
    <row r="435" spans="1:18" x14ac:dyDescent="0.3">
      <c r="A435" s="195" t="s">
        <v>1004</v>
      </c>
      <c r="B435" s="177">
        <v>1001</v>
      </c>
      <c r="C435" s="177" t="s">
        <v>163</v>
      </c>
      <c r="D435" s="201" t="s">
        <v>1005</v>
      </c>
      <c r="E435" s="88" t="s">
        <v>1538</v>
      </c>
      <c r="F435" s="88">
        <v>0</v>
      </c>
      <c r="G435" s="88">
        <v>0</v>
      </c>
      <c r="H435" s="88">
        <v>0</v>
      </c>
      <c r="I435" s="88">
        <v>0</v>
      </c>
      <c r="J435" s="88">
        <v>0</v>
      </c>
      <c r="K435" s="88">
        <v>0</v>
      </c>
      <c r="L435" s="88">
        <v>0</v>
      </c>
      <c r="M435" s="88">
        <v>0</v>
      </c>
      <c r="N435" s="88">
        <v>0</v>
      </c>
      <c r="O435" s="88">
        <v>0</v>
      </c>
      <c r="P435" s="88">
        <v>0</v>
      </c>
      <c r="Q435" s="88">
        <v>0</v>
      </c>
      <c r="R435" s="88">
        <v>0</v>
      </c>
    </row>
    <row r="436" spans="1:18" x14ac:dyDescent="0.3">
      <c r="A436" s="195" t="s">
        <v>1007</v>
      </c>
      <c r="B436" s="177">
        <v>1001</v>
      </c>
      <c r="C436" s="177" t="s">
        <v>163</v>
      </c>
      <c r="D436" s="201" t="s">
        <v>1008</v>
      </c>
      <c r="E436" s="88" t="s">
        <v>1539</v>
      </c>
      <c r="F436" s="88">
        <v>0</v>
      </c>
      <c r="G436" s="88">
        <v>0</v>
      </c>
      <c r="H436" s="88">
        <v>0</v>
      </c>
      <c r="I436" s="88">
        <v>0</v>
      </c>
      <c r="J436" s="88">
        <v>0</v>
      </c>
      <c r="K436" s="88">
        <v>0</v>
      </c>
      <c r="L436" s="88">
        <v>0</v>
      </c>
      <c r="M436" s="88">
        <v>0</v>
      </c>
      <c r="N436" s="88">
        <v>0</v>
      </c>
      <c r="O436" s="88">
        <v>0</v>
      </c>
      <c r="P436" s="88">
        <v>0</v>
      </c>
      <c r="Q436" s="88">
        <v>0</v>
      </c>
      <c r="R436" s="88">
        <v>0</v>
      </c>
    </row>
    <row r="437" spans="1:18" x14ac:dyDescent="0.3">
      <c r="A437" s="195" t="s">
        <v>1010</v>
      </c>
      <c r="B437" s="177">
        <v>1001</v>
      </c>
      <c r="C437" s="177" t="s">
        <v>163</v>
      </c>
      <c r="D437" s="201" t="s">
        <v>1011</v>
      </c>
      <c r="E437" s="88" t="s">
        <v>1540</v>
      </c>
      <c r="F437" s="88">
        <v>0</v>
      </c>
      <c r="G437" s="88">
        <v>0</v>
      </c>
      <c r="H437" s="88">
        <v>0</v>
      </c>
      <c r="I437" s="88">
        <v>0</v>
      </c>
      <c r="J437" s="88">
        <v>0</v>
      </c>
      <c r="K437" s="88">
        <v>0</v>
      </c>
      <c r="L437" s="88">
        <v>0</v>
      </c>
      <c r="M437" s="88">
        <v>0</v>
      </c>
      <c r="N437" s="88">
        <v>0</v>
      </c>
      <c r="O437" s="88">
        <v>0</v>
      </c>
      <c r="P437" s="88">
        <v>0</v>
      </c>
      <c r="Q437" s="88">
        <v>0</v>
      </c>
      <c r="R437" s="88">
        <v>0</v>
      </c>
    </row>
    <row r="438" spans="1:18" x14ac:dyDescent="0.3">
      <c r="A438" s="195" t="s">
        <v>1013</v>
      </c>
      <c r="B438" s="177">
        <v>1001</v>
      </c>
      <c r="C438" s="177" t="s">
        <v>163</v>
      </c>
      <c r="D438" s="201" t="s">
        <v>1014</v>
      </c>
      <c r="E438" s="88" t="s">
        <v>1541</v>
      </c>
      <c r="F438" s="88">
        <v>0</v>
      </c>
      <c r="G438" s="88">
        <v>0</v>
      </c>
      <c r="H438" s="88">
        <v>0</v>
      </c>
      <c r="I438" s="88">
        <v>0</v>
      </c>
      <c r="J438" s="88">
        <v>0</v>
      </c>
      <c r="K438" s="88">
        <v>0</v>
      </c>
      <c r="L438" s="88">
        <v>0</v>
      </c>
      <c r="M438" s="88">
        <v>0</v>
      </c>
      <c r="N438" s="88">
        <v>0</v>
      </c>
      <c r="O438" s="88">
        <v>0</v>
      </c>
      <c r="P438" s="88">
        <v>0</v>
      </c>
      <c r="Q438" s="88">
        <v>0</v>
      </c>
      <c r="R438" s="88">
        <v>0</v>
      </c>
    </row>
    <row r="439" spans="1:18" x14ac:dyDescent="0.3">
      <c r="A439" s="195" t="s">
        <v>1016</v>
      </c>
      <c r="B439" s="177">
        <v>1001</v>
      </c>
      <c r="C439" s="177" t="s">
        <v>163</v>
      </c>
      <c r="D439" s="201" t="s">
        <v>1017</v>
      </c>
      <c r="E439" s="88" t="s">
        <v>1542</v>
      </c>
      <c r="F439" s="88">
        <v>0</v>
      </c>
      <c r="G439" s="88">
        <v>0</v>
      </c>
      <c r="H439" s="88">
        <v>0</v>
      </c>
      <c r="I439" s="88">
        <v>0</v>
      </c>
      <c r="J439" s="88">
        <v>0</v>
      </c>
      <c r="K439" s="88">
        <v>0</v>
      </c>
      <c r="L439" s="88">
        <v>0</v>
      </c>
      <c r="M439" s="88">
        <v>0</v>
      </c>
      <c r="N439" s="88">
        <v>0</v>
      </c>
      <c r="O439" s="88">
        <v>0</v>
      </c>
      <c r="P439" s="88">
        <v>0</v>
      </c>
      <c r="Q439" s="88">
        <v>0</v>
      </c>
      <c r="R439" s="88">
        <v>0</v>
      </c>
    </row>
    <row r="440" spans="1:18" x14ac:dyDescent="0.3">
      <c r="A440" s="195" t="s">
        <v>1019</v>
      </c>
      <c r="B440" s="177">
        <v>1001</v>
      </c>
      <c r="C440" s="177" t="s">
        <v>163</v>
      </c>
      <c r="D440" s="201" t="s">
        <v>1020</v>
      </c>
      <c r="E440" s="88" t="s">
        <v>1543</v>
      </c>
      <c r="F440" s="88">
        <v>0</v>
      </c>
      <c r="G440" s="88">
        <v>0</v>
      </c>
      <c r="H440" s="88">
        <v>0</v>
      </c>
      <c r="I440" s="88">
        <v>0</v>
      </c>
      <c r="J440" s="88">
        <v>0</v>
      </c>
      <c r="K440" s="88">
        <v>0</v>
      </c>
      <c r="L440" s="88">
        <v>0</v>
      </c>
      <c r="M440" s="88">
        <v>0</v>
      </c>
      <c r="N440" s="88">
        <v>0</v>
      </c>
      <c r="O440" s="88">
        <v>0</v>
      </c>
      <c r="P440" s="88">
        <v>0</v>
      </c>
      <c r="Q440" s="88">
        <v>0</v>
      </c>
      <c r="R440" s="88">
        <v>0</v>
      </c>
    </row>
    <row r="441" spans="1:18" x14ac:dyDescent="0.3">
      <c r="A441" s="195" t="s">
        <v>1022</v>
      </c>
      <c r="B441" s="177">
        <v>1001</v>
      </c>
      <c r="C441" s="177" t="s">
        <v>163</v>
      </c>
      <c r="D441" s="201" t="s">
        <v>1023</v>
      </c>
      <c r="E441" s="88" t="s">
        <v>1544</v>
      </c>
      <c r="F441" s="88">
        <v>0</v>
      </c>
      <c r="G441" s="88">
        <v>0</v>
      </c>
      <c r="H441" s="88">
        <v>0</v>
      </c>
      <c r="I441" s="88">
        <v>0</v>
      </c>
      <c r="J441" s="88">
        <v>0</v>
      </c>
      <c r="K441" s="88">
        <v>0</v>
      </c>
      <c r="L441" s="88">
        <v>0</v>
      </c>
      <c r="M441" s="88">
        <v>0</v>
      </c>
      <c r="N441" s="88">
        <v>0</v>
      </c>
      <c r="O441" s="88">
        <v>0</v>
      </c>
      <c r="P441" s="88">
        <v>0</v>
      </c>
      <c r="Q441" s="88">
        <v>0</v>
      </c>
      <c r="R441" s="88">
        <v>0</v>
      </c>
    </row>
    <row r="442" spans="1:18" x14ac:dyDescent="0.3">
      <c r="A442" s="195" t="s">
        <v>1022</v>
      </c>
      <c r="B442" s="177">
        <v>1001</v>
      </c>
      <c r="C442" s="177" t="s">
        <v>163</v>
      </c>
      <c r="D442" s="201" t="s">
        <v>1025</v>
      </c>
      <c r="E442" s="88" t="s">
        <v>1545</v>
      </c>
      <c r="F442" s="88">
        <v>0</v>
      </c>
      <c r="G442" s="88">
        <v>0</v>
      </c>
      <c r="H442" s="88">
        <v>0</v>
      </c>
      <c r="I442" s="88">
        <v>0</v>
      </c>
      <c r="J442" s="88">
        <v>0</v>
      </c>
      <c r="K442" s="88">
        <v>0</v>
      </c>
      <c r="L442" s="88">
        <v>0</v>
      </c>
      <c r="M442" s="88">
        <v>0</v>
      </c>
      <c r="N442" s="88">
        <v>0</v>
      </c>
      <c r="O442" s="88">
        <v>0</v>
      </c>
      <c r="P442" s="88">
        <v>0</v>
      </c>
      <c r="Q442" s="88">
        <v>0</v>
      </c>
      <c r="R442" s="88">
        <v>0</v>
      </c>
    </row>
    <row r="443" spans="1:18" x14ac:dyDescent="0.3">
      <c r="A443" s="195" t="s">
        <v>1027</v>
      </c>
      <c r="B443" s="177">
        <v>1001</v>
      </c>
      <c r="C443" s="177" t="s">
        <v>163</v>
      </c>
      <c r="D443" s="201" t="s">
        <v>1028</v>
      </c>
      <c r="E443" s="88" t="s">
        <v>1546</v>
      </c>
      <c r="F443" s="88">
        <v>0</v>
      </c>
      <c r="G443" s="88">
        <v>0</v>
      </c>
      <c r="H443" s="88">
        <v>0</v>
      </c>
      <c r="I443" s="88">
        <v>0</v>
      </c>
      <c r="J443" s="88">
        <v>0</v>
      </c>
      <c r="K443" s="88">
        <v>0</v>
      </c>
      <c r="L443" s="88">
        <v>0</v>
      </c>
      <c r="M443" s="88">
        <v>0</v>
      </c>
      <c r="N443" s="88">
        <v>0</v>
      </c>
      <c r="O443" s="88">
        <v>0</v>
      </c>
      <c r="P443" s="88">
        <v>0</v>
      </c>
      <c r="Q443" s="88">
        <v>0</v>
      </c>
      <c r="R443" s="88">
        <v>0</v>
      </c>
    </row>
    <row r="444" spans="1:18" x14ac:dyDescent="0.3">
      <c r="A444" s="195" t="s">
        <v>1019</v>
      </c>
      <c r="B444" s="177">
        <v>1001</v>
      </c>
      <c r="C444" s="177" t="s">
        <v>163</v>
      </c>
      <c r="D444" s="201" t="s">
        <v>1030</v>
      </c>
      <c r="E444" s="88" t="s">
        <v>1547</v>
      </c>
      <c r="F444" s="88">
        <v>0</v>
      </c>
      <c r="G444" s="88">
        <v>0</v>
      </c>
      <c r="H444" s="88">
        <v>0</v>
      </c>
      <c r="I444" s="88">
        <v>0</v>
      </c>
      <c r="J444" s="88">
        <v>0</v>
      </c>
      <c r="K444" s="88">
        <v>0</v>
      </c>
      <c r="L444" s="88">
        <v>0</v>
      </c>
      <c r="M444" s="88">
        <v>0</v>
      </c>
      <c r="N444" s="88">
        <v>0</v>
      </c>
      <c r="O444" s="88">
        <v>0</v>
      </c>
      <c r="P444" s="88">
        <v>0</v>
      </c>
      <c r="Q444" s="88">
        <v>0</v>
      </c>
      <c r="R444" s="88">
        <v>0</v>
      </c>
    </row>
    <row r="445" spans="1:18" x14ac:dyDescent="0.3">
      <c r="A445" s="195" t="s">
        <v>1032</v>
      </c>
      <c r="B445" s="177">
        <v>1001</v>
      </c>
      <c r="C445" s="177" t="s">
        <v>163</v>
      </c>
      <c r="D445" s="201" t="s">
        <v>1033</v>
      </c>
      <c r="E445" s="88" t="s">
        <v>1548</v>
      </c>
      <c r="F445" s="88">
        <v>0</v>
      </c>
      <c r="G445" s="88">
        <v>0</v>
      </c>
      <c r="H445" s="88">
        <v>0</v>
      </c>
      <c r="I445" s="88">
        <v>0</v>
      </c>
      <c r="J445" s="88">
        <v>0</v>
      </c>
      <c r="K445" s="88">
        <v>0</v>
      </c>
      <c r="L445" s="88">
        <v>0</v>
      </c>
      <c r="M445" s="88">
        <v>0</v>
      </c>
      <c r="N445" s="88">
        <v>0</v>
      </c>
      <c r="O445" s="88">
        <v>0</v>
      </c>
      <c r="P445" s="88">
        <v>0</v>
      </c>
      <c r="Q445" s="88">
        <v>0</v>
      </c>
      <c r="R445" s="88">
        <v>0</v>
      </c>
    </row>
    <row r="446" spans="1:18" x14ac:dyDescent="0.3">
      <c r="A446" s="195" t="s">
        <v>1032</v>
      </c>
      <c r="B446" s="177">
        <v>1001</v>
      </c>
      <c r="C446" s="177" t="s">
        <v>163</v>
      </c>
      <c r="D446" s="201" t="s">
        <v>1035</v>
      </c>
      <c r="E446" s="88" t="s">
        <v>1548</v>
      </c>
      <c r="F446" s="88">
        <v>0</v>
      </c>
      <c r="G446" s="88">
        <v>0</v>
      </c>
      <c r="H446" s="88">
        <v>0</v>
      </c>
      <c r="I446" s="88">
        <v>0</v>
      </c>
      <c r="J446" s="88">
        <v>0</v>
      </c>
      <c r="K446" s="88">
        <v>0</v>
      </c>
      <c r="L446" s="88">
        <v>0</v>
      </c>
      <c r="M446" s="88">
        <v>0</v>
      </c>
      <c r="N446" s="88">
        <v>0</v>
      </c>
      <c r="O446" s="88">
        <v>0</v>
      </c>
      <c r="P446" s="88">
        <v>0</v>
      </c>
      <c r="Q446" s="88">
        <v>0</v>
      </c>
      <c r="R446" s="88">
        <v>0</v>
      </c>
    </row>
    <row r="447" spans="1:18" x14ac:dyDescent="0.3">
      <c r="A447" s="195" t="s">
        <v>1036</v>
      </c>
      <c r="B447" s="177">
        <v>1001</v>
      </c>
      <c r="C447" s="177" t="s">
        <v>163</v>
      </c>
      <c r="D447" s="201" t="s">
        <v>1037</v>
      </c>
      <c r="E447" s="88" t="s">
        <v>1549</v>
      </c>
      <c r="F447" s="88">
        <v>0</v>
      </c>
      <c r="G447" s="88">
        <v>0</v>
      </c>
      <c r="H447" s="88">
        <v>0</v>
      </c>
      <c r="I447" s="88">
        <v>0</v>
      </c>
      <c r="J447" s="88">
        <v>0</v>
      </c>
      <c r="K447" s="88">
        <v>0</v>
      </c>
      <c r="L447" s="88">
        <v>0</v>
      </c>
      <c r="M447" s="88">
        <v>0</v>
      </c>
      <c r="N447" s="88">
        <v>0</v>
      </c>
      <c r="O447" s="88">
        <v>0</v>
      </c>
      <c r="P447" s="88">
        <v>0</v>
      </c>
      <c r="Q447" s="88">
        <v>0</v>
      </c>
      <c r="R447" s="88">
        <v>0</v>
      </c>
    </row>
    <row r="448" spans="1:18" x14ac:dyDescent="0.3">
      <c r="A448" s="195" t="s">
        <v>1039</v>
      </c>
      <c r="B448" s="177">
        <v>1001</v>
      </c>
      <c r="C448" s="177" t="s">
        <v>163</v>
      </c>
      <c r="D448" s="201" t="s">
        <v>1040</v>
      </c>
      <c r="E448" s="88" t="s">
        <v>1550</v>
      </c>
      <c r="F448" s="88">
        <v>0</v>
      </c>
      <c r="G448" s="88">
        <v>0</v>
      </c>
      <c r="H448" s="88">
        <v>0</v>
      </c>
      <c r="I448" s="88">
        <v>0</v>
      </c>
      <c r="J448" s="88">
        <v>0</v>
      </c>
      <c r="K448" s="88">
        <v>0</v>
      </c>
      <c r="L448" s="88">
        <v>0</v>
      </c>
      <c r="M448" s="88">
        <v>0</v>
      </c>
      <c r="N448" s="88">
        <v>0</v>
      </c>
      <c r="O448" s="88">
        <v>0</v>
      </c>
      <c r="P448" s="88">
        <v>0</v>
      </c>
      <c r="Q448" s="88">
        <v>0</v>
      </c>
      <c r="R448" s="88">
        <v>0</v>
      </c>
    </row>
    <row r="449" spans="1:18" x14ac:dyDescent="0.3">
      <c r="A449" s="195" t="s">
        <v>1042</v>
      </c>
      <c r="B449" s="177">
        <v>1001</v>
      </c>
      <c r="C449" s="177" t="s">
        <v>163</v>
      </c>
      <c r="D449" s="201" t="s">
        <v>1043</v>
      </c>
      <c r="E449" s="88" t="s">
        <v>1551</v>
      </c>
      <c r="F449" s="88">
        <v>0</v>
      </c>
      <c r="G449" s="88">
        <v>0</v>
      </c>
      <c r="H449" s="88">
        <v>0</v>
      </c>
      <c r="I449" s="88">
        <v>0</v>
      </c>
      <c r="J449" s="88">
        <v>0</v>
      </c>
      <c r="K449" s="88">
        <v>0</v>
      </c>
      <c r="L449" s="88">
        <v>0</v>
      </c>
      <c r="M449" s="88">
        <v>0</v>
      </c>
      <c r="N449" s="88">
        <v>0</v>
      </c>
      <c r="O449" s="88">
        <v>0</v>
      </c>
      <c r="P449" s="88">
        <v>0</v>
      </c>
      <c r="Q449" s="88">
        <v>0</v>
      </c>
      <c r="R449" s="88">
        <v>0</v>
      </c>
    </row>
    <row r="450" spans="1:18" x14ac:dyDescent="0.3">
      <c r="A450" s="195" t="s">
        <v>1045</v>
      </c>
      <c r="B450" s="177">
        <v>1001</v>
      </c>
      <c r="C450" s="177" t="s">
        <v>163</v>
      </c>
      <c r="D450" s="201" t="s">
        <v>1046</v>
      </c>
      <c r="E450" s="88" t="s">
        <v>1552</v>
      </c>
      <c r="F450" s="88">
        <v>0</v>
      </c>
      <c r="G450" s="88">
        <v>0</v>
      </c>
      <c r="H450" s="88">
        <v>0</v>
      </c>
      <c r="I450" s="88">
        <v>0</v>
      </c>
      <c r="J450" s="88">
        <v>0</v>
      </c>
      <c r="K450" s="88">
        <v>0</v>
      </c>
      <c r="L450" s="88">
        <v>0</v>
      </c>
      <c r="M450" s="88">
        <v>0</v>
      </c>
      <c r="N450" s="88">
        <v>0</v>
      </c>
      <c r="O450" s="88">
        <v>0</v>
      </c>
      <c r="P450" s="88">
        <v>0</v>
      </c>
      <c r="Q450" s="88">
        <v>0</v>
      </c>
      <c r="R450" s="88">
        <v>0</v>
      </c>
    </row>
    <row r="451" spans="1:18" x14ac:dyDescent="0.3">
      <c r="A451" s="195" t="s">
        <v>1045</v>
      </c>
      <c r="B451" s="177">
        <v>1001</v>
      </c>
      <c r="C451" s="177" t="s">
        <v>163</v>
      </c>
      <c r="D451" s="201" t="s">
        <v>1048</v>
      </c>
      <c r="E451" s="88" t="s">
        <v>1553</v>
      </c>
      <c r="F451" s="88">
        <v>0</v>
      </c>
      <c r="G451" s="88">
        <v>0</v>
      </c>
      <c r="H451" s="88">
        <v>0</v>
      </c>
      <c r="I451" s="88">
        <v>0</v>
      </c>
      <c r="J451" s="88">
        <v>0</v>
      </c>
      <c r="K451" s="88">
        <v>0</v>
      </c>
      <c r="L451" s="88">
        <v>0</v>
      </c>
      <c r="M451" s="88">
        <v>0</v>
      </c>
      <c r="N451" s="88">
        <v>0</v>
      </c>
      <c r="O451" s="88">
        <v>0</v>
      </c>
      <c r="P451" s="88">
        <v>0</v>
      </c>
      <c r="Q451" s="88">
        <v>0</v>
      </c>
      <c r="R451" s="88">
        <v>0</v>
      </c>
    </row>
    <row r="452" spans="1:18" x14ac:dyDescent="0.3">
      <c r="A452" s="195" t="s">
        <v>1050</v>
      </c>
      <c r="B452" s="177">
        <v>1001</v>
      </c>
      <c r="C452" s="177" t="s">
        <v>163</v>
      </c>
      <c r="D452" s="201" t="s">
        <v>1051</v>
      </c>
      <c r="E452" s="88" t="s">
        <v>1554</v>
      </c>
      <c r="F452" s="88">
        <v>0</v>
      </c>
      <c r="G452" s="88">
        <v>0</v>
      </c>
      <c r="H452" s="88">
        <v>0</v>
      </c>
      <c r="I452" s="88">
        <v>0</v>
      </c>
      <c r="J452" s="88">
        <v>0</v>
      </c>
      <c r="K452" s="88">
        <v>0</v>
      </c>
      <c r="L452" s="88">
        <v>0</v>
      </c>
      <c r="M452" s="88">
        <v>0</v>
      </c>
      <c r="N452" s="88">
        <v>0</v>
      </c>
      <c r="O452" s="88">
        <v>0</v>
      </c>
      <c r="P452" s="88">
        <v>0</v>
      </c>
      <c r="Q452" s="88">
        <v>0</v>
      </c>
      <c r="R452" s="88">
        <v>0</v>
      </c>
    </row>
    <row r="453" spans="1:18" x14ac:dyDescent="0.3">
      <c r="A453" s="195" t="s">
        <v>1053</v>
      </c>
      <c r="B453" s="177">
        <v>1001</v>
      </c>
      <c r="C453" s="177" t="s">
        <v>163</v>
      </c>
      <c r="D453" s="201" t="s">
        <v>1054</v>
      </c>
      <c r="E453" s="88" t="s">
        <v>1555</v>
      </c>
      <c r="F453" s="88">
        <v>0</v>
      </c>
      <c r="G453" s="88">
        <v>0</v>
      </c>
      <c r="H453" s="88">
        <v>0</v>
      </c>
      <c r="I453" s="88">
        <v>0</v>
      </c>
      <c r="J453" s="88">
        <v>0</v>
      </c>
      <c r="K453" s="88">
        <v>0</v>
      </c>
      <c r="L453" s="88">
        <v>0</v>
      </c>
      <c r="M453" s="88">
        <v>0</v>
      </c>
      <c r="N453" s="88">
        <v>0</v>
      </c>
      <c r="O453" s="88">
        <v>0</v>
      </c>
      <c r="P453" s="88">
        <v>0</v>
      </c>
      <c r="Q453" s="88">
        <v>0</v>
      </c>
      <c r="R453" s="88">
        <v>0</v>
      </c>
    </row>
    <row r="454" spans="1:18" x14ac:dyDescent="0.3">
      <c r="A454" s="195" t="s">
        <v>1056</v>
      </c>
      <c r="B454" s="177">
        <v>1001</v>
      </c>
      <c r="C454" s="177" t="s">
        <v>163</v>
      </c>
      <c r="D454" s="201" t="s">
        <v>1057</v>
      </c>
      <c r="E454" s="88" t="s">
        <v>1556</v>
      </c>
      <c r="F454" s="88">
        <v>0</v>
      </c>
      <c r="G454" s="88">
        <v>0</v>
      </c>
      <c r="H454" s="88">
        <v>0</v>
      </c>
      <c r="I454" s="88">
        <v>0</v>
      </c>
      <c r="J454" s="88">
        <v>0</v>
      </c>
      <c r="K454" s="88">
        <v>0</v>
      </c>
      <c r="L454" s="88">
        <v>0</v>
      </c>
      <c r="M454" s="88">
        <v>0</v>
      </c>
      <c r="N454" s="88">
        <v>0</v>
      </c>
      <c r="O454" s="88">
        <v>0</v>
      </c>
      <c r="P454" s="88">
        <v>0</v>
      </c>
      <c r="Q454" s="88">
        <v>0</v>
      </c>
      <c r="R454" s="88">
        <v>0</v>
      </c>
    </row>
    <row r="455" spans="1:18" x14ac:dyDescent="0.3">
      <c r="A455" s="195" t="s">
        <v>1059</v>
      </c>
      <c r="B455" s="177">
        <v>1001</v>
      </c>
      <c r="C455" s="177" t="s">
        <v>163</v>
      </c>
      <c r="D455" s="201" t="s">
        <v>1060</v>
      </c>
      <c r="E455" s="88" t="s">
        <v>1557</v>
      </c>
      <c r="F455" s="88">
        <v>0</v>
      </c>
      <c r="G455" s="88">
        <v>0</v>
      </c>
      <c r="H455" s="88">
        <v>0</v>
      </c>
      <c r="I455" s="88">
        <v>0</v>
      </c>
      <c r="J455" s="88">
        <v>0</v>
      </c>
      <c r="K455" s="88">
        <v>0</v>
      </c>
      <c r="L455" s="88">
        <v>0</v>
      </c>
      <c r="M455" s="88">
        <v>0</v>
      </c>
      <c r="N455" s="88">
        <v>0</v>
      </c>
      <c r="O455" s="88">
        <v>0</v>
      </c>
      <c r="P455" s="88">
        <v>0</v>
      </c>
      <c r="Q455" s="88">
        <v>0</v>
      </c>
      <c r="R455" s="88">
        <v>0</v>
      </c>
    </row>
    <row r="456" spans="1:18" x14ac:dyDescent="0.3">
      <c r="A456" s="195" t="s">
        <v>1062</v>
      </c>
      <c r="B456" s="177">
        <v>1001</v>
      </c>
      <c r="C456" s="177" t="s">
        <v>163</v>
      </c>
      <c r="D456" s="201" t="s">
        <v>1063</v>
      </c>
      <c r="E456" s="88" t="s">
        <v>1558</v>
      </c>
      <c r="F456" s="88">
        <v>0</v>
      </c>
      <c r="G456" s="88">
        <v>0</v>
      </c>
      <c r="H456" s="88">
        <v>0</v>
      </c>
      <c r="I456" s="88">
        <v>0</v>
      </c>
      <c r="J456" s="88">
        <v>0</v>
      </c>
      <c r="K456" s="88">
        <v>0</v>
      </c>
      <c r="L456" s="88">
        <v>0</v>
      </c>
      <c r="M456" s="88">
        <v>0</v>
      </c>
      <c r="N456" s="88">
        <v>0</v>
      </c>
      <c r="O456" s="88">
        <v>0</v>
      </c>
      <c r="P456" s="88">
        <v>0</v>
      </c>
      <c r="Q456" s="88">
        <v>0</v>
      </c>
      <c r="R456" s="88">
        <v>0</v>
      </c>
    </row>
    <row r="457" spans="1:18" x14ac:dyDescent="0.3">
      <c r="A457" s="195" t="s">
        <v>1065</v>
      </c>
      <c r="B457" s="177">
        <v>1001</v>
      </c>
      <c r="C457" s="177" t="s">
        <v>163</v>
      </c>
      <c r="D457" s="201" t="s">
        <v>1066</v>
      </c>
      <c r="E457" s="88" t="s">
        <v>1559</v>
      </c>
      <c r="F457" s="88">
        <v>0</v>
      </c>
      <c r="G457" s="88">
        <v>0</v>
      </c>
      <c r="H457" s="88">
        <v>0</v>
      </c>
      <c r="I457" s="88">
        <v>0</v>
      </c>
      <c r="J457" s="88">
        <v>0</v>
      </c>
      <c r="K457" s="88">
        <v>0</v>
      </c>
      <c r="L457" s="88">
        <v>0</v>
      </c>
      <c r="M457" s="88">
        <v>0</v>
      </c>
      <c r="N457" s="88">
        <v>0</v>
      </c>
      <c r="O457" s="88">
        <v>0</v>
      </c>
      <c r="P457" s="88">
        <v>0</v>
      </c>
      <c r="Q457" s="88">
        <v>0</v>
      </c>
      <c r="R457" s="88">
        <v>0</v>
      </c>
    </row>
    <row r="458" spans="1:18" x14ac:dyDescent="0.3">
      <c r="A458" s="195" t="s">
        <v>1068</v>
      </c>
      <c r="B458" s="177">
        <v>1001</v>
      </c>
      <c r="C458" s="177" t="s">
        <v>163</v>
      </c>
      <c r="D458" s="201" t="s">
        <v>1069</v>
      </c>
      <c r="E458" s="88" t="s">
        <v>1560</v>
      </c>
      <c r="F458" s="88">
        <v>0</v>
      </c>
      <c r="G458" s="88">
        <v>0</v>
      </c>
      <c r="H458" s="88">
        <v>0</v>
      </c>
      <c r="I458" s="88">
        <v>0</v>
      </c>
      <c r="J458" s="88">
        <v>0</v>
      </c>
      <c r="K458" s="88">
        <v>0</v>
      </c>
      <c r="L458" s="88">
        <v>0</v>
      </c>
      <c r="M458" s="88">
        <v>0</v>
      </c>
      <c r="N458" s="88">
        <v>0</v>
      </c>
      <c r="O458" s="88">
        <v>0</v>
      </c>
      <c r="P458" s="88">
        <v>0</v>
      </c>
      <c r="Q458" s="88">
        <v>0</v>
      </c>
      <c r="R458" s="88">
        <v>0</v>
      </c>
    </row>
    <row r="459" spans="1:18" x14ac:dyDescent="0.3">
      <c r="A459" s="195" t="s">
        <v>1071</v>
      </c>
      <c r="B459" s="177">
        <v>1001</v>
      </c>
      <c r="C459" s="177" t="s">
        <v>163</v>
      </c>
      <c r="D459" s="201" t="s">
        <v>1072</v>
      </c>
      <c r="E459" s="88" t="s">
        <v>1561</v>
      </c>
      <c r="F459" s="88">
        <v>0</v>
      </c>
      <c r="G459" s="88">
        <v>0</v>
      </c>
      <c r="H459" s="88">
        <v>0</v>
      </c>
      <c r="I459" s="88">
        <v>0</v>
      </c>
      <c r="J459" s="88">
        <v>0</v>
      </c>
      <c r="K459" s="88">
        <v>0</v>
      </c>
      <c r="L459" s="88">
        <v>0</v>
      </c>
      <c r="M459" s="88">
        <v>0</v>
      </c>
      <c r="N459" s="88">
        <v>0</v>
      </c>
      <c r="O459" s="88">
        <v>0</v>
      </c>
      <c r="P459" s="88">
        <v>0</v>
      </c>
      <c r="Q459" s="88">
        <v>0</v>
      </c>
      <c r="R459" s="88">
        <v>0</v>
      </c>
    </row>
    <row r="460" spans="1:18" x14ac:dyDescent="0.3">
      <c r="A460" s="195" t="s">
        <v>1074</v>
      </c>
      <c r="B460" s="177">
        <v>1001</v>
      </c>
      <c r="C460" s="177" t="s">
        <v>163</v>
      </c>
      <c r="D460" s="201" t="s">
        <v>1075</v>
      </c>
      <c r="E460" s="88" t="s">
        <v>1562</v>
      </c>
      <c r="F460" s="88">
        <v>0</v>
      </c>
      <c r="G460" s="88">
        <v>0</v>
      </c>
      <c r="H460" s="88">
        <v>0</v>
      </c>
      <c r="I460" s="88">
        <v>0</v>
      </c>
      <c r="J460" s="88">
        <v>0</v>
      </c>
      <c r="K460" s="88">
        <v>0</v>
      </c>
      <c r="L460" s="88">
        <v>0</v>
      </c>
      <c r="M460" s="88">
        <v>0</v>
      </c>
      <c r="N460" s="88">
        <v>0</v>
      </c>
      <c r="O460" s="88">
        <v>0</v>
      </c>
      <c r="P460" s="88">
        <v>0</v>
      </c>
      <c r="Q460" s="88">
        <v>0</v>
      </c>
      <c r="R460" s="88">
        <v>0</v>
      </c>
    </row>
    <row r="461" spans="1:18" x14ac:dyDescent="0.3">
      <c r="A461" s="195" t="s">
        <v>1077</v>
      </c>
      <c r="B461" s="177">
        <v>1001</v>
      </c>
      <c r="C461" s="177" t="s">
        <v>163</v>
      </c>
      <c r="D461" s="201" t="s">
        <v>1078</v>
      </c>
      <c r="E461" s="88" t="s">
        <v>1563</v>
      </c>
      <c r="F461" s="88">
        <v>0</v>
      </c>
      <c r="G461" s="88">
        <v>0</v>
      </c>
      <c r="H461" s="88">
        <v>0</v>
      </c>
      <c r="I461" s="88">
        <v>0</v>
      </c>
      <c r="J461" s="88">
        <v>0</v>
      </c>
      <c r="K461" s="88">
        <v>0</v>
      </c>
      <c r="L461" s="88">
        <v>0</v>
      </c>
      <c r="M461" s="88">
        <v>0</v>
      </c>
      <c r="N461" s="88">
        <v>0</v>
      </c>
      <c r="O461" s="88">
        <v>0</v>
      </c>
      <c r="P461" s="88">
        <v>0</v>
      </c>
      <c r="Q461" s="88">
        <v>0</v>
      </c>
      <c r="R461" s="88">
        <v>0</v>
      </c>
    </row>
    <row r="462" spans="1:18" x14ac:dyDescent="0.3">
      <c r="A462" s="195" t="s">
        <v>1010</v>
      </c>
      <c r="B462" s="177">
        <v>1001</v>
      </c>
      <c r="C462" s="177" t="s">
        <v>163</v>
      </c>
      <c r="D462" s="201" t="s">
        <v>1080</v>
      </c>
      <c r="E462" s="88" t="s">
        <v>1564</v>
      </c>
      <c r="F462" s="88">
        <v>0</v>
      </c>
      <c r="G462" s="88">
        <v>0</v>
      </c>
      <c r="H462" s="88">
        <v>0</v>
      </c>
      <c r="I462" s="88">
        <v>0</v>
      </c>
      <c r="J462" s="88">
        <v>0</v>
      </c>
      <c r="K462" s="88">
        <v>0</v>
      </c>
      <c r="L462" s="88">
        <v>0</v>
      </c>
      <c r="M462" s="88">
        <v>0</v>
      </c>
      <c r="N462" s="88">
        <v>0</v>
      </c>
      <c r="O462" s="88">
        <v>0</v>
      </c>
      <c r="P462" s="88">
        <v>0</v>
      </c>
      <c r="Q462" s="88">
        <v>0</v>
      </c>
      <c r="R462" s="88">
        <v>0</v>
      </c>
    </row>
    <row r="463" spans="1:18" x14ac:dyDescent="0.3">
      <c r="A463" s="195" t="s">
        <v>1082</v>
      </c>
      <c r="B463" s="177">
        <v>1001</v>
      </c>
      <c r="C463" s="177" t="s">
        <v>163</v>
      </c>
      <c r="D463" s="201" t="s">
        <v>1083</v>
      </c>
      <c r="E463" s="88" t="s">
        <v>1565</v>
      </c>
      <c r="F463" s="88">
        <v>0</v>
      </c>
      <c r="G463" s="88">
        <v>0</v>
      </c>
      <c r="H463" s="88">
        <v>0</v>
      </c>
      <c r="I463" s="88">
        <v>0</v>
      </c>
      <c r="J463" s="88">
        <v>0</v>
      </c>
      <c r="K463" s="88">
        <v>0</v>
      </c>
      <c r="L463" s="88">
        <v>0</v>
      </c>
      <c r="M463" s="88">
        <v>0</v>
      </c>
      <c r="N463" s="88">
        <v>0</v>
      </c>
      <c r="O463" s="88">
        <v>0</v>
      </c>
      <c r="P463" s="88">
        <v>0</v>
      </c>
      <c r="Q463" s="88">
        <v>0</v>
      </c>
      <c r="R463" s="88">
        <v>0</v>
      </c>
    </row>
    <row r="464" spans="1:18" x14ac:dyDescent="0.3">
      <c r="A464" s="195" t="s">
        <v>1085</v>
      </c>
      <c r="B464" s="177">
        <v>1001</v>
      </c>
      <c r="C464" s="177" t="s">
        <v>163</v>
      </c>
      <c r="D464" s="201" t="s">
        <v>1086</v>
      </c>
      <c r="E464" s="88" t="s">
        <v>1566</v>
      </c>
      <c r="F464" s="88">
        <v>0</v>
      </c>
      <c r="G464" s="88">
        <v>0</v>
      </c>
      <c r="H464" s="88">
        <v>0</v>
      </c>
      <c r="I464" s="88">
        <v>0</v>
      </c>
      <c r="J464" s="88">
        <v>0</v>
      </c>
      <c r="K464" s="88">
        <v>0</v>
      </c>
      <c r="L464" s="88">
        <v>0</v>
      </c>
      <c r="M464" s="88">
        <v>0</v>
      </c>
      <c r="N464" s="88">
        <v>0</v>
      </c>
      <c r="O464" s="88">
        <v>0</v>
      </c>
      <c r="P464" s="88">
        <v>0</v>
      </c>
      <c r="Q464" s="88">
        <v>0</v>
      </c>
      <c r="R464" s="88">
        <v>0</v>
      </c>
    </row>
    <row r="465" spans="1:18" x14ac:dyDescent="0.3">
      <c r="A465" s="195" t="s">
        <v>1088</v>
      </c>
      <c r="B465" s="177">
        <v>1001</v>
      </c>
      <c r="C465" s="177" t="s">
        <v>163</v>
      </c>
      <c r="D465" s="201" t="s">
        <v>1089</v>
      </c>
      <c r="E465" s="88" t="s">
        <v>1567</v>
      </c>
      <c r="F465" s="88">
        <v>0</v>
      </c>
      <c r="G465" s="88">
        <v>0</v>
      </c>
      <c r="H465" s="88">
        <v>0</v>
      </c>
      <c r="I465" s="88">
        <v>0</v>
      </c>
      <c r="J465" s="88">
        <v>0</v>
      </c>
      <c r="K465" s="88">
        <v>0</v>
      </c>
      <c r="L465" s="88">
        <v>0</v>
      </c>
      <c r="M465" s="88">
        <v>0</v>
      </c>
      <c r="N465" s="88">
        <v>0</v>
      </c>
      <c r="O465" s="88">
        <v>0</v>
      </c>
      <c r="P465" s="88">
        <v>0</v>
      </c>
      <c r="Q465" s="88">
        <v>0</v>
      </c>
      <c r="R465" s="88">
        <v>0</v>
      </c>
    </row>
    <row r="466" spans="1:18" x14ac:dyDescent="0.3">
      <c r="A466" s="195" t="s">
        <v>1091</v>
      </c>
      <c r="B466" s="177">
        <v>1001</v>
      </c>
      <c r="C466" s="177" t="s">
        <v>163</v>
      </c>
      <c r="D466" s="201" t="s">
        <v>1092</v>
      </c>
      <c r="E466" s="88" t="s">
        <v>1568</v>
      </c>
      <c r="F466" s="88">
        <v>0</v>
      </c>
      <c r="G466" s="88">
        <v>0</v>
      </c>
      <c r="H466" s="88">
        <v>0</v>
      </c>
      <c r="I466" s="88">
        <v>0</v>
      </c>
      <c r="J466" s="88">
        <v>0</v>
      </c>
      <c r="K466" s="88">
        <v>0</v>
      </c>
      <c r="L466" s="88">
        <v>0</v>
      </c>
      <c r="M466" s="88">
        <v>0</v>
      </c>
      <c r="N466" s="88">
        <v>0</v>
      </c>
      <c r="O466" s="88">
        <v>0</v>
      </c>
      <c r="P466" s="88">
        <v>0</v>
      </c>
      <c r="Q466" s="88">
        <v>0</v>
      </c>
      <c r="R466" s="88">
        <v>0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F3F4C-7EFB-40E4-BB44-04494F0864E0}">
  <sheetPr filterMode="1">
    <tabColor theme="8"/>
  </sheetPr>
  <dimension ref="A1:K423"/>
  <sheetViews>
    <sheetView workbookViewId="0">
      <pane ySplit="1" topLeftCell="A2" activePane="bottomLeft" state="frozen"/>
      <selection pane="bottomLeft" activeCell="C270" sqref="C270"/>
    </sheetView>
  </sheetViews>
  <sheetFormatPr defaultRowHeight="14.4" x14ac:dyDescent="0.3"/>
  <cols>
    <col min="1" max="1" width="16.5546875" bestFit="1" customWidth="1"/>
    <col min="2" max="2" width="12.44140625" bestFit="1" customWidth="1"/>
    <col min="3" max="3" width="15.88671875" bestFit="1" customWidth="1"/>
    <col min="4" max="4" width="46.44140625" bestFit="1" customWidth="1"/>
    <col min="5" max="5" width="19" style="241" bestFit="1" customWidth="1"/>
    <col min="6" max="6" width="19" style="240" bestFit="1" customWidth="1"/>
    <col min="7" max="7" width="18" style="240" bestFit="1" customWidth="1"/>
    <col min="8" max="8" width="13.33203125" style="206" customWidth="1"/>
    <col min="9" max="9" width="10.5546875" customWidth="1"/>
    <col min="10" max="10" width="174" bestFit="1" customWidth="1"/>
  </cols>
  <sheetData>
    <row r="1" spans="1:10" ht="16.2" x14ac:dyDescent="0.3">
      <c r="A1" s="80" t="s">
        <v>141</v>
      </c>
      <c r="B1" s="80" t="s">
        <v>142</v>
      </c>
      <c r="C1" s="81"/>
      <c r="D1" s="82" t="s">
        <v>11</v>
      </c>
      <c r="E1" s="242" t="s">
        <v>143</v>
      </c>
      <c r="F1" s="243" t="s">
        <v>1099</v>
      </c>
      <c r="G1" s="243"/>
      <c r="H1" s="84"/>
    </row>
    <row r="2" spans="1:10" ht="16.2" x14ac:dyDescent="0.3">
      <c r="A2" s="85" t="s">
        <v>144</v>
      </c>
      <c r="B2" s="85" t="s">
        <v>145</v>
      </c>
      <c r="C2" s="86" t="s">
        <v>146</v>
      </c>
      <c r="D2" s="87" t="s">
        <v>147</v>
      </c>
      <c r="E2" s="242" t="s">
        <v>161</v>
      </c>
      <c r="F2" s="243" t="s">
        <v>1116</v>
      </c>
      <c r="G2" s="243" t="s">
        <v>1569</v>
      </c>
      <c r="H2" s="84" t="s">
        <v>1570</v>
      </c>
      <c r="I2" s="244" t="s">
        <v>1571</v>
      </c>
      <c r="J2" s="244" t="s">
        <v>1572</v>
      </c>
    </row>
    <row r="3" spans="1:10" hidden="1" x14ac:dyDescent="0.3">
      <c r="A3" s="177" t="s">
        <v>162</v>
      </c>
      <c r="B3" s="177" t="s">
        <v>163</v>
      </c>
      <c r="C3" s="201" t="s">
        <v>164</v>
      </c>
      <c r="D3" s="88" t="s">
        <v>165</v>
      </c>
      <c r="E3" s="178">
        <f>VLOOKUP(C3,'FERC TB 2024'!D13:S466,16,FALSE)/1000</f>
        <v>131679690.31298999</v>
      </c>
      <c r="F3" s="178">
        <f>VLOOKUP(C3,'FERC TB 2025'!D13:R466,15,FALSE)/1000</f>
        <v>13336395.117290001</v>
      </c>
      <c r="G3" s="191">
        <f>F3-E3</f>
        <v>-118343295.19569999</v>
      </c>
      <c r="H3" s="206">
        <f>G3/E3</f>
        <v>-0.89872094105331901</v>
      </c>
    </row>
    <row r="4" spans="1:10" hidden="1" x14ac:dyDescent="0.3">
      <c r="A4" s="177" t="s">
        <v>162</v>
      </c>
      <c r="B4" s="177" t="s">
        <v>163</v>
      </c>
      <c r="C4" s="201" t="s">
        <v>166</v>
      </c>
      <c r="D4" s="88" t="s">
        <v>167</v>
      </c>
      <c r="E4" s="178">
        <f>VLOOKUP(C4,'FERC TB 2024'!D14:S467,16,FALSE)/1000</f>
        <v>407089.36437181133</v>
      </c>
      <c r="F4" s="178">
        <f>VLOOKUP(C4,'FERC TB 2025'!D14:R467,15,FALSE)/1000</f>
        <v>30563.953851309299</v>
      </c>
      <c r="G4" s="191">
        <f t="shared" ref="G4:G67" si="0">F4-E4</f>
        <v>-376525.41052050202</v>
      </c>
      <c r="H4" s="206">
        <f t="shared" ref="H4:H67" si="1">G4/E4</f>
        <v>-0.92492077532294847</v>
      </c>
    </row>
    <row r="5" spans="1:10" hidden="1" x14ac:dyDescent="0.3">
      <c r="A5" s="177" t="s">
        <v>162</v>
      </c>
      <c r="B5" s="177" t="s">
        <v>163</v>
      </c>
      <c r="C5" s="201" t="s">
        <v>168</v>
      </c>
      <c r="D5" s="88" t="s">
        <v>169</v>
      </c>
      <c r="E5" s="178">
        <f>VLOOKUP(C5,'FERC TB 2024'!D15:S468,16,FALSE)/1000</f>
        <v>2055.3553000000002</v>
      </c>
      <c r="F5" s="178">
        <f>VLOOKUP(C5,'FERC TB 2025'!D15:R468,15,FALSE)/1000</f>
        <v>0</v>
      </c>
      <c r="G5" s="191">
        <f t="shared" si="0"/>
        <v>-2055.3553000000002</v>
      </c>
      <c r="H5" s="206">
        <f t="shared" si="1"/>
        <v>-1</v>
      </c>
    </row>
    <row r="6" spans="1:10" hidden="1" x14ac:dyDescent="0.3">
      <c r="A6" s="177" t="s">
        <v>162</v>
      </c>
      <c r="B6" s="177" t="s">
        <v>163</v>
      </c>
      <c r="C6" s="201" t="s">
        <v>170</v>
      </c>
      <c r="D6" s="88" t="s">
        <v>171</v>
      </c>
      <c r="E6" s="178">
        <f>VLOOKUP(C6,'FERC TB 2024'!D16:S469,16,FALSE)/1000</f>
        <v>0</v>
      </c>
      <c r="F6" s="178">
        <f>VLOOKUP(C6,'FERC TB 2025'!D16:R469,15,FALSE)/1000</f>
        <v>0</v>
      </c>
      <c r="G6" s="191">
        <f t="shared" si="0"/>
        <v>0</v>
      </c>
      <c r="H6" s="206" t="e">
        <f t="shared" si="1"/>
        <v>#DIV/0!</v>
      </c>
    </row>
    <row r="7" spans="1:10" hidden="1" x14ac:dyDescent="0.3">
      <c r="A7" s="177" t="s">
        <v>162</v>
      </c>
      <c r="B7" s="177" t="s">
        <v>163</v>
      </c>
      <c r="C7" s="201" t="s">
        <v>172</v>
      </c>
      <c r="D7" s="88" t="s">
        <v>173</v>
      </c>
      <c r="E7" s="178">
        <f>VLOOKUP(C7,'FERC TB 2024'!D17:S470,16,FALSE)/1000</f>
        <v>0</v>
      </c>
      <c r="F7" s="178">
        <f>VLOOKUP(C7,'FERC TB 2025'!D17:R470,15,FALSE)/1000</f>
        <v>0</v>
      </c>
      <c r="G7" s="191">
        <f t="shared" si="0"/>
        <v>0</v>
      </c>
      <c r="H7" s="206" t="e">
        <f t="shared" si="1"/>
        <v>#DIV/0!</v>
      </c>
    </row>
    <row r="8" spans="1:10" hidden="1" x14ac:dyDescent="0.3">
      <c r="A8" s="177" t="s">
        <v>162</v>
      </c>
      <c r="B8" s="177" t="s">
        <v>163</v>
      </c>
      <c r="C8" s="201" t="s">
        <v>174</v>
      </c>
      <c r="D8" s="88" t="s">
        <v>175</v>
      </c>
      <c r="E8" s="178">
        <f>VLOOKUP(C8,'FERC TB 2024'!D18:S471,16,FALSE)/1000</f>
        <v>0</v>
      </c>
      <c r="F8" s="178">
        <f>VLOOKUP(C8,'FERC TB 2025'!D18:R471,15,FALSE)/1000</f>
        <v>0</v>
      </c>
      <c r="G8" s="191">
        <f t="shared" si="0"/>
        <v>0</v>
      </c>
      <c r="H8" s="206" t="e">
        <f t="shared" si="1"/>
        <v>#DIV/0!</v>
      </c>
    </row>
    <row r="9" spans="1:10" hidden="1" x14ac:dyDescent="0.3">
      <c r="A9" s="177" t="s">
        <v>162</v>
      </c>
      <c r="B9" s="177" t="s">
        <v>163</v>
      </c>
      <c r="C9" s="201" t="s">
        <v>176</v>
      </c>
      <c r="D9" s="88" t="s">
        <v>177</v>
      </c>
      <c r="E9" s="178">
        <f>VLOOKUP(C9,'FERC TB 2024'!D19:S472,16,FALSE)/1000</f>
        <v>766148.79435999983</v>
      </c>
      <c r="F9" s="178">
        <f>VLOOKUP(C9,'FERC TB 2025'!D19:R472,15,FALSE)/1000</f>
        <v>70764.952269999994</v>
      </c>
      <c r="G9" s="191">
        <f t="shared" si="0"/>
        <v>-695383.84208999982</v>
      </c>
      <c r="H9" s="206">
        <f t="shared" si="1"/>
        <v>-0.90763549745044847</v>
      </c>
    </row>
    <row r="10" spans="1:10" hidden="1" x14ac:dyDescent="0.3">
      <c r="A10" s="177" t="s">
        <v>162</v>
      </c>
      <c r="B10" s="177" t="s">
        <v>163</v>
      </c>
      <c r="C10" s="201" t="s">
        <v>178</v>
      </c>
      <c r="D10" s="88" t="s">
        <v>179</v>
      </c>
      <c r="E10" s="178">
        <f>VLOOKUP(C10,'FERC TB 2024'!D20:S473,16,FALSE)/1000</f>
        <v>0</v>
      </c>
      <c r="F10" s="178">
        <f>VLOOKUP(C10,'FERC TB 2025'!D20:R473,15,FALSE)/1000</f>
        <v>0</v>
      </c>
      <c r="G10" s="191">
        <f t="shared" si="0"/>
        <v>0</v>
      </c>
      <c r="H10" s="206" t="e">
        <f t="shared" si="1"/>
        <v>#DIV/0!</v>
      </c>
    </row>
    <row r="11" spans="1:10" hidden="1" x14ac:dyDescent="0.3">
      <c r="A11" s="177" t="s">
        <v>162</v>
      </c>
      <c r="B11" s="177" t="s">
        <v>163</v>
      </c>
      <c r="C11" s="201" t="s">
        <v>180</v>
      </c>
      <c r="D11" s="88" t="s">
        <v>181</v>
      </c>
      <c r="E11" s="178">
        <f>VLOOKUP(C11,'FERC TB 2024'!D21:S474,16,FALSE)/1000</f>
        <v>24940580.455199998</v>
      </c>
      <c r="F11" s="178">
        <f>VLOOKUP(C11,'FERC TB 2025'!D21:R474,15,FALSE)/1000</f>
        <v>2078381.7045999998</v>
      </c>
      <c r="G11" s="191">
        <f t="shared" si="0"/>
        <v>-22862198.750599999</v>
      </c>
      <c r="H11" s="206">
        <f t="shared" si="1"/>
        <v>-0.91666666666666674</v>
      </c>
    </row>
    <row r="12" spans="1:10" hidden="1" x14ac:dyDescent="0.3">
      <c r="A12" s="177" t="s">
        <v>162</v>
      </c>
      <c r="B12" s="177" t="s">
        <v>163</v>
      </c>
      <c r="C12" s="201" t="s">
        <v>182</v>
      </c>
      <c r="D12" s="88" t="s">
        <v>183</v>
      </c>
      <c r="E12" s="178">
        <f>VLOOKUP(C12,'FERC TB 2024'!D22:S475,16,FALSE)/1000</f>
        <v>13434201.658350002</v>
      </c>
      <c r="F12" s="178">
        <f>VLOOKUP(C12,'FERC TB 2025'!D22:R475,15,FALSE)/1000</f>
        <v>711966.47315999994</v>
      </c>
      <c r="G12" s="191">
        <f t="shared" si="0"/>
        <v>-12722235.185190002</v>
      </c>
      <c r="H12" s="206">
        <f t="shared" si="1"/>
        <v>-0.94700344008030579</v>
      </c>
    </row>
    <row r="13" spans="1:10" hidden="1" x14ac:dyDescent="0.3">
      <c r="A13" s="177" t="s">
        <v>162</v>
      </c>
      <c r="B13" s="177" t="s">
        <v>163</v>
      </c>
      <c r="C13" s="201" t="s">
        <v>184</v>
      </c>
      <c r="D13" s="88" t="s">
        <v>185</v>
      </c>
      <c r="E13" s="178">
        <f>VLOOKUP(C13,'FERC TB 2024'!D23:S476,16,FALSE)/1000</f>
        <v>-44013961.139879994</v>
      </c>
      <c r="F13" s="178">
        <f>VLOOKUP(C13,'FERC TB 2025'!D23:R476,15,FALSE)/1000</f>
        <v>-4143340.7621500003</v>
      </c>
      <c r="G13" s="191">
        <f t="shared" si="0"/>
        <v>39870620.377729997</v>
      </c>
      <c r="H13" s="206">
        <f t="shared" si="1"/>
        <v>-0.90586303402726875</v>
      </c>
    </row>
    <row r="14" spans="1:10" hidden="1" x14ac:dyDescent="0.3">
      <c r="A14" s="177" t="s">
        <v>162</v>
      </c>
      <c r="B14" s="177" t="s">
        <v>163</v>
      </c>
      <c r="C14" s="201" t="s">
        <v>186</v>
      </c>
      <c r="D14" s="88" t="s">
        <v>187</v>
      </c>
      <c r="E14" s="178">
        <f>VLOOKUP(C14,'FERC TB 2024'!D24:S477,16,FALSE)/1000</f>
        <v>-2000429.04259</v>
      </c>
      <c r="F14" s="178">
        <f>VLOOKUP(C14,'FERC TB 2025'!D24:R477,15,FALSE)/1000</f>
        <v>-211782.12745</v>
      </c>
      <c r="G14" s="191">
        <f t="shared" si="0"/>
        <v>1788646.9151399999</v>
      </c>
      <c r="H14" s="206">
        <f t="shared" si="1"/>
        <v>-0.8941316472911226</v>
      </c>
    </row>
    <row r="15" spans="1:10" hidden="1" x14ac:dyDescent="0.3">
      <c r="A15" s="177" t="s">
        <v>162</v>
      </c>
      <c r="B15" s="177" t="s">
        <v>163</v>
      </c>
      <c r="C15" s="201" t="s">
        <v>188</v>
      </c>
      <c r="D15" s="88" t="s">
        <v>189</v>
      </c>
      <c r="E15" s="178">
        <f>VLOOKUP(C15,'FERC TB 2024'!D25:S478,16,FALSE)/1000</f>
        <v>89817.873120000004</v>
      </c>
      <c r="F15" s="178">
        <f>VLOOKUP(C15,'FERC TB 2025'!D25:R478,15,FALSE)/1000</f>
        <v>7484.82276</v>
      </c>
      <c r="G15" s="191">
        <f t="shared" si="0"/>
        <v>-82333.050360000008</v>
      </c>
      <c r="H15" s="206">
        <f t="shared" si="1"/>
        <v>-0.91666666666666674</v>
      </c>
    </row>
    <row r="16" spans="1:10" hidden="1" x14ac:dyDescent="0.3">
      <c r="A16" s="177" t="s">
        <v>162</v>
      </c>
      <c r="B16" s="177" t="s">
        <v>163</v>
      </c>
      <c r="C16" s="201" t="s">
        <v>190</v>
      </c>
      <c r="D16" s="88" t="s">
        <v>191</v>
      </c>
      <c r="E16" s="178">
        <f>VLOOKUP(C16,'FERC TB 2024'!D26:S479,16,FALSE)/1000</f>
        <v>-81298.495859999995</v>
      </c>
      <c r="F16" s="178">
        <f>VLOOKUP(C16,'FERC TB 2025'!D26:R479,15,FALSE)/1000</f>
        <v>-7120.0749299999998</v>
      </c>
      <c r="G16" s="191">
        <f t="shared" si="0"/>
        <v>74178.420929999993</v>
      </c>
      <c r="H16" s="206">
        <f t="shared" si="1"/>
        <v>-0.9124205822668463</v>
      </c>
    </row>
    <row r="17" spans="1:8" hidden="1" x14ac:dyDescent="0.3">
      <c r="A17" s="177" t="s">
        <v>162</v>
      </c>
      <c r="B17" s="177" t="s">
        <v>163</v>
      </c>
      <c r="C17" s="201" t="s">
        <v>192</v>
      </c>
      <c r="D17" s="88" t="s">
        <v>193</v>
      </c>
      <c r="E17" s="178">
        <f>VLOOKUP(C17,'FERC TB 2024'!D27:S480,16,FALSE)/1000</f>
        <v>0</v>
      </c>
      <c r="F17" s="178">
        <f>VLOOKUP(C17,'FERC TB 2025'!D27:R480,15,FALSE)/1000</f>
        <v>0</v>
      </c>
      <c r="G17" s="191">
        <f t="shared" si="0"/>
        <v>0</v>
      </c>
      <c r="H17" s="206" t="e">
        <f t="shared" si="1"/>
        <v>#DIV/0!</v>
      </c>
    </row>
    <row r="18" spans="1:8" hidden="1" x14ac:dyDescent="0.3">
      <c r="A18" s="177" t="s">
        <v>162</v>
      </c>
      <c r="B18" s="177" t="s">
        <v>163</v>
      </c>
      <c r="C18" s="201" t="s">
        <v>194</v>
      </c>
      <c r="D18" s="88" t="s">
        <v>195</v>
      </c>
      <c r="E18" s="178">
        <f>VLOOKUP(C18,'FERC TB 2024'!D28:S481,16,FALSE)/1000</f>
        <v>0</v>
      </c>
      <c r="F18" s="178">
        <f>VLOOKUP(C18,'FERC TB 2025'!D28:R481,15,FALSE)/1000</f>
        <v>0</v>
      </c>
      <c r="G18" s="191">
        <f t="shared" si="0"/>
        <v>0</v>
      </c>
      <c r="H18" s="206" t="e">
        <f t="shared" si="1"/>
        <v>#DIV/0!</v>
      </c>
    </row>
    <row r="19" spans="1:8" hidden="1" x14ac:dyDescent="0.3">
      <c r="A19" s="177" t="s">
        <v>162</v>
      </c>
      <c r="B19" s="177" t="s">
        <v>163</v>
      </c>
      <c r="C19" s="201" t="s">
        <v>196</v>
      </c>
      <c r="D19" s="88" t="s">
        <v>197</v>
      </c>
      <c r="E19" s="178">
        <f>VLOOKUP(C19,'FERC TB 2024'!D29:S482,16,FALSE)/1000</f>
        <v>0</v>
      </c>
      <c r="F19" s="178">
        <f>VLOOKUP(C19,'FERC TB 2025'!D29:R482,15,FALSE)/1000</f>
        <v>0</v>
      </c>
      <c r="G19" s="191">
        <f t="shared" si="0"/>
        <v>0</v>
      </c>
      <c r="H19" s="206" t="e">
        <f t="shared" si="1"/>
        <v>#DIV/0!</v>
      </c>
    </row>
    <row r="20" spans="1:8" hidden="1" x14ac:dyDescent="0.3">
      <c r="A20" s="177" t="s">
        <v>162</v>
      </c>
      <c r="B20" s="177" t="s">
        <v>163</v>
      </c>
      <c r="C20" s="201" t="s">
        <v>198</v>
      </c>
      <c r="D20" s="88" t="s">
        <v>199</v>
      </c>
      <c r="E20" s="178">
        <f>VLOOKUP(C20,'FERC TB 2024'!D30:S483,16,FALSE)/1000</f>
        <v>0</v>
      </c>
      <c r="F20" s="178">
        <f>VLOOKUP(C20,'FERC TB 2025'!D30:R483,15,FALSE)/1000</f>
        <v>0</v>
      </c>
      <c r="G20" s="191">
        <f t="shared" si="0"/>
        <v>0</v>
      </c>
      <c r="H20" s="206" t="e">
        <f t="shared" si="1"/>
        <v>#DIV/0!</v>
      </c>
    </row>
    <row r="21" spans="1:8" hidden="1" x14ac:dyDescent="0.3">
      <c r="A21" s="177" t="s">
        <v>162</v>
      </c>
      <c r="B21" s="177" t="s">
        <v>163</v>
      </c>
      <c r="C21" s="201" t="s">
        <v>200</v>
      </c>
      <c r="D21" s="88" t="s">
        <v>201</v>
      </c>
      <c r="E21" s="178">
        <f>VLOOKUP(C21,'FERC TB 2024'!D31:S484,16,FALSE)/1000</f>
        <v>0</v>
      </c>
      <c r="F21" s="178">
        <f>VLOOKUP(C21,'FERC TB 2025'!D31:R484,15,FALSE)/1000</f>
        <v>0</v>
      </c>
      <c r="G21" s="191">
        <f t="shared" si="0"/>
        <v>0</v>
      </c>
      <c r="H21" s="206" t="e">
        <f t="shared" si="1"/>
        <v>#DIV/0!</v>
      </c>
    </row>
    <row r="22" spans="1:8" hidden="1" x14ac:dyDescent="0.3">
      <c r="A22" s="177" t="s">
        <v>162</v>
      </c>
      <c r="B22" s="177" t="s">
        <v>163</v>
      </c>
      <c r="C22" s="201" t="s">
        <v>202</v>
      </c>
      <c r="D22" s="88" t="s">
        <v>203</v>
      </c>
      <c r="E22" s="178">
        <f>VLOOKUP(C22,'FERC TB 2024'!D32:S485,16,FALSE)/1000</f>
        <v>0</v>
      </c>
      <c r="F22" s="178">
        <f>VLOOKUP(C22,'FERC TB 2025'!D32:R485,15,FALSE)/1000</f>
        <v>0</v>
      </c>
      <c r="G22" s="191">
        <f t="shared" si="0"/>
        <v>0</v>
      </c>
      <c r="H22" s="206" t="e">
        <f t="shared" si="1"/>
        <v>#DIV/0!</v>
      </c>
    </row>
    <row r="23" spans="1:8" hidden="1" x14ac:dyDescent="0.3">
      <c r="A23" s="177" t="s">
        <v>162</v>
      </c>
      <c r="B23" s="177" t="s">
        <v>163</v>
      </c>
      <c r="C23" s="201" t="s">
        <v>204</v>
      </c>
      <c r="D23" s="88" t="s">
        <v>205</v>
      </c>
      <c r="E23" s="178">
        <f>VLOOKUP(C23,'FERC TB 2024'!D33:S486,16,FALSE)/1000</f>
        <v>0</v>
      </c>
      <c r="F23" s="178">
        <f>VLOOKUP(C23,'FERC TB 2025'!D33:R486,15,FALSE)/1000</f>
        <v>0</v>
      </c>
      <c r="G23" s="191">
        <f t="shared" si="0"/>
        <v>0</v>
      </c>
      <c r="H23" s="206" t="e">
        <f t="shared" si="1"/>
        <v>#DIV/0!</v>
      </c>
    </row>
    <row r="24" spans="1:8" hidden="1" x14ac:dyDescent="0.3">
      <c r="A24" s="177" t="s">
        <v>162</v>
      </c>
      <c r="B24" s="177" t="s">
        <v>163</v>
      </c>
      <c r="C24" s="201" t="s">
        <v>206</v>
      </c>
      <c r="D24" s="88" t="s">
        <v>207</v>
      </c>
      <c r="E24" s="178">
        <f>VLOOKUP(C24,'FERC TB 2024'!D34:S487,16,FALSE)/1000</f>
        <v>266248.12698</v>
      </c>
      <c r="F24" s="178">
        <f>VLOOKUP(C24,'FERC TB 2025'!D34:R487,15,FALSE)/1000</f>
        <v>24891.627456666702</v>
      </c>
      <c r="G24" s="191">
        <f t="shared" si="0"/>
        <v>-241356.4995233333</v>
      </c>
      <c r="H24" s="206">
        <f t="shared" si="1"/>
        <v>-0.90650966172416869</v>
      </c>
    </row>
    <row r="25" spans="1:8" hidden="1" x14ac:dyDescent="0.3">
      <c r="A25" s="177" t="s">
        <v>162</v>
      </c>
      <c r="B25" s="177" t="s">
        <v>163</v>
      </c>
      <c r="C25" s="201" t="s">
        <v>208</v>
      </c>
      <c r="D25" s="88" t="s">
        <v>209</v>
      </c>
      <c r="E25" s="178">
        <f>VLOOKUP(C25,'FERC TB 2024'!D35:S488,16,FALSE)/1000</f>
        <v>-90749.74185999998</v>
      </c>
      <c r="F25" s="178">
        <f>VLOOKUP(C25,'FERC TB 2025'!D35:R488,15,FALSE)/1000</f>
        <v>-8408.9433000000008</v>
      </c>
      <c r="G25" s="191">
        <f t="shared" si="0"/>
        <v>82340.798559999981</v>
      </c>
      <c r="H25" s="206">
        <f t="shared" si="1"/>
        <v>-0.90733920419330216</v>
      </c>
    </row>
    <row r="26" spans="1:8" hidden="1" x14ac:dyDescent="0.3">
      <c r="A26" s="177" t="s">
        <v>162</v>
      </c>
      <c r="B26" s="177" t="s">
        <v>163</v>
      </c>
      <c r="C26" s="201" t="s">
        <v>210</v>
      </c>
      <c r="D26" s="88" t="s">
        <v>211</v>
      </c>
      <c r="E26" s="178">
        <f>VLOOKUP(C26,'FERC TB 2024'!D36:S489,16,FALSE)/1000</f>
        <v>0</v>
      </c>
      <c r="F26" s="178">
        <f>VLOOKUP(C26,'FERC TB 2025'!D36:R489,15,FALSE)/1000</f>
        <v>0</v>
      </c>
      <c r="G26" s="191">
        <f t="shared" si="0"/>
        <v>0</v>
      </c>
      <c r="H26" s="206" t="e">
        <f t="shared" si="1"/>
        <v>#DIV/0!</v>
      </c>
    </row>
    <row r="27" spans="1:8" hidden="1" x14ac:dyDescent="0.3">
      <c r="A27" s="177" t="s">
        <v>162</v>
      </c>
      <c r="B27" s="177" t="s">
        <v>163</v>
      </c>
      <c r="C27" s="201" t="s">
        <v>212</v>
      </c>
      <c r="D27" s="88" t="s">
        <v>213</v>
      </c>
      <c r="E27" s="178">
        <f>VLOOKUP(C27,'FERC TB 2024'!D37:S490,16,FALSE)/1000</f>
        <v>0</v>
      </c>
      <c r="F27" s="178">
        <f>VLOOKUP(C27,'FERC TB 2025'!D37:R490,15,FALSE)/1000</f>
        <v>0</v>
      </c>
      <c r="G27" s="191">
        <f t="shared" si="0"/>
        <v>0</v>
      </c>
      <c r="H27" s="206" t="e">
        <f t="shared" si="1"/>
        <v>#DIV/0!</v>
      </c>
    </row>
    <row r="28" spans="1:8" hidden="1" x14ac:dyDescent="0.3">
      <c r="A28" s="177" t="s">
        <v>162</v>
      </c>
      <c r="B28" s="177" t="s">
        <v>163</v>
      </c>
      <c r="C28" s="201" t="s">
        <v>214</v>
      </c>
      <c r="D28" s="88" t="s">
        <v>215</v>
      </c>
      <c r="E28" s="178">
        <f>VLOOKUP(C28,'FERC TB 2024'!D38:S491,16,FALSE)/1000</f>
        <v>0</v>
      </c>
      <c r="F28" s="178">
        <f>VLOOKUP(C28,'FERC TB 2025'!D38:R491,15,FALSE)/1000</f>
        <v>0</v>
      </c>
      <c r="G28" s="191">
        <f t="shared" si="0"/>
        <v>0</v>
      </c>
      <c r="H28" s="206" t="e">
        <f t="shared" si="1"/>
        <v>#DIV/0!</v>
      </c>
    </row>
    <row r="29" spans="1:8" hidden="1" x14ac:dyDescent="0.3">
      <c r="A29" s="177" t="s">
        <v>162</v>
      </c>
      <c r="B29" s="177" t="s">
        <v>163</v>
      </c>
      <c r="C29" s="201" t="s">
        <v>216</v>
      </c>
      <c r="D29" s="88" t="s">
        <v>217</v>
      </c>
      <c r="E29" s="178">
        <f>VLOOKUP(C29,'FERC TB 2024'!D39:S492,16,FALSE)/1000</f>
        <v>0</v>
      </c>
      <c r="F29" s="178">
        <f>VLOOKUP(C29,'FERC TB 2025'!D39:R492,15,FALSE)/1000</f>
        <v>0</v>
      </c>
      <c r="G29" s="191">
        <f t="shared" si="0"/>
        <v>0</v>
      </c>
      <c r="H29" s="206" t="e">
        <f t="shared" si="1"/>
        <v>#DIV/0!</v>
      </c>
    </row>
    <row r="30" spans="1:8" hidden="1" x14ac:dyDescent="0.3">
      <c r="A30" s="177" t="s">
        <v>162</v>
      </c>
      <c r="B30" s="177" t="s">
        <v>163</v>
      </c>
      <c r="C30" s="201" t="s">
        <v>218</v>
      </c>
      <c r="D30" s="88" t="s">
        <v>219</v>
      </c>
      <c r="E30" s="178">
        <f>VLOOKUP(C30,'FERC TB 2024'!D40:S493,16,FALSE)/1000</f>
        <v>0</v>
      </c>
      <c r="F30" s="178">
        <f>VLOOKUP(C30,'FERC TB 2025'!D40:R493,15,FALSE)/1000</f>
        <v>0</v>
      </c>
      <c r="G30" s="191">
        <f t="shared" si="0"/>
        <v>0</v>
      </c>
      <c r="H30" s="206" t="e">
        <f t="shared" si="1"/>
        <v>#DIV/0!</v>
      </c>
    </row>
    <row r="31" spans="1:8" hidden="1" x14ac:dyDescent="0.3">
      <c r="A31" s="177" t="s">
        <v>162</v>
      </c>
      <c r="B31" s="177" t="s">
        <v>163</v>
      </c>
      <c r="C31" s="201" t="s">
        <v>220</v>
      </c>
      <c r="D31" s="88" t="s">
        <v>221</v>
      </c>
      <c r="E31" s="178">
        <f>VLOOKUP(C31,'FERC TB 2024'!D41:S494,16,FALSE)/1000</f>
        <v>0</v>
      </c>
      <c r="F31" s="178">
        <f>VLOOKUP(C31,'FERC TB 2025'!D41:R494,15,FALSE)/1000</f>
        <v>0</v>
      </c>
      <c r="G31" s="191">
        <f t="shared" si="0"/>
        <v>0</v>
      </c>
      <c r="H31" s="206" t="e">
        <f t="shared" si="1"/>
        <v>#DIV/0!</v>
      </c>
    </row>
    <row r="32" spans="1:8" hidden="1" x14ac:dyDescent="0.3">
      <c r="A32" s="177" t="s">
        <v>162</v>
      </c>
      <c r="B32" s="177" t="s">
        <v>163</v>
      </c>
      <c r="C32" s="201" t="s">
        <v>222</v>
      </c>
      <c r="D32" s="88" t="s">
        <v>223</v>
      </c>
      <c r="E32" s="178">
        <f>VLOOKUP(C32,'FERC TB 2024'!D42:S495,16,FALSE)/1000</f>
        <v>0</v>
      </c>
      <c r="F32" s="178">
        <f>VLOOKUP(C32,'FERC TB 2025'!D42:R495,15,FALSE)/1000</f>
        <v>0</v>
      </c>
      <c r="G32" s="191">
        <f t="shared" si="0"/>
        <v>0</v>
      </c>
      <c r="H32" s="206" t="e">
        <f t="shared" si="1"/>
        <v>#DIV/0!</v>
      </c>
    </row>
    <row r="33" spans="1:8" hidden="1" x14ac:dyDescent="0.3">
      <c r="A33" s="177" t="s">
        <v>162</v>
      </c>
      <c r="B33" s="177" t="s">
        <v>163</v>
      </c>
      <c r="C33" s="201" t="s">
        <v>224</v>
      </c>
      <c r="D33" s="88" t="s">
        <v>225</v>
      </c>
      <c r="E33" s="178">
        <f>VLOOKUP(C33,'FERC TB 2024'!D43:S496,16,FALSE)/1000</f>
        <v>12000</v>
      </c>
      <c r="F33" s="178">
        <f>VLOOKUP(C33,'FERC TB 2025'!D43:R496,15,FALSE)/1000</f>
        <v>1000</v>
      </c>
      <c r="G33" s="191">
        <f t="shared" si="0"/>
        <v>-11000</v>
      </c>
      <c r="H33" s="206">
        <f t="shared" si="1"/>
        <v>-0.91666666666666663</v>
      </c>
    </row>
    <row r="34" spans="1:8" hidden="1" x14ac:dyDescent="0.3">
      <c r="A34" s="177" t="s">
        <v>162</v>
      </c>
      <c r="B34" s="177" t="s">
        <v>163</v>
      </c>
      <c r="C34" s="201" t="s">
        <v>226</v>
      </c>
      <c r="D34" s="88" t="s">
        <v>227</v>
      </c>
      <c r="E34" s="178">
        <f>VLOOKUP(C34,'FERC TB 2024'!D44:S497,16,FALSE)/1000</f>
        <v>0</v>
      </c>
      <c r="F34" s="178">
        <f>VLOOKUP(C34,'FERC TB 2025'!D44:R497,15,FALSE)/1000</f>
        <v>0</v>
      </c>
      <c r="G34" s="191">
        <f t="shared" si="0"/>
        <v>0</v>
      </c>
      <c r="H34" s="206" t="e">
        <f t="shared" si="1"/>
        <v>#DIV/0!</v>
      </c>
    </row>
    <row r="35" spans="1:8" hidden="1" x14ac:dyDescent="0.3">
      <c r="A35" s="177" t="s">
        <v>162</v>
      </c>
      <c r="B35" s="177" t="s">
        <v>163</v>
      </c>
      <c r="C35" s="201" t="s">
        <v>228</v>
      </c>
      <c r="D35" s="88" t="s">
        <v>229</v>
      </c>
      <c r="E35" s="178">
        <f>VLOOKUP(C35,'FERC TB 2024'!D45:S498,16,FALSE)/1000</f>
        <v>0</v>
      </c>
      <c r="F35" s="178">
        <f>VLOOKUP(C35,'FERC TB 2025'!D45:R498,15,FALSE)/1000</f>
        <v>0</v>
      </c>
      <c r="G35" s="191">
        <f t="shared" si="0"/>
        <v>0</v>
      </c>
      <c r="H35" s="206" t="e">
        <f t="shared" si="1"/>
        <v>#DIV/0!</v>
      </c>
    </row>
    <row r="36" spans="1:8" hidden="1" x14ac:dyDescent="0.3">
      <c r="A36" s="177" t="s">
        <v>162</v>
      </c>
      <c r="B36" s="177" t="s">
        <v>163</v>
      </c>
      <c r="C36" s="201" t="s">
        <v>230</v>
      </c>
      <c r="D36" s="88" t="s">
        <v>231</v>
      </c>
      <c r="E36" s="178">
        <f>VLOOKUP(C36,'FERC TB 2024'!D46:S499,16,FALSE)/1000</f>
        <v>0</v>
      </c>
      <c r="F36" s="178">
        <f>VLOOKUP(C36,'FERC TB 2025'!D46:R499,15,FALSE)/1000</f>
        <v>0</v>
      </c>
      <c r="G36" s="191">
        <f t="shared" si="0"/>
        <v>0</v>
      </c>
      <c r="H36" s="206" t="e">
        <f t="shared" si="1"/>
        <v>#DIV/0!</v>
      </c>
    </row>
    <row r="37" spans="1:8" hidden="1" x14ac:dyDescent="0.3">
      <c r="A37" s="177" t="s">
        <v>162</v>
      </c>
      <c r="B37" s="177" t="s">
        <v>163</v>
      </c>
      <c r="C37" s="201" t="s">
        <v>232</v>
      </c>
      <c r="D37" s="88" t="s">
        <v>233</v>
      </c>
      <c r="E37" s="178">
        <f>VLOOKUP(C37,'FERC TB 2024'!D47:S500,16,FALSE)/1000</f>
        <v>631.98468000000003</v>
      </c>
      <c r="F37" s="178">
        <f>VLOOKUP(C37,'FERC TB 2025'!D47:R500,15,FALSE)/1000</f>
        <v>52.665390000000002</v>
      </c>
      <c r="G37" s="191">
        <f t="shared" si="0"/>
        <v>-579.31929000000002</v>
      </c>
      <c r="H37" s="206">
        <f t="shared" si="1"/>
        <v>-0.91666666666666663</v>
      </c>
    </row>
    <row r="38" spans="1:8" hidden="1" x14ac:dyDescent="0.3">
      <c r="A38" s="177" t="s">
        <v>162</v>
      </c>
      <c r="B38" s="177" t="s">
        <v>163</v>
      </c>
      <c r="C38" s="201" t="s">
        <v>234</v>
      </c>
      <c r="D38" s="88" t="s">
        <v>235</v>
      </c>
      <c r="E38" s="178">
        <f>VLOOKUP(C38,'FERC TB 2024'!D48:S501,16,FALSE)/1000</f>
        <v>0</v>
      </c>
      <c r="F38" s="178">
        <f>VLOOKUP(C38,'FERC TB 2025'!D48:R501,15,FALSE)/1000</f>
        <v>0</v>
      </c>
      <c r="G38" s="191">
        <f t="shared" si="0"/>
        <v>0</v>
      </c>
      <c r="H38" s="206" t="e">
        <f t="shared" si="1"/>
        <v>#DIV/0!</v>
      </c>
    </row>
    <row r="39" spans="1:8" hidden="1" x14ac:dyDescent="0.3">
      <c r="A39" s="177" t="s">
        <v>162</v>
      </c>
      <c r="B39" s="177" t="s">
        <v>163</v>
      </c>
      <c r="C39" s="201" t="s">
        <v>236</v>
      </c>
      <c r="D39" s="88" t="s">
        <v>237</v>
      </c>
      <c r="E39" s="178">
        <f>VLOOKUP(C39,'FERC TB 2024'!D49:S502,16,FALSE)/1000</f>
        <v>0</v>
      </c>
      <c r="F39" s="178">
        <f>VLOOKUP(C39,'FERC TB 2025'!D49:R502,15,FALSE)/1000</f>
        <v>0</v>
      </c>
      <c r="G39" s="191">
        <f t="shared" si="0"/>
        <v>0</v>
      </c>
      <c r="H39" s="206" t="e">
        <f t="shared" si="1"/>
        <v>#DIV/0!</v>
      </c>
    </row>
    <row r="40" spans="1:8" hidden="1" x14ac:dyDescent="0.3">
      <c r="A40" s="177" t="s">
        <v>162</v>
      </c>
      <c r="B40" s="177" t="s">
        <v>163</v>
      </c>
      <c r="C40" s="201" t="s">
        <v>238</v>
      </c>
      <c r="D40" s="88" t="s">
        <v>239</v>
      </c>
      <c r="E40" s="178">
        <f>VLOOKUP(C40,'FERC TB 2024'!D50:S503,16,FALSE)/1000</f>
        <v>2302441.2086499999</v>
      </c>
      <c r="F40" s="178">
        <f>VLOOKUP(C40,'FERC TB 2025'!D50:R503,15,FALSE)/1000</f>
        <v>174116.23838903298</v>
      </c>
      <c r="G40" s="191">
        <f t="shared" si="0"/>
        <v>-2128324.970260967</v>
      </c>
      <c r="H40" s="206">
        <f t="shared" si="1"/>
        <v>-0.92437755294906176</v>
      </c>
    </row>
    <row r="41" spans="1:8" hidden="1" x14ac:dyDescent="0.3">
      <c r="A41" s="177" t="s">
        <v>162</v>
      </c>
      <c r="B41" s="177" t="s">
        <v>163</v>
      </c>
      <c r="C41" s="201" t="s">
        <v>240</v>
      </c>
      <c r="D41" s="88" t="s">
        <v>241</v>
      </c>
      <c r="E41" s="178">
        <f>VLOOKUP(C41,'FERC TB 2024'!D51:S504,16,FALSE)/1000</f>
        <v>86000</v>
      </c>
      <c r="F41" s="178">
        <f>VLOOKUP(C41,'FERC TB 2025'!D51:R504,15,FALSE)/1000</f>
        <v>7380.4119500000006</v>
      </c>
      <c r="G41" s="191">
        <f t="shared" si="0"/>
        <v>-78619.588050000006</v>
      </c>
      <c r="H41" s="206">
        <f t="shared" si="1"/>
        <v>-0.91418125639534886</v>
      </c>
    </row>
    <row r="42" spans="1:8" hidden="1" x14ac:dyDescent="0.3">
      <c r="A42" s="177" t="s">
        <v>162</v>
      </c>
      <c r="B42" s="177" t="s">
        <v>163</v>
      </c>
      <c r="C42" s="201" t="s">
        <v>242</v>
      </c>
      <c r="D42" s="88" t="s">
        <v>243</v>
      </c>
      <c r="E42" s="178">
        <f>VLOOKUP(C42,'FERC TB 2024'!D52:S505,16,FALSE)/1000</f>
        <v>-19892.173100911401</v>
      </c>
      <c r="F42" s="178">
        <f>VLOOKUP(C42,'FERC TB 2025'!D52:R505,15,FALSE)/1000</f>
        <v>-1625.6640538892002</v>
      </c>
      <c r="G42" s="191">
        <f t="shared" si="0"/>
        <v>18266.509047022202</v>
      </c>
      <c r="H42" s="206">
        <f t="shared" si="1"/>
        <v>-0.91827619608766042</v>
      </c>
    </row>
    <row r="43" spans="1:8" hidden="1" x14ac:dyDescent="0.3">
      <c r="A43" s="177" t="s">
        <v>162</v>
      </c>
      <c r="B43" s="177" t="s">
        <v>163</v>
      </c>
      <c r="C43" s="201" t="s">
        <v>244</v>
      </c>
      <c r="D43" s="88" t="s">
        <v>245</v>
      </c>
      <c r="E43" s="178">
        <f>VLOOKUP(C43,'FERC TB 2024'!D53:S506,16,FALSE)/1000</f>
        <v>0</v>
      </c>
      <c r="F43" s="178">
        <f>VLOOKUP(C43,'FERC TB 2025'!D53:R506,15,FALSE)/1000</f>
        <v>0</v>
      </c>
      <c r="G43" s="191">
        <f t="shared" si="0"/>
        <v>0</v>
      </c>
      <c r="H43" s="206" t="e">
        <f t="shared" si="1"/>
        <v>#DIV/0!</v>
      </c>
    </row>
    <row r="44" spans="1:8" hidden="1" x14ac:dyDescent="0.3">
      <c r="A44" s="177" t="s">
        <v>162</v>
      </c>
      <c r="B44" s="177" t="s">
        <v>163</v>
      </c>
      <c r="C44" s="201" t="s">
        <v>246</v>
      </c>
      <c r="D44" s="88" t="s">
        <v>247</v>
      </c>
      <c r="E44" s="178">
        <f>VLOOKUP(C44,'FERC TB 2024'!D54:S507,16,FALSE)/1000</f>
        <v>165231.00418961447</v>
      </c>
      <c r="F44" s="178">
        <f>VLOOKUP(C44,'FERC TB 2025'!D54:R507,15,FALSE)/1000</f>
        <v>14237.267852737199</v>
      </c>
      <c r="G44" s="191">
        <f t="shared" si="0"/>
        <v>-150993.73633687728</v>
      </c>
      <c r="H44" s="206">
        <f t="shared" si="1"/>
        <v>-0.91383416252558203</v>
      </c>
    </row>
    <row r="45" spans="1:8" hidden="1" x14ac:dyDescent="0.3">
      <c r="A45" s="177" t="s">
        <v>162</v>
      </c>
      <c r="B45" s="177" t="s">
        <v>163</v>
      </c>
      <c r="C45" s="201" t="s">
        <v>248</v>
      </c>
      <c r="D45" s="88" t="s">
        <v>249</v>
      </c>
      <c r="E45" s="178">
        <f>VLOOKUP(C45,'FERC TB 2024'!D55:S508,16,FALSE)/1000</f>
        <v>430227</v>
      </c>
      <c r="F45" s="178">
        <f>VLOOKUP(C45,'FERC TB 2025'!D55:R508,15,FALSE)/1000</f>
        <v>36044</v>
      </c>
      <c r="G45" s="191">
        <f t="shared" si="0"/>
        <v>-394183</v>
      </c>
      <c r="H45" s="206">
        <f t="shared" si="1"/>
        <v>-0.91622097171958061</v>
      </c>
    </row>
    <row r="46" spans="1:8" hidden="1" x14ac:dyDescent="0.3">
      <c r="A46" s="177" t="s">
        <v>162</v>
      </c>
      <c r="B46" s="177" t="s">
        <v>163</v>
      </c>
      <c r="C46" s="201" t="s">
        <v>250</v>
      </c>
      <c r="D46" s="88" t="s">
        <v>251</v>
      </c>
      <c r="E46" s="178">
        <f>VLOOKUP(C46,'FERC TB 2024'!D56:S509,16,FALSE)/1000</f>
        <v>0</v>
      </c>
      <c r="F46" s="178">
        <f>VLOOKUP(C46,'FERC TB 2025'!D56:R509,15,FALSE)/1000</f>
        <v>0</v>
      </c>
      <c r="G46" s="191">
        <f t="shared" si="0"/>
        <v>0</v>
      </c>
      <c r="H46" s="206" t="e">
        <f t="shared" si="1"/>
        <v>#DIV/0!</v>
      </c>
    </row>
    <row r="47" spans="1:8" hidden="1" x14ac:dyDescent="0.3">
      <c r="A47" s="177" t="s">
        <v>162</v>
      </c>
      <c r="B47" s="177" t="s">
        <v>163</v>
      </c>
      <c r="C47" s="201" t="s">
        <v>252</v>
      </c>
      <c r="D47" s="88" t="s">
        <v>253</v>
      </c>
      <c r="E47" s="178">
        <f>VLOOKUP(C47,'FERC TB 2024'!D57:S510,16,FALSE)/1000</f>
        <v>0</v>
      </c>
      <c r="F47" s="178">
        <f>VLOOKUP(C47,'FERC TB 2025'!D57:R510,15,FALSE)/1000</f>
        <v>0</v>
      </c>
      <c r="G47" s="191">
        <f t="shared" si="0"/>
        <v>0</v>
      </c>
      <c r="H47" s="206" t="e">
        <f t="shared" si="1"/>
        <v>#DIV/0!</v>
      </c>
    </row>
    <row r="48" spans="1:8" hidden="1" x14ac:dyDescent="0.3">
      <c r="A48" s="177" t="s">
        <v>162</v>
      </c>
      <c r="B48" s="177" t="s">
        <v>163</v>
      </c>
      <c r="C48" s="201" t="s">
        <v>254</v>
      </c>
      <c r="D48" s="88" t="s">
        <v>255</v>
      </c>
      <c r="E48" s="178">
        <f>VLOOKUP(C48,'FERC TB 2024'!D58:S511,16,FALSE)/1000</f>
        <v>2053368.2250000001</v>
      </c>
      <c r="F48" s="178">
        <f>VLOOKUP(C48,'FERC TB 2025'!D58:R511,15,FALSE)/1000</f>
        <v>162822.15</v>
      </c>
      <c r="G48" s="191">
        <f t="shared" si="0"/>
        <v>-1890546.0750000002</v>
      </c>
      <c r="H48" s="206">
        <f t="shared" si="1"/>
        <v>-0.92070484581497802</v>
      </c>
    </row>
    <row r="49" spans="1:8" hidden="1" x14ac:dyDescent="0.3">
      <c r="A49" s="177" t="s">
        <v>162</v>
      </c>
      <c r="B49" s="177" t="s">
        <v>163</v>
      </c>
      <c r="C49" s="201" t="s">
        <v>256</v>
      </c>
      <c r="D49" s="88" t="s">
        <v>257</v>
      </c>
      <c r="E49" s="178">
        <f>VLOOKUP(C49,'FERC TB 2024'!D59:S512,16,FALSE)/1000</f>
        <v>0</v>
      </c>
      <c r="F49" s="178">
        <f>VLOOKUP(C49,'FERC TB 2025'!D59:R512,15,FALSE)/1000</f>
        <v>0</v>
      </c>
      <c r="G49" s="191">
        <f t="shared" si="0"/>
        <v>0</v>
      </c>
      <c r="H49" s="206" t="e">
        <f t="shared" si="1"/>
        <v>#DIV/0!</v>
      </c>
    </row>
    <row r="50" spans="1:8" hidden="1" x14ac:dyDescent="0.3">
      <c r="A50" s="177" t="s">
        <v>162</v>
      </c>
      <c r="B50" s="177" t="s">
        <v>163</v>
      </c>
      <c r="C50" s="201" t="s">
        <v>258</v>
      </c>
      <c r="D50" s="88" t="s">
        <v>259</v>
      </c>
      <c r="E50" s="178">
        <f>VLOOKUP(C50,'FERC TB 2024'!D60:S513,16,FALSE)/1000</f>
        <v>0</v>
      </c>
      <c r="F50" s="178">
        <f>VLOOKUP(C50,'FERC TB 2025'!D60:R513,15,FALSE)/1000</f>
        <v>0</v>
      </c>
      <c r="G50" s="191">
        <f t="shared" si="0"/>
        <v>0</v>
      </c>
      <c r="H50" s="206" t="e">
        <f t="shared" si="1"/>
        <v>#DIV/0!</v>
      </c>
    </row>
    <row r="51" spans="1:8" hidden="1" x14ac:dyDescent="0.3">
      <c r="A51" s="177" t="s">
        <v>162</v>
      </c>
      <c r="B51" s="177" t="s">
        <v>163</v>
      </c>
      <c r="C51" s="201" t="s">
        <v>260</v>
      </c>
      <c r="D51" s="88" t="s">
        <v>261</v>
      </c>
      <c r="E51" s="178">
        <f>VLOOKUP(C51,'FERC TB 2024'!D61:S514,16,FALSE)/1000</f>
        <v>0</v>
      </c>
      <c r="F51" s="178">
        <f>VLOOKUP(C51,'FERC TB 2025'!D61:R514,15,FALSE)/1000</f>
        <v>0</v>
      </c>
      <c r="G51" s="191">
        <f t="shared" si="0"/>
        <v>0</v>
      </c>
      <c r="H51" s="206" t="e">
        <f t="shared" si="1"/>
        <v>#DIV/0!</v>
      </c>
    </row>
    <row r="52" spans="1:8" hidden="1" x14ac:dyDescent="0.3">
      <c r="A52" s="177" t="s">
        <v>162</v>
      </c>
      <c r="B52" s="177" t="s">
        <v>163</v>
      </c>
      <c r="C52" s="201" t="s">
        <v>262</v>
      </c>
      <c r="D52" s="88" t="s">
        <v>263</v>
      </c>
      <c r="E52" s="178">
        <f>VLOOKUP(C52,'FERC TB 2024'!D62:S515,16,FALSE)/1000</f>
        <v>0</v>
      </c>
      <c r="F52" s="178">
        <f>VLOOKUP(C52,'FERC TB 2025'!D62:R515,15,FALSE)/1000</f>
        <v>0</v>
      </c>
      <c r="G52" s="191">
        <f t="shared" si="0"/>
        <v>0</v>
      </c>
      <c r="H52" s="206" t="e">
        <f t="shared" si="1"/>
        <v>#DIV/0!</v>
      </c>
    </row>
    <row r="53" spans="1:8" hidden="1" x14ac:dyDescent="0.3">
      <c r="A53" s="177" t="s">
        <v>162</v>
      </c>
      <c r="B53" s="177" t="s">
        <v>163</v>
      </c>
      <c r="C53" s="201" t="s">
        <v>264</v>
      </c>
      <c r="D53" s="88" t="s">
        <v>265</v>
      </c>
      <c r="E53" s="178">
        <f>VLOOKUP(C53,'FERC TB 2024'!D63:S516,16,FALSE)/1000</f>
        <v>0</v>
      </c>
      <c r="F53" s="178">
        <f>VLOOKUP(C53,'FERC TB 2025'!D63:R516,15,FALSE)/1000</f>
        <v>0</v>
      </c>
      <c r="G53" s="191">
        <f t="shared" si="0"/>
        <v>0</v>
      </c>
      <c r="H53" s="206" t="e">
        <f t="shared" si="1"/>
        <v>#DIV/0!</v>
      </c>
    </row>
    <row r="54" spans="1:8" hidden="1" x14ac:dyDescent="0.3">
      <c r="A54" s="177" t="s">
        <v>162</v>
      </c>
      <c r="B54" s="177" t="s">
        <v>163</v>
      </c>
      <c r="C54" s="201" t="s">
        <v>266</v>
      </c>
      <c r="D54" s="88" t="s">
        <v>267</v>
      </c>
      <c r="E54" s="178">
        <f>VLOOKUP(C54,'FERC TB 2024'!D64:S517,16,FALSE)/1000</f>
        <v>0</v>
      </c>
      <c r="F54" s="178">
        <f>VLOOKUP(C54,'FERC TB 2025'!D64:R517,15,FALSE)/1000</f>
        <v>0</v>
      </c>
      <c r="G54" s="191">
        <f t="shared" si="0"/>
        <v>0</v>
      </c>
      <c r="H54" s="206" t="e">
        <f t="shared" si="1"/>
        <v>#DIV/0!</v>
      </c>
    </row>
    <row r="55" spans="1:8" hidden="1" x14ac:dyDescent="0.3">
      <c r="A55" s="177" t="s">
        <v>162</v>
      </c>
      <c r="B55" s="177" t="s">
        <v>163</v>
      </c>
      <c r="C55" s="201" t="s">
        <v>268</v>
      </c>
      <c r="D55" s="88" t="s">
        <v>269</v>
      </c>
      <c r="E55" s="178">
        <f>VLOOKUP(C55,'FERC TB 2024'!D65:S518,16,FALSE)/1000</f>
        <v>0</v>
      </c>
      <c r="F55" s="178">
        <f>VLOOKUP(C55,'FERC TB 2025'!D65:R518,15,FALSE)/1000</f>
        <v>0</v>
      </c>
      <c r="G55" s="191">
        <f t="shared" si="0"/>
        <v>0</v>
      </c>
      <c r="H55" s="206" t="e">
        <f t="shared" si="1"/>
        <v>#DIV/0!</v>
      </c>
    </row>
    <row r="56" spans="1:8" hidden="1" x14ac:dyDescent="0.3">
      <c r="A56" s="177" t="s">
        <v>162</v>
      </c>
      <c r="B56" s="177" t="s">
        <v>163</v>
      </c>
      <c r="C56" s="201" t="s">
        <v>270</v>
      </c>
      <c r="D56" s="88" t="s">
        <v>271</v>
      </c>
      <c r="E56" s="178">
        <f>VLOOKUP(C56,'FERC TB 2024'!D66:S519,16,FALSE)/1000</f>
        <v>0</v>
      </c>
      <c r="F56" s="178">
        <f>VLOOKUP(C56,'FERC TB 2025'!D66:R519,15,FALSE)/1000</f>
        <v>0</v>
      </c>
      <c r="G56" s="191">
        <f t="shared" si="0"/>
        <v>0</v>
      </c>
      <c r="H56" s="206" t="e">
        <f t="shared" si="1"/>
        <v>#DIV/0!</v>
      </c>
    </row>
    <row r="57" spans="1:8" hidden="1" x14ac:dyDescent="0.3">
      <c r="A57" s="177" t="s">
        <v>162</v>
      </c>
      <c r="B57" s="177" t="s">
        <v>163</v>
      </c>
      <c r="C57" s="201" t="s">
        <v>272</v>
      </c>
      <c r="D57" s="88" t="s">
        <v>273</v>
      </c>
      <c r="E57" s="178">
        <f>VLOOKUP(C57,'FERC TB 2024'!D67:S520,16,FALSE)/1000</f>
        <v>365719.54773782275</v>
      </c>
      <c r="F57" s="178">
        <f>VLOOKUP(C57,'FERC TB 2025'!D67:R520,15,FALSE)/1000</f>
        <v>24364.502786596298</v>
      </c>
      <c r="G57" s="191">
        <f t="shared" si="0"/>
        <v>-341355.04495122645</v>
      </c>
      <c r="H57" s="206">
        <f t="shared" si="1"/>
        <v>-0.93337927125497067</v>
      </c>
    </row>
    <row r="58" spans="1:8" hidden="1" x14ac:dyDescent="0.3">
      <c r="A58" s="177" t="s">
        <v>162</v>
      </c>
      <c r="B58" s="177" t="s">
        <v>163</v>
      </c>
      <c r="C58" s="201" t="s">
        <v>274</v>
      </c>
      <c r="D58" s="88" t="s">
        <v>275</v>
      </c>
      <c r="E58" s="178">
        <f>VLOOKUP(C58,'FERC TB 2024'!D68:S521,16,FALSE)/1000</f>
        <v>0</v>
      </c>
      <c r="F58" s="178">
        <f>VLOOKUP(C58,'FERC TB 2025'!D68:R521,15,FALSE)/1000</f>
        <v>0</v>
      </c>
      <c r="G58" s="191">
        <f t="shared" si="0"/>
        <v>0</v>
      </c>
      <c r="H58" s="206" t="e">
        <f t="shared" si="1"/>
        <v>#DIV/0!</v>
      </c>
    </row>
    <row r="59" spans="1:8" hidden="1" x14ac:dyDescent="0.3">
      <c r="A59" s="177" t="s">
        <v>162</v>
      </c>
      <c r="B59" s="177" t="s">
        <v>163</v>
      </c>
      <c r="C59" s="201" t="s">
        <v>276</v>
      </c>
      <c r="D59" s="88" t="s">
        <v>277</v>
      </c>
      <c r="E59" s="178">
        <f>VLOOKUP(C59,'FERC TB 2024'!D69:S522,16,FALSE)/1000</f>
        <v>0</v>
      </c>
      <c r="F59" s="178">
        <f>VLOOKUP(C59,'FERC TB 2025'!D69:R522,15,FALSE)/1000</f>
        <v>0</v>
      </c>
      <c r="G59" s="191">
        <f t="shared" si="0"/>
        <v>0</v>
      </c>
      <c r="H59" s="206" t="e">
        <f t="shared" si="1"/>
        <v>#DIV/0!</v>
      </c>
    </row>
    <row r="60" spans="1:8" hidden="1" x14ac:dyDescent="0.3">
      <c r="A60" s="177" t="s">
        <v>162</v>
      </c>
      <c r="B60" s="177" t="s">
        <v>163</v>
      </c>
      <c r="C60" s="201" t="s">
        <v>278</v>
      </c>
      <c r="D60" s="88" t="s">
        <v>279</v>
      </c>
      <c r="E60" s="178">
        <f>VLOOKUP(C60,'FERC TB 2024'!D70:S523,16,FALSE)/1000</f>
        <v>960075.36886000109</v>
      </c>
      <c r="F60" s="178">
        <f>VLOOKUP(C60,'FERC TB 2025'!D70:R523,15,FALSE)/1000</f>
        <v>73315.543000000005</v>
      </c>
      <c r="G60" s="191">
        <f t="shared" si="0"/>
        <v>-886759.82586000115</v>
      </c>
      <c r="H60" s="206">
        <f t="shared" si="1"/>
        <v>-0.92363563801552873</v>
      </c>
    </row>
    <row r="61" spans="1:8" hidden="1" x14ac:dyDescent="0.3">
      <c r="A61" s="177" t="s">
        <v>162</v>
      </c>
      <c r="B61" s="177" t="s">
        <v>163</v>
      </c>
      <c r="C61" s="201" t="s">
        <v>280</v>
      </c>
      <c r="D61" s="88" t="s">
        <v>281</v>
      </c>
      <c r="E61" s="178">
        <f>VLOOKUP(C61,'FERC TB 2024'!D71:S524,16,FALSE)/1000</f>
        <v>0</v>
      </c>
      <c r="F61" s="178">
        <f>VLOOKUP(C61,'FERC TB 2025'!D71:R524,15,FALSE)/1000</f>
        <v>0</v>
      </c>
      <c r="G61" s="191">
        <f t="shared" si="0"/>
        <v>0</v>
      </c>
      <c r="H61" s="206" t="e">
        <f t="shared" si="1"/>
        <v>#DIV/0!</v>
      </c>
    </row>
    <row r="62" spans="1:8" hidden="1" x14ac:dyDescent="0.3">
      <c r="A62" s="177" t="s">
        <v>162</v>
      </c>
      <c r="B62" s="177" t="s">
        <v>163</v>
      </c>
      <c r="C62" s="201" t="s">
        <v>282</v>
      </c>
      <c r="D62" s="88" t="s">
        <v>283</v>
      </c>
      <c r="E62" s="178">
        <f>VLOOKUP(C62,'FERC TB 2024'!D72:S525,16,FALSE)/1000</f>
        <v>6336</v>
      </c>
      <c r="F62" s="178">
        <f>VLOOKUP(C62,'FERC TB 2025'!D72:R525,15,FALSE)/1000</f>
        <v>528</v>
      </c>
      <c r="G62" s="191">
        <f t="shared" si="0"/>
        <v>-5808</v>
      </c>
      <c r="H62" s="206">
        <f t="shared" si="1"/>
        <v>-0.91666666666666663</v>
      </c>
    </row>
    <row r="63" spans="1:8" hidden="1" x14ac:dyDescent="0.3">
      <c r="A63" s="177" t="s">
        <v>162</v>
      </c>
      <c r="B63" s="177" t="s">
        <v>163</v>
      </c>
      <c r="C63" s="201" t="s">
        <v>284</v>
      </c>
      <c r="D63" s="88" t="s">
        <v>285</v>
      </c>
      <c r="E63" s="178">
        <f>VLOOKUP(C63,'FERC TB 2024'!D73:S526,16,FALSE)/1000</f>
        <v>347517.58744999993</v>
      </c>
      <c r="F63" s="178">
        <f>VLOOKUP(C63,'FERC TB 2025'!D73:R526,15,FALSE)/1000</f>
        <v>28259.073840000001</v>
      </c>
      <c r="G63" s="191">
        <f t="shared" si="0"/>
        <v>-319258.51360999991</v>
      </c>
      <c r="H63" s="206">
        <f t="shared" si="1"/>
        <v>-0.91868303976394894</v>
      </c>
    </row>
    <row r="64" spans="1:8" hidden="1" x14ac:dyDescent="0.3">
      <c r="A64" s="177" t="s">
        <v>162</v>
      </c>
      <c r="B64" s="177" t="s">
        <v>163</v>
      </c>
      <c r="C64" s="201" t="s">
        <v>286</v>
      </c>
      <c r="D64" s="88" t="s">
        <v>287</v>
      </c>
      <c r="E64" s="178">
        <f>VLOOKUP(C64,'FERC TB 2024'!D74:S527,16,FALSE)/1000</f>
        <v>0</v>
      </c>
      <c r="F64" s="178">
        <f>VLOOKUP(C64,'FERC TB 2025'!D74:R527,15,FALSE)/1000</f>
        <v>0</v>
      </c>
      <c r="G64" s="191">
        <f t="shared" si="0"/>
        <v>0</v>
      </c>
      <c r="H64" s="206" t="e">
        <f t="shared" si="1"/>
        <v>#DIV/0!</v>
      </c>
    </row>
    <row r="65" spans="1:8" hidden="1" x14ac:dyDescent="0.3">
      <c r="A65" s="177" t="s">
        <v>162</v>
      </c>
      <c r="B65" s="177" t="s">
        <v>163</v>
      </c>
      <c r="C65" s="201" t="s">
        <v>288</v>
      </c>
      <c r="D65" s="88" t="s">
        <v>289</v>
      </c>
      <c r="E65" s="178">
        <f>VLOOKUP(C65,'FERC TB 2024'!D75:S528,16,FALSE)/1000</f>
        <v>6161995.1921099965</v>
      </c>
      <c r="F65" s="178">
        <f>VLOOKUP(C65,'FERC TB 2025'!D75:R528,15,FALSE)/1000</f>
        <v>530727.86904999951</v>
      </c>
      <c r="G65" s="191">
        <f t="shared" si="0"/>
        <v>-5631267.3230599966</v>
      </c>
      <c r="H65" s="206">
        <f t="shared" si="1"/>
        <v>-0.91387077521099669</v>
      </c>
    </row>
    <row r="66" spans="1:8" hidden="1" x14ac:dyDescent="0.3">
      <c r="A66" s="177" t="s">
        <v>162</v>
      </c>
      <c r="B66" s="177" t="s">
        <v>163</v>
      </c>
      <c r="C66" s="201" t="s">
        <v>290</v>
      </c>
      <c r="D66" s="88" t="s">
        <v>291</v>
      </c>
      <c r="E66" s="178">
        <f>VLOOKUP(C66,'FERC TB 2024'!D76:S529,16,FALSE)/1000</f>
        <v>4971229.304957035</v>
      </c>
      <c r="F66" s="178">
        <f>VLOOKUP(C66,'FERC TB 2025'!D76:R529,15,FALSE)/1000</f>
        <v>402878.90397367725</v>
      </c>
      <c r="G66" s="191">
        <f t="shared" si="0"/>
        <v>-4568350.4009833578</v>
      </c>
      <c r="H66" s="206">
        <f t="shared" si="1"/>
        <v>-0.91895789164825914</v>
      </c>
    </row>
    <row r="67" spans="1:8" hidden="1" x14ac:dyDescent="0.3">
      <c r="A67" s="177" t="s">
        <v>162</v>
      </c>
      <c r="B67" s="177" t="s">
        <v>163</v>
      </c>
      <c r="C67" s="201" t="s">
        <v>292</v>
      </c>
      <c r="D67" s="88" t="s">
        <v>293</v>
      </c>
      <c r="E67" s="178">
        <f>VLOOKUP(C67,'FERC TB 2024'!D77:S530,16,FALSE)/1000</f>
        <v>187655.85860000004</v>
      </c>
      <c r="F67" s="178">
        <f>VLOOKUP(C67,'FERC TB 2025'!D77:R530,15,FALSE)/1000</f>
        <v>3692.8215499999997</v>
      </c>
      <c r="G67" s="191">
        <f t="shared" si="0"/>
        <v>-183963.03705000004</v>
      </c>
      <c r="H67" s="206">
        <f t="shared" si="1"/>
        <v>-0.98032130956342023</v>
      </c>
    </row>
    <row r="68" spans="1:8" hidden="1" x14ac:dyDescent="0.3">
      <c r="A68" s="177" t="s">
        <v>162</v>
      </c>
      <c r="B68" s="177" t="s">
        <v>163</v>
      </c>
      <c r="C68" s="201" t="s">
        <v>294</v>
      </c>
      <c r="D68" s="88" t="s">
        <v>295</v>
      </c>
      <c r="E68" s="178">
        <f>VLOOKUP(C68,'FERC TB 2024'!D78:S531,16,FALSE)/1000</f>
        <v>0</v>
      </c>
      <c r="F68" s="178">
        <f>VLOOKUP(C68,'FERC TB 2025'!D78:R531,15,FALSE)/1000</f>
        <v>0</v>
      </c>
      <c r="G68" s="191">
        <f t="shared" ref="G68:G131" si="2">F68-E68</f>
        <v>0</v>
      </c>
      <c r="H68" s="206" t="e">
        <f t="shared" ref="H68:H131" si="3">G68/E68</f>
        <v>#DIV/0!</v>
      </c>
    </row>
    <row r="69" spans="1:8" hidden="1" x14ac:dyDescent="0.3">
      <c r="A69" s="177" t="s">
        <v>162</v>
      </c>
      <c r="B69" s="177" t="s">
        <v>163</v>
      </c>
      <c r="C69" s="201" t="s">
        <v>296</v>
      </c>
      <c r="D69" s="88" t="s">
        <v>297</v>
      </c>
      <c r="E69" s="178">
        <f>VLOOKUP(C69,'FERC TB 2024'!D79:S532,16,FALSE)/1000</f>
        <v>0</v>
      </c>
      <c r="F69" s="178">
        <f>VLOOKUP(C69,'FERC TB 2025'!D79:R532,15,FALSE)/1000</f>
        <v>0</v>
      </c>
      <c r="G69" s="191">
        <f t="shared" si="2"/>
        <v>0</v>
      </c>
      <c r="H69" s="206" t="e">
        <f t="shared" si="3"/>
        <v>#DIV/0!</v>
      </c>
    </row>
    <row r="70" spans="1:8" hidden="1" x14ac:dyDescent="0.3">
      <c r="A70" s="177" t="s">
        <v>162</v>
      </c>
      <c r="B70" s="177" t="s">
        <v>163</v>
      </c>
      <c r="C70" s="201" t="s">
        <v>298</v>
      </c>
      <c r="D70" s="88" t="s">
        <v>299</v>
      </c>
      <c r="E70" s="178">
        <f>VLOOKUP(C70,'FERC TB 2024'!D80:S533,16,FALSE)/1000</f>
        <v>0</v>
      </c>
      <c r="F70" s="178">
        <f>VLOOKUP(C70,'FERC TB 2025'!D80:R533,15,FALSE)/1000</f>
        <v>0</v>
      </c>
      <c r="G70" s="191">
        <f t="shared" si="2"/>
        <v>0</v>
      </c>
      <c r="H70" s="206" t="e">
        <f t="shared" si="3"/>
        <v>#DIV/0!</v>
      </c>
    </row>
    <row r="71" spans="1:8" hidden="1" x14ac:dyDescent="0.3">
      <c r="A71" s="177" t="s">
        <v>162</v>
      </c>
      <c r="B71" s="177" t="s">
        <v>163</v>
      </c>
      <c r="C71" s="201" t="s">
        <v>300</v>
      </c>
      <c r="D71" s="88" t="s">
        <v>301</v>
      </c>
      <c r="E71" s="178">
        <f>VLOOKUP(C71,'FERC TB 2024'!D81:S534,16,FALSE)/1000</f>
        <v>0</v>
      </c>
      <c r="F71" s="178">
        <f>VLOOKUP(C71,'FERC TB 2025'!D81:R534,15,FALSE)/1000</f>
        <v>0</v>
      </c>
      <c r="G71" s="191">
        <f t="shared" si="2"/>
        <v>0</v>
      </c>
      <c r="H71" s="206" t="e">
        <f t="shared" si="3"/>
        <v>#DIV/0!</v>
      </c>
    </row>
    <row r="72" spans="1:8" hidden="1" x14ac:dyDescent="0.3">
      <c r="A72" s="177" t="s">
        <v>162</v>
      </c>
      <c r="B72" s="177" t="s">
        <v>163</v>
      </c>
      <c r="C72" s="201" t="s">
        <v>302</v>
      </c>
      <c r="D72" s="88" t="s">
        <v>303</v>
      </c>
      <c r="E72" s="178">
        <f>VLOOKUP(C72,'FERC TB 2024'!D82:S535,16,FALSE)/1000</f>
        <v>105279.59954</v>
      </c>
      <c r="F72" s="178">
        <f>VLOOKUP(C72,'FERC TB 2025'!D82:R535,15,FALSE)/1000</f>
        <v>2988.3853599999998</v>
      </c>
      <c r="G72" s="191">
        <f t="shared" si="2"/>
        <v>-102291.21418</v>
      </c>
      <c r="H72" s="206">
        <f t="shared" si="3"/>
        <v>-0.97161477272845642</v>
      </c>
    </row>
    <row r="73" spans="1:8" hidden="1" x14ac:dyDescent="0.3">
      <c r="A73" s="177" t="s">
        <v>162</v>
      </c>
      <c r="B73" s="177" t="s">
        <v>163</v>
      </c>
      <c r="C73" s="201" t="s">
        <v>304</v>
      </c>
      <c r="D73" s="88" t="s">
        <v>305</v>
      </c>
      <c r="E73" s="178">
        <f>VLOOKUP(C73,'FERC TB 2024'!D83:S536,16,FALSE)/1000</f>
        <v>0</v>
      </c>
      <c r="F73" s="178">
        <f>VLOOKUP(C73,'FERC TB 2025'!D83:R536,15,FALSE)/1000</f>
        <v>0</v>
      </c>
      <c r="G73" s="191">
        <f t="shared" si="2"/>
        <v>0</v>
      </c>
      <c r="H73" s="206" t="e">
        <f t="shared" si="3"/>
        <v>#DIV/0!</v>
      </c>
    </row>
    <row r="74" spans="1:8" hidden="1" x14ac:dyDescent="0.3">
      <c r="A74" s="177" t="s">
        <v>162</v>
      </c>
      <c r="B74" s="177" t="s">
        <v>163</v>
      </c>
      <c r="C74" s="201" t="s">
        <v>306</v>
      </c>
      <c r="D74" s="88" t="s">
        <v>307</v>
      </c>
      <c r="E74" s="178">
        <f>VLOOKUP(C74,'FERC TB 2024'!D84:S537,16,FALSE)/1000</f>
        <v>0</v>
      </c>
      <c r="F74" s="178">
        <f>VLOOKUP(C74,'FERC TB 2025'!D84:R537,15,FALSE)/1000</f>
        <v>0</v>
      </c>
      <c r="G74" s="191">
        <f t="shared" si="2"/>
        <v>0</v>
      </c>
      <c r="H74" s="206" t="e">
        <f t="shared" si="3"/>
        <v>#DIV/0!</v>
      </c>
    </row>
    <row r="75" spans="1:8" hidden="1" x14ac:dyDescent="0.3">
      <c r="A75" s="177" t="s">
        <v>162</v>
      </c>
      <c r="B75" s="177" t="s">
        <v>163</v>
      </c>
      <c r="C75" s="201" t="s">
        <v>308</v>
      </c>
      <c r="D75" s="88" t="s">
        <v>309</v>
      </c>
      <c r="E75" s="178">
        <f>VLOOKUP(C75,'FERC TB 2024'!D85:S538,16,FALSE)/1000</f>
        <v>32520.360659999995</v>
      </c>
      <c r="F75" s="178">
        <f>VLOOKUP(C75,'FERC TB 2025'!D85:R538,15,FALSE)/1000</f>
        <v>2534.87392</v>
      </c>
      <c r="G75" s="191">
        <f t="shared" si="2"/>
        <v>-29985.486739999993</v>
      </c>
      <c r="H75" s="206">
        <f t="shared" si="3"/>
        <v>-0.92205271194553839</v>
      </c>
    </row>
    <row r="76" spans="1:8" hidden="1" x14ac:dyDescent="0.3">
      <c r="A76" s="177" t="s">
        <v>162</v>
      </c>
      <c r="B76" s="177" t="s">
        <v>163</v>
      </c>
      <c r="C76" s="201" t="s">
        <v>310</v>
      </c>
      <c r="D76" s="88" t="s">
        <v>311</v>
      </c>
      <c r="E76" s="178">
        <f>VLOOKUP(C76,'FERC TB 2024'!D86:S539,16,FALSE)/1000</f>
        <v>8929130.2879199963</v>
      </c>
      <c r="F76" s="178">
        <f>VLOOKUP(C76,'FERC TB 2025'!D86:R539,15,FALSE)/1000</f>
        <v>866921.80000999977</v>
      </c>
      <c r="G76" s="191">
        <f t="shared" si="2"/>
        <v>-8062208.4879099969</v>
      </c>
      <c r="H76" s="206">
        <f t="shared" si="3"/>
        <v>-0.90291083542785389</v>
      </c>
    </row>
    <row r="77" spans="1:8" hidden="1" x14ac:dyDescent="0.3">
      <c r="A77" s="177" t="s">
        <v>162</v>
      </c>
      <c r="B77" s="177" t="s">
        <v>163</v>
      </c>
      <c r="C77" s="201" t="s">
        <v>312</v>
      </c>
      <c r="D77" s="88" t="s">
        <v>313</v>
      </c>
      <c r="E77" s="178">
        <f>VLOOKUP(C77,'FERC TB 2024'!D87:S540,16,FALSE)/1000</f>
        <v>0</v>
      </c>
      <c r="F77" s="178">
        <f>VLOOKUP(C77,'FERC TB 2025'!D87:R540,15,FALSE)/1000</f>
        <v>0</v>
      </c>
      <c r="G77" s="191">
        <f t="shared" si="2"/>
        <v>0</v>
      </c>
      <c r="H77" s="206" t="e">
        <f t="shared" si="3"/>
        <v>#DIV/0!</v>
      </c>
    </row>
    <row r="78" spans="1:8" hidden="1" x14ac:dyDescent="0.3">
      <c r="A78" s="177" t="s">
        <v>162</v>
      </c>
      <c r="B78" s="177" t="s">
        <v>163</v>
      </c>
      <c r="C78" s="201" t="s">
        <v>314</v>
      </c>
      <c r="D78" s="88" t="s">
        <v>315</v>
      </c>
      <c r="E78" s="178">
        <f>VLOOKUP(C78,'FERC TB 2024'!D88:S541,16,FALSE)/1000</f>
        <v>1436361.6</v>
      </c>
      <c r="F78" s="178">
        <f>VLOOKUP(C78,'FERC TB 2025'!D88:R541,15,FALSE)/1000</f>
        <v>119696.8</v>
      </c>
      <c r="G78" s="191">
        <f t="shared" si="2"/>
        <v>-1316664.8</v>
      </c>
      <c r="H78" s="206">
        <f t="shared" si="3"/>
        <v>-0.91666666666666663</v>
      </c>
    </row>
    <row r="79" spans="1:8" hidden="1" x14ac:dyDescent="0.3">
      <c r="A79" s="177" t="s">
        <v>162</v>
      </c>
      <c r="B79" s="177" t="s">
        <v>163</v>
      </c>
      <c r="C79" s="201" t="s">
        <v>316</v>
      </c>
      <c r="D79" s="88" t="s">
        <v>317</v>
      </c>
      <c r="E79" s="178">
        <f>VLOOKUP(C79,'FERC TB 2024'!D89:S542,16,FALSE)/1000</f>
        <v>0</v>
      </c>
      <c r="F79" s="178">
        <f>VLOOKUP(C79,'FERC TB 2025'!D89:R542,15,FALSE)/1000</f>
        <v>0</v>
      </c>
      <c r="G79" s="191">
        <f t="shared" si="2"/>
        <v>0</v>
      </c>
      <c r="H79" s="206" t="e">
        <f t="shared" si="3"/>
        <v>#DIV/0!</v>
      </c>
    </row>
    <row r="80" spans="1:8" hidden="1" x14ac:dyDescent="0.3">
      <c r="A80" s="177" t="s">
        <v>162</v>
      </c>
      <c r="B80" s="177" t="s">
        <v>163</v>
      </c>
      <c r="C80" s="201" t="s">
        <v>318</v>
      </c>
      <c r="D80" s="88" t="s">
        <v>319</v>
      </c>
      <c r="E80" s="178">
        <f>VLOOKUP(C80,'FERC TB 2024'!D90:S543,16,FALSE)/1000</f>
        <v>0</v>
      </c>
      <c r="F80" s="178">
        <f>VLOOKUP(C80,'FERC TB 2025'!D90:R543,15,FALSE)/1000</f>
        <v>0</v>
      </c>
      <c r="G80" s="191">
        <f t="shared" si="2"/>
        <v>0</v>
      </c>
      <c r="H80" s="206" t="e">
        <f t="shared" si="3"/>
        <v>#DIV/0!</v>
      </c>
    </row>
    <row r="81" spans="1:8" hidden="1" x14ac:dyDescent="0.3">
      <c r="A81" s="177" t="s">
        <v>162</v>
      </c>
      <c r="B81" s="177" t="s">
        <v>163</v>
      </c>
      <c r="C81" s="201" t="s">
        <v>320</v>
      </c>
      <c r="D81" s="88" t="s">
        <v>321</v>
      </c>
      <c r="E81" s="178">
        <f>VLOOKUP(C81,'FERC TB 2024'!D91:S544,16,FALSE)/1000</f>
        <v>57910082.399999999</v>
      </c>
      <c r="F81" s="178">
        <f>VLOOKUP(C81,'FERC TB 2025'!D91:R544,15,FALSE)/1000</f>
        <v>5565840.2000000002</v>
      </c>
      <c r="G81" s="191">
        <f t="shared" si="2"/>
        <v>-52344242.199999996</v>
      </c>
      <c r="H81" s="206">
        <f t="shared" si="3"/>
        <v>-0.90388823553115849</v>
      </c>
    </row>
    <row r="82" spans="1:8" hidden="1" x14ac:dyDescent="0.3">
      <c r="A82" s="177" t="s">
        <v>162</v>
      </c>
      <c r="B82" s="177" t="s">
        <v>163</v>
      </c>
      <c r="C82" s="201" t="s">
        <v>322</v>
      </c>
      <c r="D82" s="88" t="s">
        <v>323</v>
      </c>
      <c r="E82" s="178">
        <f>VLOOKUP(C82,'FERC TB 2024'!D92:S545,16,FALSE)/1000</f>
        <v>-8410.7999999999993</v>
      </c>
      <c r="F82" s="178">
        <f>VLOOKUP(C82,'FERC TB 2025'!D92:R545,15,FALSE)/1000</f>
        <v>-700.9</v>
      </c>
      <c r="G82" s="191">
        <f t="shared" si="2"/>
        <v>7709.9</v>
      </c>
      <c r="H82" s="206">
        <f t="shared" si="3"/>
        <v>-0.91666666666666674</v>
      </c>
    </row>
    <row r="83" spans="1:8" hidden="1" x14ac:dyDescent="0.3">
      <c r="A83" s="177" t="s">
        <v>162</v>
      </c>
      <c r="B83" s="177" t="s">
        <v>163</v>
      </c>
      <c r="C83" s="201" t="s">
        <v>324</v>
      </c>
      <c r="D83" s="88" t="s">
        <v>325</v>
      </c>
      <c r="E83" s="178">
        <f>VLOOKUP(C83,'FERC TB 2024'!D93:S546,16,FALSE)/1000</f>
        <v>0</v>
      </c>
      <c r="F83" s="178">
        <f>VLOOKUP(C83,'FERC TB 2025'!D93:R546,15,FALSE)/1000</f>
        <v>0</v>
      </c>
      <c r="G83" s="191">
        <f t="shared" si="2"/>
        <v>0</v>
      </c>
      <c r="H83" s="206" t="e">
        <f t="shared" si="3"/>
        <v>#DIV/0!</v>
      </c>
    </row>
    <row r="84" spans="1:8" hidden="1" x14ac:dyDescent="0.3">
      <c r="A84" s="177" t="s">
        <v>162</v>
      </c>
      <c r="B84" s="177" t="s">
        <v>163</v>
      </c>
      <c r="C84" s="201" t="s">
        <v>326</v>
      </c>
      <c r="D84" s="88" t="s">
        <v>327</v>
      </c>
      <c r="E84" s="178">
        <f>VLOOKUP(C84,'FERC TB 2024'!D94:S547,16,FALSE)/1000</f>
        <v>0</v>
      </c>
      <c r="F84" s="178">
        <f>VLOOKUP(C84,'FERC TB 2025'!D94:R547,15,FALSE)/1000</f>
        <v>0</v>
      </c>
      <c r="G84" s="191">
        <f t="shared" si="2"/>
        <v>0</v>
      </c>
      <c r="H84" s="206" t="e">
        <f t="shared" si="3"/>
        <v>#DIV/0!</v>
      </c>
    </row>
    <row r="85" spans="1:8" hidden="1" x14ac:dyDescent="0.3">
      <c r="A85" s="177" t="s">
        <v>162</v>
      </c>
      <c r="B85" s="177" t="s">
        <v>163</v>
      </c>
      <c r="C85" s="201" t="s">
        <v>328</v>
      </c>
      <c r="D85" s="88" t="s">
        <v>329</v>
      </c>
      <c r="E85" s="178">
        <f>VLOOKUP(C85,'FERC TB 2024'!D95:S548,16,FALSE)/1000</f>
        <v>2948516.0590177272</v>
      </c>
      <c r="F85" s="178">
        <f>VLOOKUP(C85,'FERC TB 2025'!D95:R548,15,FALSE)/1000</f>
        <v>199314.50254972698</v>
      </c>
      <c r="G85" s="191">
        <f t="shared" si="2"/>
        <v>-2749201.5564680002</v>
      </c>
      <c r="H85" s="206">
        <f t="shared" si="3"/>
        <v>-0.93240175784691948</v>
      </c>
    </row>
    <row r="86" spans="1:8" hidden="1" x14ac:dyDescent="0.3">
      <c r="A86" s="177" t="s">
        <v>162</v>
      </c>
      <c r="B86" s="177" t="s">
        <v>163</v>
      </c>
      <c r="C86" s="201" t="s">
        <v>330</v>
      </c>
      <c r="D86" s="88" t="s">
        <v>331</v>
      </c>
      <c r="E86" s="178">
        <f>VLOOKUP(C86,'FERC TB 2024'!D96:S549,16,FALSE)/1000</f>
        <v>0</v>
      </c>
      <c r="F86" s="178">
        <f>VLOOKUP(C86,'FERC TB 2025'!D96:R549,15,FALSE)/1000</f>
        <v>0</v>
      </c>
      <c r="G86" s="191">
        <f t="shared" si="2"/>
        <v>0</v>
      </c>
      <c r="H86" s="206" t="e">
        <f t="shared" si="3"/>
        <v>#DIV/0!</v>
      </c>
    </row>
    <row r="87" spans="1:8" hidden="1" x14ac:dyDescent="0.3">
      <c r="A87" s="177" t="s">
        <v>162</v>
      </c>
      <c r="B87" s="177" t="s">
        <v>163</v>
      </c>
      <c r="C87" s="201" t="s">
        <v>332</v>
      </c>
      <c r="D87" s="88" t="s">
        <v>333</v>
      </c>
      <c r="E87" s="178">
        <f>VLOOKUP(C87,'FERC TB 2024'!D97:S550,16,FALSE)/1000</f>
        <v>-8217.7367400040002</v>
      </c>
      <c r="F87" s="178">
        <f>VLOOKUP(C87,'FERC TB 2025'!D97:R550,15,FALSE)/1000</f>
        <v>-639.98106000030009</v>
      </c>
      <c r="G87" s="191">
        <f t="shared" si="2"/>
        <v>7577.7556800037</v>
      </c>
      <c r="H87" s="206">
        <f t="shared" si="3"/>
        <v>-0.9221219807535489</v>
      </c>
    </row>
    <row r="88" spans="1:8" hidden="1" x14ac:dyDescent="0.3">
      <c r="A88" s="177" t="s">
        <v>162</v>
      </c>
      <c r="B88" s="177" t="s">
        <v>163</v>
      </c>
      <c r="C88" s="201" t="s">
        <v>334</v>
      </c>
      <c r="D88" s="88" t="s">
        <v>335</v>
      </c>
      <c r="E88" s="178">
        <f>VLOOKUP(C88,'FERC TB 2024'!D98:S551,16,FALSE)/1000</f>
        <v>49500000</v>
      </c>
      <c r="F88" s="178">
        <f>VLOOKUP(C88,'FERC TB 2025'!D98:R551,15,FALSE)/1000</f>
        <v>4475000</v>
      </c>
      <c r="G88" s="191">
        <f t="shared" si="2"/>
        <v>-45025000</v>
      </c>
      <c r="H88" s="206">
        <f t="shared" si="3"/>
        <v>-0.90959595959595962</v>
      </c>
    </row>
    <row r="89" spans="1:8" hidden="1" x14ac:dyDescent="0.3">
      <c r="A89" s="177" t="s">
        <v>162</v>
      </c>
      <c r="B89" s="177" t="s">
        <v>163</v>
      </c>
      <c r="C89" s="201" t="s">
        <v>336</v>
      </c>
      <c r="D89" s="88" t="s">
        <v>337</v>
      </c>
      <c r="E89" s="178">
        <f>VLOOKUP(C89,'FERC TB 2024'!D99:S552,16,FALSE)/1000</f>
        <v>0</v>
      </c>
      <c r="F89" s="178">
        <f>VLOOKUP(C89,'FERC TB 2025'!D99:R552,15,FALSE)/1000</f>
        <v>0</v>
      </c>
      <c r="G89" s="191">
        <f t="shared" si="2"/>
        <v>0</v>
      </c>
      <c r="H89" s="206" t="e">
        <f t="shared" si="3"/>
        <v>#DIV/0!</v>
      </c>
    </row>
    <row r="90" spans="1:8" hidden="1" x14ac:dyDescent="0.3">
      <c r="A90" s="177" t="s">
        <v>162</v>
      </c>
      <c r="B90" s="177" t="s">
        <v>163</v>
      </c>
      <c r="C90" s="201" t="s">
        <v>338</v>
      </c>
      <c r="D90" s="88" t="s">
        <v>339</v>
      </c>
      <c r="E90" s="178">
        <f>VLOOKUP(C90,'FERC TB 2024'!D100:S553,16,FALSE)/1000</f>
        <v>0</v>
      </c>
      <c r="F90" s="178">
        <f>VLOOKUP(C90,'FERC TB 2025'!D100:R553,15,FALSE)/1000</f>
        <v>0</v>
      </c>
      <c r="G90" s="191">
        <f t="shared" si="2"/>
        <v>0</v>
      </c>
      <c r="H90" s="206" t="e">
        <f t="shared" si="3"/>
        <v>#DIV/0!</v>
      </c>
    </row>
    <row r="91" spans="1:8" hidden="1" x14ac:dyDescent="0.3">
      <c r="A91" s="177" t="s">
        <v>162</v>
      </c>
      <c r="B91" s="177" t="s">
        <v>163</v>
      </c>
      <c r="C91" s="201" t="s">
        <v>340</v>
      </c>
      <c r="D91" s="88" t="s">
        <v>341</v>
      </c>
      <c r="E91" s="178">
        <f>VLOOKUP(C91,'FERC TB 2024'!D101:S554,16,FALSE)/1000</f>
        <v>0</v>
      </c>
      <c r="F91" s="178">
        <f>VLOOKUP(C91,'FERC TB 2025'!D101:R554,15,FALSE)/1000</f>
        <v>0</v>
      </c>
      <c r="G91" s="191">
        <f t="shared" si="2"/>
        <v>0</v>
      </c>
      <c r="H91" s="206" t="e">
        <f t="shared" si="3"/>
        <v>#DIV/0!</v>
      </c>
    </row>
    <row r="92" spans="1:8" hidden="1" x14ac:dyDescent="0.3">
      <c r="A92" s="177" t="s">
        <v>162</v>
      </c>
      <c r="B92" s="177" t="s">
        <v>163</v>
      </c>
      <c r="C92" s="201" t="s">
        <v>342</v>
      </c>
      <c r="D92" s="88" t="s">
        <v>343</v>
      </c>
      <c r="E92" s="178">
        <f>VLOOKUP(C92,'FERC TB 2024'!D102:S555,16,FALSE)/1000</f>
        <v>-156500.12241000004</v>
      </c>
      <c r="F92" s="178">
        <f>VLOOKUP(C92,'FERC TB 2025'!D102:R555,15,FALSE)/1000</f>
        <v>-13627.45228</v>
      </c>
      <c r="G92" s="191">
        <f t="shared" si="2"/>
        <v>142872.67013000004</v>
      </c>
      <c r="H92" s="206">
        <f t="shared" si="3"/>
        <v>-0.91292369571252663</v>
      </c>
    </row>
    <row r="93" spans="1:8" hidden="1" x14ac:dyDescent="0.3">
      <c r="A93" s="177" t="s">
        <v>162</v>
      </c>
      <c r="B93" s="177" t="s">
        <v>163</v>
      </c>
      <c r="C93" s="201" t="s">
        <v>344</v>
      </c>
      <c r="D93" s="88" t="s">
        <v>345</v>
      </c>
      <c r="E93" s="178">
        <f>VLOOKUP(C93,'FERC TB 2024'!D103:S556,16,FALSE)/1000</f>
        <v>397709.82565151644</v>
      </c>
      <c r="F93" s="178">
        <f>VLOOKUP(C93,'FERC TB 2025'!D103:R556,15,FALSE)/1000</f>
        <v>31980.0766468652</v>
      </c>
      <c r="G93" s="191">
        <f t="shared" si="2"/>
        <v>-365729.74900465121</v>
      </c>
      <c r="H93" s="206">
        <f t="shared" si="3"/>
        <v>-0.91958942277959466</v>
      </c>
    </row>
    <row r="94" spans="1:8" hidden="1" x14ac:dyDescent="0.3">
      <c r="A94" s="177" t="s">
        <v>162</v>
      </c>
      <c r="B94" s="177" t="s">
        <v>163</v>
      </c>
      <c r="C94" s="201" t="s">
        <v>346</v>
      </c>
      <c r="D94" s="88" t="s">
        <v>347</v>
      </c>
      <c r="E94" s="178">
        <f>VLOOKUP(C94,'FERC TB 2024'!D104:S557,16,FALSE)/1000</f>
        <v>76269.022586666892</v>
      </c>
      <c r="F94" s="178">
        <f>VLOOKUP(C94,'FERC TB 2025'!D104:R557,15,FALSE)/1000</f>
        <v>17835.4555666667</v>
      </c>
      <c r="G94" s="191">
        <f t="shared" si="2"/>
        <v>-58433.567020000191</v>
      </c>
      <c r="H94" s="206">
        <f t="shared" si="3"/>
        <v>-0.76615072592021605</v>
      </c>
    </row>
    <row r="95" spans="1:8" hidden="1" x14ac:dyDescent="0.3">
      <c r="A95" s="177" t="s">
        <v>162</v>
      </c>
      <c r="B95" s="177" t="s">
        <v>163</v>
      </c>
      <c r="C95" s="201" t="s">
        <v>348</v>
      </c>
      <c r="D95" s="88" t="s">
        <v>349</v>
      </c>
      <c r="E95" s="178">
        <f>VLOOKUP(C95,'FERC TB 2024'!D105:S558,16,FALSE)/1000</f>
        <v>95388.958332504801</v>
      </c>
      <c r="F95" s="178">
        <f>VLOOKUP(C95,'FERC TB 2025'!D105:R558,15,FALSE)/1000</f>
        <v>7996.6580000000004</v>
      </c>
      <c r="G95" s="191">
        <f t="shared" si="2"/>
        <v>-87392.300332504805</v>
      </c>
      <c r="H95" s="206">
        <f t="shared" si="3"/>
        <v>-0.91616788630686774</v>
      </c>
    </row>
    <row r="96" spans="1:8" hidden="1" x14ac:dyDescent="0.3">
      <c r="A96" s="177" t="s">
        <v>162</v>
      </c>
      <c r="B96" s="177" t="s">
        <v>163</v>
      </c>
      <c r="C96" s="201" t="s">
        <v>350</v>
      </c>
      <c r="D96" s="88" t="s">
        <v>351</v>
      </c>
      <c r="E96" s="178">
        <f>VLOOKUP(C96,'FERC TB 2024'!D106:S559,16,FALSE)/1000</f>
        <v>1094679.84476</v>
      </c>
      <c r="F96" s="178">
        <f>VLOOKUP(C96,'FERC TB 2025'!D106:R559,15,FALSE)/1000</f>
        <v>69823.314230000004</v>
      </c>
      <c r="G96" s="191">
        <f t="shared" si="2"/>
        <v>-1024856.53053</v>
      </c>
      <c r="H96" s="206">
        <f t="shared" si="3"/>
        <v>-0.93621576704437426</v>
      </c>
    </row>
    <row r="97" spans="1:8" hidden="1" x14ac:dyDescent="0.3">
      <c r="A97" s="177" t="s">
        <v>162</v>
      </c>
      <c r="B97" s="177" t="s">
        <v>163</v>
      </c>
      <c r="C97" s="201" t="s">
        <v>352</v>
      </c>
      <c r="D97" s="88" t="s">
        <v>353</v>
      </c>
      <c r="E97" s="178">
        <f>VLOOKUP(C97,'FERC TB 2024'!D107:S560,16,FALSE)/1000</f>
        <v>9396</v>
      </c>
      <c r="F97" s="178">
        <f>VLOOKUP(C97,'FERC TB 2025'!D107:R560,15,FALSE)/1000</f>
        <v>783</v>
      </c>
      <c r="G97" s="191">
        <f t="shared" si="2"/>
        <v>-8613</v>
      </c>
      <c r="H97" s="206">
        <f t="shared" si="3"/>
        <v>-0.91666666666666663</v>
      </c>
    </row>
    <row r="98" spans="1:8" hidden="1" x14ac:dyDescent="0.3">
      <c r="A98" s="177" t="s">
        <v>162</v>
      </c>
      <c r="B98" s="177" t="s">
        <v>163</v>
      </c>
      <c r="C98" s="201" t="s">
        <v>354</v>
      </c>
      <c r="D98" s="88" t="s">
        <v>355</v>
      </c>
      <c r="E98" s="178">
        <f>VLOOKUP(C98,'FERC TB 2024'!D108:S561,16,FALSE)/1000</f>
        <v>0</v>
      </c>
      <c r="F98" s="178">
        <f>VLOOKUP(C98,'FERC TB 2025'!D108:R561,15,FALSE)/1000</f>
        <v>0</v>
      </c>
      <c r="G98" s="191">
        <f t="shared" si="2"/>
        <v>0</v>
      </c>
      <c r="H98" s="206" t="e">
        <f t="shared" si="3"/>
        <v>#DIV/0!</v>
      </c>
    </row>
    <row r="99" spans="1:8" hidden="1" x14ac:dyDescent="0.3">
      <c r="A99" s="177" t="s">
        <v>162</v>
      </c>
      <c r="B99" s="177" t="s">
        <v>163</v>
      </c>
      <c r="C99" s="201" t="s">
        <v>356</v>
      </c>
      <c r="D99" s="88" t="s">
        <v>357</v>
      </c>
      <c r="E99" s="178">
        <f>VLOOKUP(C99,'FERC TB 2024'!D109:S562,16,FALSE)/1000</f>
        <v>396346.83360999997</v>
      </c>
      <c r="F99" s="178">
        <f>VLOOKUP(C99,'FERC TB 2025'!D109:R562,15,FALSE)/1000</f>
        <v>35518.198069999999</v>
      </c>
      <c r="G99" s="191">
        <f t="shared" si="2"/>
        <v>-360828.63553999999</v>
      </c>
      <c r="H99" s="206">
        <f t="shared" si="3"/>
        <v>-0.91038606831674751</v>
      </c>
    </row>
    <row r="100" spans="1:8" hidden="1" x14ac:dyDescent="0.3">
      <c r="A100" s="177" t="s">
        <v>162</v>
      </c>
      <c r="B100" s="177" t="s">
        <v>163</v>
      </c>
      <c r="C100" s="201" t="s">
        <v>358</v>
      </c>
      <c r="D100" s="88" t="s">
        <v>359</v>
      </c>
      <c r="E100" s="178">
        <f>VLOOKUP(C100,'FERC TB 2024'!D110:S563,16,FALSE)/1000</f>
        <v>3277402.0516181723</v>
      </c>
      <c r="F100" s="178">
        <f>VLOOKUP(C100,'FERC TB 2025'!D110:R563,15,FALSE)/1000</f>
        <v>553907.77794710698</v>
      </c>
      <c r="G100" s="191">
        <f t="shared" si="2"/>
        <v>-2723494.2736710655</v>
      </c>
      <c r="H100" s="206">
        <f t="shared" si="3"/>
        <v>-0.83099181326452687</v>
      </c>
    </row>
    <row r="101" spans="1:8" hidden="1" x14ac:dyDescent="0.3">
      <c r="A101" s="177" t="s">
        <v>162</v>
      </c>
      <c r="B101" s="177" t="s">
        <v>163</v>
      </c>
      <c r="C101" s="201" t="s">
        <v>360</v>
      </c>
      <c r="D101" s="88" t="s">
        <v>361</v>
      </c>
      <c r="E101" s="178">
        <f>VLOOKUP(C101,'FERC TB 2024'!D111:S564,16,FALSE)/1000</f>
        <v>2832300.683886766</v>
      </c>
      <c r="F101" s="178">
        <f>VLOOKUP(C101,'FERC TB 2025'!D111:R564,15,FALSE)/1000</f>
        <v>338131.36555483082</v>
      </c>
      <c r="G101" s="191">
        <f t="shared" si="2"/>
        <v>-2494169.318331935</v>
      </c>
      <c r="H101" s="206">
        <f t="shared" si="3"/>
        <v>-0.88061600681082586</v>
      </c>
    </row>
    <row r="102" spans="1:8" hidden="1" x14ac:dyDescent="0.3">
      <c r="A102" s="177" t="s">
        <v>162</v>
      </c>
      <c r="B102" s="177" t="s">
        <v>163</v>
      </c>
      <c r="C102" s="201" t="s">
        <v>362</v>
      </c>
      <c r="D102" s="88" t="s">
        <v>363</v>
      </c>
      <c r="E102" s="178">
        <f>VLOOKUP(C102,'FERC TB 2024'!D112:S565,16,FALSE)/1000</f>
        <v>0</v>
      </c>
      <c r="F102" s="178">
        <f>VLOOKUP(C102,'FERC TB 2025'!D112:R565,15,FALSE)/1000</f>
        <v>0</v>
      </c>
      <c r="G102" s="191">
        <f t="shared" si="2"/>
        <v>0</v>
      </c>
      <c r="H102" s="206" t="e">
        <f t="shared" si="3"/>
        <v>#DIV/0!</v>
      </c>
    </row>
    <row r="103" spans="1:8" hidden="1" x14ac:dyDescent="0.3">
      <c r="A103" s="177" t="s">
        <v>162</v>
      </c>
      <c r="B103" s="177" t="s">
        <v>163</v>
      </c>
      <c r="C103" s="201" t="s">
        <v>364</v>
      </c>
      <c r="D103" s="88" t="s">
        <v>365</v>
      </c>
      <c r="E103" s="178">
        <f>VLOOKUP(C103,'FERC TB 2024'!D113:S566,16,FALSE)/1000</f>
        <v>146029.95094000001</v>
      </c>
      <c r="F103" s="178">
        <f>VLOOKUP(C103,'FERC TB 2025'!D113:R566,15,FALSE)/1000</f>
        <v>11344.714865146199</v>
      </c>
      <c r="G103" s="191">
        <f t="shared" si="2"/>
        <v>-134685.2360748538</v>
      </c>
      <c r="H103" s="206">
        <f t="shared" si="3"/>
        <v>-0.92231241062453373</v>
      </c>
    </row>
    <row r="104" spans="1:8" hidden="1" x14ac:dyDescent="0.3">
      <c r="A104" s="177" t="s">
        <v>162</v>
      </c>
      <c r="B104" s="177" t="s">
        <v>163</v>
      </c>
      <c r="C104" s="201" t="s">
        <v>366</v>
      </c>
      <c r="D104" s="88" t="s">
        <v>367</v>
      </c>
      <c r="E104" s="178">
        <f>VLOOKUP(C104,'FERC TB 2024'!D114:S567,16,FALSE)/1000</f>
        <v>1451539.1305902761</v>
      </c>
      <c r="F104" s="178">
        <f>VLOOKUP(C104,'FERC TB 2025'!D114:R567,15,FALSE)/1000</f>
        <v>121846.51830263001</v>
      </c>
      <c r="G104" s="191">
        <f t="shared" si="2"/>
        <v>-1329692.6122876462</v>
      </c>
      <c r="H104" s="206">
        <f t="shared" si="3"/>
        <v>-0.9160570213129009</v>
      </c>
    </row>
    <row r="105" spans="1:8" hidden="1" x14ac:dyDescent="0.3">
      <c r="A105" s="177" t="s">
        <v>162</v>
      </c>
      <c r="B105" s="177" t="s">
        <v>163</v>
      </c>
      <c r="C105" s="201" t="s">
        <v>368</v>
      </c>
      <c r="D105" s="88" t="s">
        <v>369</v>
      </c>
      <c r="E105" s="178">
        <f>VLOOKUP(C105,'FERC TB 2024'!D115:S568,16,FALSE)/1000</f>
        <v>572675.49312944559</v>
      </c>
      <c r="F105" s="178">
        <f>VLOOKUP(C105,'FERC TB 2025'!D115:R568,15,FALSE)/1000</f>
        <v>12848.9471664467</v>
      </c>
      <c r="G105" s="191">
        <f t="shared" si="2"/>
        <v>-559826.54596299888</v>
      </c>
      <c r="H105" s="206">
        <f t="shared" si="3"/>
        <v>-0.97756330186886065</v>
      </c>
    </row>
    <row r="106" spans="1:8" hidden="1" x14ac:dyDescent="0.3">
      <c r="A106" s="177" t="s">
        <v>162</v>
      </c>
      <c r="B106" s="177" t="s">
        <v>163</v>
      </c>
      <c r="C106" s="201" t="s">
        <v>370</v>
      </c>
      <c r="D106" s="88" t="s">
        <v>371</v>
      </c>
      <c r="E106" s="178">
        <f>VLOOKUP(C106,'FERC TB 2024'!D116:S569,16,FALSE)/1000</f>
        <v>595495.89904224186</v>
      </c>
      <c r="F106" s="178">
        <f>VLOOKUP(C106,'FERC TB 2025'!D116:R569,15,FALSE)/1000</f>
        <v>32834.563451576098</v>
      </c>
      <c r="G106" s="191">
        <f t="shared" si="2"/>
        <v>-562661.33559066581</v>
      </c>
      <c r="H106" s="206">
        <f t="shared" si="3"/>
        <v>-0.94486181432250815</v>
      </c>
    </row>
    <row r="107" spans="1:8" hidden="1" x14ac:dyDescent="0.3">
      <c r="A107" s="177" t="s">
        <v>162</v>
      </c>
      <c r="B107" s="177" t="s">
        <v>163</v>
      </c>
      <c r="C107" s="201" t="s">
        <v>372</v>
      </c>
      <c r="D107" s="88" t="s">
        <v>373</v>
      </c>
      <c r="E107" s="178">
        <f>VLOOKUP(C107,'FERC TB 2024'!D117:S570,16,FALSE)/1000</f>
        <v>0</v>
      </c>
      <c r="F107" s="178">
        <f>VLOOKUP(C107,'FERC TB 2025'!D117:R570,15,FALSE)/1000</f>
        <v>0</v>
      </c>
      <c r="G107" s="191">
        <f t="shared" si="2"/>
        <v>0</v>
      </c>
      <c r="H107" s="206" t="e">
        <f t="shared" si="3"/>
        <v>#DIV/0!</v>
      </c>
    </row>
    <row r="108" spans="1:8" hidden="1" x14ac:dyDescent="0.3">
      <c r="A108" s="177" t="s">
        <v>162</v>
      </c>
      <c r="B108" s="177" t="s">
        <v>163</v>
      </c>
      <c r="C108" s="201" t="s">
        <v>374</v>
      </c>
      <c r="D108" s="88" t="s">
        <v>375</v>
      </c>
      <c r="E108" s="178">
        <f>VLOOKUP(C108,'FERC TB 2024'!D118:S571,16,FALSE)/1000</f>
        <v>162704.74616000024</v>
      </c>
      <c r="F108" s="178">
        <f>VLOOKUP(C108,'FERC TB 2025'!D118:R571,15,FALSE)/1000</f>
        <v>14342.125779999998</v>
      </c>
      <c r="G108" s="191">
        <f t="shared" si="2"/>
        <v>-148362.62038000024</v>
      </c>
      <c r="H108" s="206">
        <f t="shared" si="3"/>
        <v>-0.91185182904316586</v>
      </c>
    </row>
    <row r="109" spans="1:8" hidden="1" x14ac:dyDescent="0.3">
      <c r="A109" s="177" t="s">
        <v>162</v>
      </c>
      <c r="B109" s="177" t="s">
        <v>163</v>
      </c>
      <c r="C109" s="201" t="s">
        <v>376</v>
      </c>
      <c r="D109" s="88" t="s">
        <v>377</v>
      </c>
      <c r="E109" s="178">
        <f>VLOOKUP(C109,'FERC TB 2024'!D119:S572,16,FALSE)/1000</f>
        <v>474605.97684616916</v>
      </c>
      <c r="F109" s="178">
        <f>VLOOKUP(C109,'FERC TB 2025'!D119:R572,15,FALSE)/1000</f>
        <v>43192.375682305101</v>
      </c>
      <c r="G109" s="191">
        <f t="shared" si="2"/>
        <v>-431413.60116386408</v>
      </c>
      <c r="H109" s="206">
        <f t="shared" si="3"/>
        <v>-0.90899319058448202</v>
      </c>
    </row>
    <row r="110" spans="1:8" hidden="1" x14ac:dyDescent="0.3">
      <c r="A110" s="177" t="s">
        <v>162</v>
      </c>
      <c r="B110" s="177" t="s">
        <v>163</v>
      </c>
      <c r="C110" s="201" t="s">
        <v>378</v>
      </c>
      <c r="D110" s="88" t="s">
        <v>379</v>
      </c>
      <c r="E110" s="178">
        <f>VLOOKUP(C110,'FERC TB 2024'!D120:S573,16,FALSE)/1000</f>
        <v>26774.623160309002</v>
      </c>
      <c r="F110" s="178">
        <f>VLOOKUP(C110,'FERC TB 2025'!D120:R573,15,FALSE)/1000</f>
        <v>394.92103353840002</v>
      </c>
      <c r="G110" s="191">
        <f t="shared" si="2"/>
        <v>-26379.7021267706</v>
      </c>
      <c r="H110" s="206">
        <f t="shared" si="3"/>
        <v>-0.98525017397354686</v>
      </c>
    </row>
    <row r="111" spans="1:8" hidden="1" x14ac:dyDescent="0.3">
      <c r="A111" s="177" t="s">
        <v>162</v>
      </c>
      <c r="B111" s="177" t="s">
        <v>163</v>
      </c>
      <c r="C111" s="201" t="s">
        <v>380</v>
      </c>
      <c r="D111" s="88" t="s">
        <v>381</v>
      </c>
      <c r="E111" s="178">
        <f>VLOOKUP(C111,'FERC TB 2024'!D121:S574,16,FALSE)/1000</f>
        <v>0</v>
      </c>
      <c r="F111" s="178">
        <f>VLOOKUP(C111,'FERC TB 2025'!D121:R574,15,FALSE)/1000</f>
        <v>0</v>
      </c>
      <c r="G111" s="191">
        <f t="shared" si="2"/>
        <v>0</v>
      </c>
      <c r="H111" s="206" t="e">
        <f t="shared" si="3"/>
        <v>#DIV/0!</v>
      </c>
    </row>
    <row r="112" spans="1:8" hidden="1" x14ac:dyDescent="0.3">
      <c r="A112" s="177" t="s">
        <v>162</v>
      </c>
      <c r="B112" s="177" t="s">
        <v>163</v>
      </c>
      <c r="C112" s="201" t="s">
        <v>382</v>
      </c>
      <c r="D112" s="88" t="s">
        <v>383</v>
      </c>
      <c r="E112" s="178">
        <f>VLOOKUP(C112,'FERC TB 2024'!D122:S575,16,FALSE)/1000</f>
        <v>0</v>
      </c>
      <c r="F112" s="178">
        <f>VLOOKUP(C112,'FERC TB 2025'!D122:R575,15,FALSE)/1000</f>
        <v>0</v>
      </c>
      <c r="G112" s="191">
        <f t="shared" si="2"/>
        <v>0</v>
      </c>
      <c r="H112" s="206" t="e">
        <f t="shared" si="3"/>
        <v>#DIV/0!</v>
      </c>
    </row>
    <row r="113" spans="1:10" hidden="1" x14ac:dyDescent="0.3">
      <c r="A113" s="177" t="s">
        <v>162</v>
      </c>
      <c r="B113" s="177" t="s">
        <v>163</v>
      </c>
      <c r="C113" s="201" t="s">
        <v>384</v>
      </c>
      <c r="D113" s="88" t="s">
        <v>385</v>
      </c>
      <c r="E113" s="178">
        <f>VLOOKUP(C113,'FERC TB 2024'!D123:S576,16,FALSE)/1000</f>
        <v>378660.76143128006</v>
      </c>
      <c r="F113" s="178">
        <f>VLOOKUP(C113,'FERC TB 2025'!D123:R576,15,FALSE)/1000</f>
        <v>15778.410867560999</v>
      </c>
      <c r="G113" s="191">
        <f t="shared" si="2"/>
        <v>-362882.35056371905</v>
      </c>
      <c r="H113" s="206">
        <f t="shared" si="3"/>
        <v>-0.9583310116212701</v>
      </c>
    </row>
    <row r="114" spans="1:10" hidden="1" x14ac:dyDescent="0.3">
      <c r="A114" s="177" t="s">
        <v>162</v>
      </c>
      <c r="B114" s="177" t="s">
        <v>163</v>
      </c>
      <c r="C114" s="201" t="s">
        <v>386</v>
      </c>
      <c r="D114" s="88" t="s">
        <v>387</v>
      </c>
      <c r="E114" s="178">
        <f>VLOOKUP(C114,'FERC TB 2024'!D124:S577,16,FALSE)/1000</f>
        <v>6336398.1961222943</v>
      </c>
      <c r="F114" s="178">
        <f>VLOOKUP(C114,'FERC TB 2025'!D124:R577,15,FALSE)/1000</f>
        <v>508342.29173172993</v>
      </c>
      <c r="G114" s="191">
        <f t="shared" si="2"/>
        <v>-5828055.9043905642</v>
      </c>
      <c r="H114" s="206">
        <f t="shared" si="3"/>
        <v>-0.91977425092336806</v>
      </c>
    </row>
    <row r="115" spans="1:10" hidden="1" x14ac:dyDescent="0.3">
      <c r="A115" s="177" t="s">
        <v>162</v>
      </c>
      <c r="B115" s="177" t="s">
        <v>163</v>
      </c>
      <c r="C115" s="201" t="s">
        <v>388</v>
      </c>
      <c r="D115" s="88" t="s">
        <v>389</v>
      </c>
      <c r="E115" s="178">
        <f>VLOOKUP(C115,'FERC TB 2024'!D125:S578,16,FALSE)/1000</f>
        <v>2817951.8062800001</v>
      </c>
      <c r="F115" s="178">
        <f>VLOOKUP(C115,'FERC TB 2025'!D125:R578,15,FALSE)/1000</f>
        <v>264120.66729000001</v>
      </c>
      <c r="G115" s="191">
        <f t="shared" si="2"/>
        <v>-2553831.1389899999</v>
      </c>
      <c r="H115" s="206">
        <f t="shared" si="3"/>
        <v>-0.90627211341890623</v>
      </c>
    </row>
    <row r="116" spans="1:10" hidden="1" x14ac:dyDescent="0.3">
      <c r="A116" s="177" t="s">
        <v>162</v>
      </c>
      <c r="B116" s="177" t="s">
        <v>163</v>
      </c>
      <c r="C116" s="201" t="s">
        <v>390</v>
      </c>
      <c r="D116" s="88" t="s">
        <v>391</v>
      </c>
      <c r="E116" s="178">
        <f>VLOOKUP(C116,'FERC TB 2024'!D126:S579,16,FALSE)/1000</f>
        <v>-94.513439999999989</v>
      </c>
      <c r="F116" s="178">
        <f>VLOOKUP(C116,'FERC TB 2025'!D126:R579,15,FALSE)/1000</f>
        <v>-7.8761200000000002</v>
      </c>
      <c r="G116" s="191">
        <f t="shared" si="2"/>
        <v>86.637319999999988</v>
      </c>
      <c r="H116" s="206">
        <f t="shared" si="3"/>
        <v>-0.91666666666666663</v>
      </c>
    </row>
    <row r="117" spans="1:10" hidden="1" x14ac:dyDescent="0.3">
      <c r="A117" s="177" t="s">
        <v>162</v>
      </c>
      <c r="B117" s="177" t="s">
        <v>163</v>
      </c>
      <c r="C117" s="201" t="s">
        <v>392</v>
      </c>
      <c r="D117" s="88" t="s">
        <v>393</v>
      </c>
      <c r="E117" s="178">
        <f>VLOOKUP(C117,'FERC TB 2024'!D127:S580,16,FALSE)/1000</f>
        <v>0</v>
      </c>
      <c r="F117" s="178">
        <f>VLOOKUP(C117,'FERC TB 2025'!D127:R580,15,FALSE)/1000</f>
        <v>0</v>
      </c>
      <c r="G117" s="191">
        <f t="shared" si="2"/>
        <v>0</v>
      </c>
      <c r="H117" s="206" t="e">
        <f t="shared" si="3"/>
        <v>#DIV/0!</v>
      </c>
    </row>
    <row r="118" spans="1:10" hidden="1" x14ac:dyDescent="0.3">
      <c r="A118" s="177" t="s">
        <v>162</v>
      </c>
      <c r="B118" s="177" t="s">
        <v>163</v>
      </c>
      <c r="C118" s="201" t="s">
        <v>394</v>
      </c>
      <c r="D118" s="88" t="s">
        <v>395</v>
      </c>
      <c r="E118" s="178">
        <f>VLOOKUP(C118,'FERC TB 2024'!D128:S581,16,FALSE)/1000</f>
        <v>648305.78628</v>
      </c>
      <c r="F118" s="178">
        <f>VLOOKUP(C118,'FERC TB 2025'!D128:R581,15,FALSE)/1000</f>
        <v>50669.057350000003</v>
      </c>
      <c r="G118" s="191">
        <f t="shared" si="2"/>
        <v>-597636.72892999998</v>
      </c>
      <c r="H118" s="206">
        <f t="shared" si="3"/>
        <v>-0.92184389153652213</v>
      </c>
    </row>
    <row r="119" spans="1:10" hidden="1" x14ac:dyDescent="0.3">
      <c r="A119" s="177" t="s">
        <v>162</v>
      </c>
      <c r="B119" s="177" t="s">
        <v>163</v>
      </c>
      <c r="C119" s="201" t="s">
        <v>396</v>
      </c>
      <c r="D119" s="88" t="s">
        <v>397</v>
      </c>
      <c r="E119" s="178">
        <f>VLOOKUP(C119,'FERC TB 2024'!D129:S582,16,FALSE)/1000</f>
        <v>18415724.769519996</v>
      </c>
      <c r="F119" s="178">
        <f>VLOOKUP(C119,'FERC TB 2025'!D129:R582,15,FALSE)/1000</f>
        <v>1668101.44719</v>
      </c>
      <c r="G119" s="191">
        <f t="shared" si="2"/>
        <v>-16747623.322329996</v>
      </c>
      <c r="H119" s="206">
        <f t="shared" si="3"/>
        <v>-0.9094197231948814</v>
      </c>
    </row>
    <row r="120" spans="1:10" hidden="1" x14ac:dyDescent="0.3">
      <c r="A120" s="177" t="s">
        <v>162</v>
      </c>
      <c r="B120" s="177" t="s">
        <v>163</v>
      </c>
      <c r="C120" s="201" t="s">
        <v>398</v>
      </c>
      <c r="D120" s="88" t="s">
        <v>399</v>
      </c>
      <c r="E120" s="178">
        <f>VLOOKUP(C120,'FERC TB 2024'!D130:S583,16,FALSE)/1000</f>
        <v>668762.63135999977</v>
      </c>
      <c r="F120" s="178">
        <f>VLOOKUP(C120,'FERC TB 2025'!D130:R583,15,FALSE)/1000</f>
        <v>75368.406760000013</v>
      </c>
      <c r="G120" s="191">
        <f t="shared" si="2"/>
        <v>-593394.22459999972</v>
      </c>
      <c r="H120" s="206">
        <f t="shared" si="3"/>
        <v>-0.88730170732367264</v>
      </c>
    </row>
    <row r="121" spans="1:10" x14ac:dyDescent="0.3">
      <c r="A121" s="177" t="s">
        <v>162</v>
      </c>
      <c r="B121" s="177" t="s">
        <v>163</v>
      </c>
      <c r="C121" s="201" t="s">
        <v>400</v>
      </c>
      <c r="D121" s="78" t="s">
        <v>401</v>
      </c>
      <c r="E121" s="239">
        <f>VLOOKUP(C121,'FERC TB 2024'!D131:S584,16,FALSE)/1000</f>
        <v>426210.85669759178</v>
      </c>
      <c r="F121" s="239">
        <f>VLOOKUP(C121,'FERC TB 2025'!D131:R584,15,FALSE)/1000</f>
        <v>524971.67869666102</v>
      </c>
      <c r="G121" s="240">
        <f t="shared" si="2"/>
        <v>98760.821999069245</v>
      </c>
      <c r="H121" s="238">
        <f t="shared" si="3"/>
        <v>0.2317182222064858</v>
      </c>
      <c r="I121" t="s">
        <v>1573</v>
      </c>
      <c r="J121" t="s">
        <v>1574</v>
      </c>
    </row>
    <row r="122" spans="1:10" hidden="1" x14ac:dyDescent="0.3">
      <c r="A122" s="177" t="s">
        <v>162</v>
      </c>
      <c r="B122" s="177" t="s">
        <v>163</v>
      </c>
      <c r="C122" s="201" t="s">
        <v>402</v>
      </c>
      <c r="D122" s="88" t="s">
        <v>403</v>
      </c>
      <c r="E122" s="178">
        <f>VLOOKUP(C122,'FERC TB 2024'!D132:S585,16,FALSE)/1000</f>
        <v>0</v>
      </c>
      <c r="F122" s="178">
        <f>VLOOKUP(C122,'FERC TB 2025'!D132:R585,15,FALSE)/1000</f>
        <v>0</v>
      </c>
      <c r="G122" s="191">
        <f t="shared" si="2"/>
        <v>0</v>
      </c>
      <c r="H122" s="206" t="e">
        <f t="shared" si="3"/>
        <v>#DIV/0!</v>
      </c>
    </row>
    <row r="123" spans="1:10" x14ac:dyDescent="0.3">
      <c r="A123" s="177" t="s">
        <v>162</v>
      </c>
      <c r="B123" s="177" t="s">
        <v>163</v>
      </c>
      <c r="C123" s="201" t="s">
        <v>404</v>
      </c>
      <c r="D123" s="78" t="s">
        <v>405</v>
      </c>
      <c r="E123" s="239">
        <f>VLOOKUP(C123,'FERC TB 2024'!D133:S586,16,FALSE)/1000</f>
        <v>36648.156206978805</v>
      </c>
      <c r="F123" s="239">
        <f>VLOOKUP(C123,'FERC TB 2025'!D133:R586,15,FALSE)/1000</f>
        <v>40245.448386978795</v>
      </c>
      <c r="G123" s="240">
        <f t="shared" si="2"/>
        <v>3597.2921799999895</v>
      </c>
      <c r="H123" s="238">
        <f t="shared" si="3"/>
        <v>9.8157521477573464E-2</v>
      </c>
      <c r="I123" t="s">
        <v>1573</v>
      </c>
      <c r="J123" t="s">
        <v>1574</v>
      </c>
    </row>
    <row r="124" spans="1:10" hidden="1" x14ac:dyDescent="0.3">
      <c r="A124" s="177" t="s">
        <v>162</v>
      </c>
      <c r="B124" s="177" t="s">
        <v>163</v>
      </c>
      <c r="C124" s="201" t="s">
        <v>406</v>
      </c>
      <c r="D124" s="88" t="s">
        <v>407</v>
      </c>
      <c r="E124" s="178">
        <f>VLOOKUP(C124,'FERC TB 2024'!D134:S587,16,FALSE)/1000</f>
        <v>0</v>
      </c>
      <c r="F124" s="178">
        <f>VLOOKUP(C124,'FERC TB 2025'!D134:R587,15,FALSE)/1000</f>
        <v>0</v>
      </c>
      <c r="G124" s="191">
        <f t="shared" si="2"/>
        <v>0</v>
      </c>
      <c r="H124" s="206" t="e">
        <f t="shared" si="3"/>
        <v>#DIV/0!</v>
      </c>
    </row>
    <row r="125" spans="1:10" hidden="1" x14ac:dyDescent="0.3">
      <c r="A125" s="177" t="s">
        <v>162</v>
      </c>
      <c r="B125" s="177" t="s">
        <v>163</v>
      </c>
      <c r="C125" s="201" t="s">
        <v>408</v>
      </c>
      <c r="D125" s="88" t="s">
        <v>409</v>
      </c>
      <c r="E125" s="178">
        <f>VLOOKUP(C125,'FERC TB 2024'!D135:S588,16,FALSE)/1000</f>
        <v>0</v>
      </c>
      <c r="F125" s="178">
        <f>VLOOKUP(C125,'FERC TB 2025'!D135:R588,15,FALSE)/1000</f>
        <v>0</v>
      </c>
      <c r="G125" s="191">
        <f t="shared" si="2"/>
        <v>0</v>
      </c>
      <c r="H125" s="206" t="e">
        <f t="shared" si="3"/>
        <v>#DIV/0!</v>
      </c>
    </row>
    <row r="126" spans="1:10" hidden="1" x14ac:dyDescent="0.3">
      <c r="A126" s="177" t="s">
        <v>162</v>
      </c>
      <c r="B126" s="177" t="s">
        <v>163</v>
      </c>
      <c r="C126" s="201" t="s">
        <v>410</v>
      </c>
      <c r="D126" s="88" t="s">
        <v>411</v>
      </c>
      <c r="E126" s="178">
        <f>VLOOKUP(C126,'FERC TB 2024'!D136:S589,16,FALSE)/1000</f>
        <v>0</v>
      </c>
      <c r="F126" s="178">
        <f>VLOOKUP(C126,'FERC TB 2025'!D136:R589,15,FALSE)/1000</f>
        <v>0</v>
      </c>
      <c r="G126" s="191">
        <f t="shared" si="2"/>
        <v>0</v>
      </c>
      <c r="H126" s="206" t="e">
        <f t="shared" si="3"/>
        <v>#DIV/0!</v>
      </c>
    </row>
    <row r="127" spans="1:10" hidden="1" x14ac:dyDescent="0.3">
      <c r="A127" s="177" t="s">
        <v>162</v>
      </c>
      <c r="B127" s="177" t="s">
        <v>163</v>
      </c>
      <c r="C127" s="201" t="s">
        <v>412</v>
      </c>
      <c r="D127" s="88" t="s">
        <v>413</v>
      </c>
      <c r="E127" s="178">
        <f>VLOOKUP(C127,'FERC TB 2024'!D137:S590,16,FALSE)/1000</f>
        <v>0</v>
      </c>
      <c r="F127" s="178">
        <f>VLOOKUP(C127,'FERC TB 2025'!D137:R590,15,FALSE)/1000</f>
        <v>0</v>
      </c>
      <c r="G127" s="191">
        <f t="shared" si="2"/>
        <v>0</v>
      </c>
      <c r="H127" s="206" t="e">
        <f t="shared" si="3"/>
        <v>#DIV/0!</v>
      </c>
    </row>
    <row r="128" spans="1:10" hidden="1" x14ac:dyDescent="0.3">
      <c r="A128" s="177" t="s">
        <v>162</v>
      </c>
      <c r="B128" s="177" t="s">
        <v>163</v>
      </c>
      <c r="C128" s="201" t="s">
        <v>414</v>
      </c>
      <c r="D128" s="88" t="s">
        <v>415</v>
      </c>
      <c r="E128" s="178">
        <f>VLOOKUP(C128,'FERC TB 2024'!D138:S591,16,FALSE)/1000</f>
        <v>185.74931999999995</v>
      </c>
      <c r="F128" s="178">
        <f>VLOOKUP(C128,'FERC TB 2025'!D138:R591,15,FALSE)/1000</f>
        <v>185.74932000000001</v>
      </c>
      <c r="G128" s="191">
        <f t="shared" si="2"/>
        <v>0</v>
      </c>
      <c r="H128" s="206">
        <f t="shared" si="3"/>
        <v>0</v>
      </c>
    </row>
    <row r="129" spans="1:11" x14ac:dyDescent="0.3">
      <c r="A129" s="177" t="s">
        <v>162</v>
      </c>
      <c r="B129" s="177" t="s">
        <v>163</v>
      </c>
      <c r="C129" s="201" t="s">
        <v>416</v>
      </c>
      <c r="D129" s="78" t="s">
        <v>417</v>
      </c>
      <c r="E129" s="239">
        <f>VLOOKUP(C129,'FERC TB 2024'!D139:S592,16,FALSE)/1000</f>
        <v>29706.013430000006</v>
      </c>
      <c r="F129" s="239">
        <f>VLOOKUP(C129,'FERC TB 2025'!D139:R592,15,FALSE)/1000</f>
        <v>21858.343350000003</v>
      </c>
      <c r="G129" s="240">
        <f t="shared" si="2"/>
        <v>-7847.6700800000035</v>
      </c>
      <c r="H129" s="238">
        <f t="shared" si="3"/>
        <v>-0.26417782710872495</v>
      </c>
      <c r="I129" t="s">
        <v>1575</v>
      </c>
    </row>
    <row r="130" spans="1:11" hidden="1" x14ac:dyDescent="0.3">
      <c r="A130" s="177" t="s">
        <v>162</v>
      </c>
      <c r="B130" s="177" t="s">
        <v>163</v>
      </c>
      <c r="C130" s="201" t="s">
        <v>418</v>
      </c>
      <c r="D130" s="88" t="s">
        <v>419</v>
      </c>
      <c r="E130" s="178">
        <f>VLOOKUP(C130,'FERC TB 2024'!D140:S593,16,FALSE)/1000</f>
        <v>0</v>
      </c>
      <c r="F130" s="178">
        <f>VLOOKUP(C130,'FERC TB 2025'!D140:R593,15,FALSE)/1000</f>
        <v>0</v>
      </c>
      <c r="G130" s="191">
        <f t="shared" si="2"/>
        <v>0</v>
      </c>
      <c r="H130" s="206" t="e">
        <f t="shared" si="3"/>
        <v>#DIV/0!</v>
      </c>
    </row>
    <row r="131" spans="1:11" hidden="1" x14ac:dyDescent="0.3">
      <c r="A131" s="177" t="s">
        <v>162</v>
      </c>
      <c r="B131" s="177" t="s">
        <v>163</v>
      </c>
      <c r="C131" s="201" t="s">
        <v>420</v>
      </c>
      <c r="D131" s="88" t="s">
        <v>421</v>
      </c>
      <c r="E131" s="178">
        <f>VLOOKUP(C131,'FERC TB 2024'!D141:S594,16,FALSE)/1000</f>
        <v>0</v>
      </c>
      <c r="F131" s="178">
        <f>VLOOKUP(C131,'FERC TB 2025'!D141:R594,15,FALSE)/1000</f>
        <v>0</v>
      </c>
      <c r="G131" s="191">
        <f t="shared" si="2"/>
        <v>0</v>
      </c>
      <c r="H131" s="206" t="e">
        <f t="shared" si="3"/>
        <v>#DIV/0!</v>
      </c>
    </row>
    <row r="132" spans="1:11" hidden="1" x14ac:dyDescent="0.3">
      <c r="A132" s="177" t="s">
        <v>162</v>
      </c>
      <c r="B132" s="177" t="s">
        <v>163</v>
      </c>
      <c r="C132" s="201" t="s">
        <v>422</v>
      </c>
      <c r="D132" s="88" t="s">
        <v>423</v>
      </c>
      <c r="E132" s="178">
        <f>VLOOKUP(C132,'FERC TB 2024'!D142:S595,16,FALSE)/1000</f>
        <v>205543.62083469061</v>
      </c>
      <c r="F132" s="178">
        <f>VLOOKUP(C132,'FERC TB 2025'!D142:R595,15,FALSE)/1000</f>
        <v>30625.911323560202</v>
      </c>
      <c r="G132" s="191">
        <f t="shared" ref="G132:G195" si="4">F132-E132</f>
        <v>-174917.70951113041</v>
      </c>
      <c r="H132" s="206">
        <f t="shared" ref="H132:H195" si="5">G132/E132</f>
        <v>-0.85100042901262685</v>
      </c>
    </row>
    <row r="133" spans="1:11" hidden="1" x14ac:dyDescent="0.3">
      <c r="A133" s="177" t="s">
        <v>162</v>
      </c>
      <c r="B133" s="177" t="s">
        <v>163</v>
      </c>
      <c r="C133" s="201" t="s">
        <v>424</v>
      </c>
      <c r="D133" s="88" t="s">
        <v>425</v>
      </c>
      <c r="E133" s="178">
        <f>VLOOKUP(C133,'FERC TB 2024'!D143:S596,16,FALSE)/1000</f>
        <v>-45404.653906296997</v>
      </c>
      <c r="F133" s="178">
        <f>VLOOKUP(C133,'FERC TB 2025'!D143:R596,15,FALSE)/1000</f>
        <v>-47557.770769995695</v>
      </c>
      <c r="G133" s="191">
        <f t="shared" si="4"/>
        <v>-2153.1168636986986</v>
      </c>
      <c r="H133" s="206">
        <f t="shared" si="5"/>
        <v>4.7420620541280926E-2</v>
      </c>
    </row>
    <row r="134" spans="1:11" hidden="1" x14ac:dyDescent="0.3">
      <c r="A134" s="177" t="s">
        <v>162</v>
      </c>
      <c r="B134" s="177" t="s">
        <v>163</v>
      </c>
      <c r="C134" s="201" t="s">
        <v>426</v>
      </c>
      <c r="D134" s="88" t="s">
        <v>427</v>
      </c>
      <c r="E134" s="178">
        <f>VLOOKUP(C134,'FERC TB 2024'!D144:S597,16,FALSE)/1000</f>
        <v>228645.54823791859</v>
      </c>
      <c r="F134" s="178">
        <f>VLOOKUP(C134,'FERC TB 2025'!D144:R597,15,FALSE)/1000</f>
        <v>228358.66272111071</v>
      </c>
      <c r="G134" s="191">
        <f t="shared" si="4"/>
        <v>-286.8855168078735</v>
      </c>
      <c r="H134" s="206">
        <f t="shared" si="5"/>
        <v>-1.2547172644242911E-3</v>
      </c>
    </row>
    <row r="135" spans="1:11" hidden="1" x14ac:dyDescent="0.3">
      <c r="A135" s="177" t="s">
        <v>162</v>
      </c>
      <c r="B135" s="177" t="s">
        <v>163</v>
      </c>
      <c r="C135" s="201" t="s">
        <v>428</v>
      </c>
      <c r="D135" s="88" t="s">
        <v>429</v>
      </c>
      <c r="E135" s="178">
        <f>VLOOKUP(C135,'FERC TB 2024'!D145:S598,16,FALSE)/1000</f>
        <v>163.82504621480001</v>
      </c>
      <c r="F135" s="178">
        <f>VLOOKUP(C135,'FERC TB 2025'!D145:R598,15,FALSE)/1000</f>
        <v>168.14008708920002</v>
      </c>
      <c r="G135" s="191">
        <f t="shared" si="4"/>
        <v>4.3150408744000117</v>
      </c>
      <c r="H135" s="206">
        <f t="shared" si="5"/>
        <v>2.6339323406888132E-2</v>
      </c>
    </row>
    <row r="136" spans="1:11" x14ac:dyDescent="0.3">
      <c r="A136" s="177" t="s">
        <v>162</v>
      </c>
      <c r="B136" s="177" t="s">
        <v>163</v>
      </c>
      <c r="C136" s="201" t="s">
        <v>430</v>
      </c>
      <c r="D136" s="88" t="s">
        <v>431</v>
      </c>
      <c r="E136" s="241">
        <f>VLOOKUP(C136,'FERC TB 2024'!D146:S599,16,FALSE)/1000</f>
        <v>63403.633000000002</v>
      </c>
      <c r="F136" s="241">
        <f>VLOOKUP(C136,'FERC TB 2025'!D146:R599,15,FALSE)/1000</f>
        <v>27444.324510000002</v>
      </c>
      <c r="G136" s="240">
        <f t="shared" si="4"/>
        <v>-35959.308489999996</v>
      </c>
      <c r="H136" s="206">
        <f t="shared" si="5"/>
        <v>-0.5671490226750886</v>
      </c>
      <c r="I136" t="s">
        <v>1576</v>
      </c>
      <c r="J136" s="245" t="s">
        <v>1577</v>
      </c>
      <c r="K136" t="s">
        <v>1578</v>
      </c>
    </row>
    <row r="137" spans="1:11" hidden="1" x14ac:dyDescent="0.3">
      <c r="A137" s="177" t="s">
        <v>162</v>
      </c>
      <c r="B137" s="177" t="s">
        <v>163</v>
      </c>
      <c r="C137" s="201" t="s">
        <v>432</v>
      </c>
      <c r="D137" s="88" t="s">
        <v>433</v>
      </c>
      <c r="E137" s="178">
        <f>VLOOKUP(C137,'FERC TB 2024'!D147:S600,16,FALSE)/1000</f>
        <v>5658.4639999999999</v>
      </c>
      <c r="F137" s="178">
        <f>VLOOKUP(C137,'FERC TB 2025'!D147:R600,15,FALSE)/1000</f>
        <v>5194.3302300000005</v>
      </c>
      <c r="G137" s="191">
        <f t="shared" si="4"/>
        <v>-464.13376999999946</v>
      </c>
      <c r="H137" s="206">
        <f t="shared" si="5"/>
        <v>-8.2024692566745938E-2</v>
      </c>
    </row>
    <row r="138" spans="1:11" hidden="1" x14ac:dyDescent="0.3">
      <c r="A138" s="177" t="s">
        <v>162</v>
      </c>
      <c r="B138" s="177" t="s">
        <v>163</v>
      </c>
      <c r="C138" s="201" t="s">
        <v>434</v>
      </c>
      <c r="D138" s="88" t="s">
        <v>435</v>
      </c>
      <c r="E138" s="178">
        <f>VLOOKUP(C138,'FERC TB 2024'!D148:S601,16,FALSE)/1000</f>
        <v>0</v>
      </c>
      <c r="F138" s="178">
        <f>VLOOKUP(C138,'FERC TB 2025'!D148:R601,15,FALSE)/1000</f>
        <v>0</v>
      </c>
      <c r="G138" s="191">
        <f t="shared" si="4"/>
        <v>0</v>
      </c>
      <c r="H138" s="206" t="e">
        <f t="shared" si="5"/>
        <v>#DIV/0!</v>
      </c>
    </row>
    <row r="139" spans="1:11" hidden="1" x14ac:dyDescent="0.3">
      <c r="A139" s="177" t="s">
        <v>162</v>
      </c>
      <c r="B139" s="177" t="s">
        <v>163</v>
      </c>
      <c r="C139" s="201" t="s">
        <v>436</v>
      </c>
      <c r="D139" s="88" t="s">
        <v>437</v>
      </c>
      <c r="E139" s="178">
        <f>VLOOKUP(C139,'FERC TB 2024'!D149:S602,16,FALSE)/1000</f>
        <v>120840.557</v>
      </c>
      <c r="F139" s="178">
        <f>VLOOKUP(C139,'FERC TB 2025'!D149:R602,15,FALSE)/1000</f>
        <v>125896.26658</v>
      </c>
      <c r="G139" s="191">
        <f t="shared" si="4"/>
        <v>5055.7095799999952</v>
      </c>
      <c r="H139" s="206">
        <f t="shared" si="5"/>
        <v>4.1837853991354867E-2</v>
      </c>
    </row>
    <row r="140" spans="1:11" hidden="1" x14ac:dyDescent="0.3">
      <c r="A140" s="177" t="s">
        <v>162</v>
      </c>
      <c r="B140" s="177" t="s">
        <v>163</v>
      </c>
      <c r="C140" s="201" t="s">
        <v>438</v>
      </c>
      <c r="D140" s="88" t="s">
        <v>439</v>
      </c>
      <c r="E140" s="178">
        <f>VLOOKUP(C140,'FERC TB 2024'!D150:S603,16,FALSE)/1000</f>
        <v>0</v>
      </c>
      <c r="F140" s="178">
        <f>VLOOKUP(C140,'FERC TB 2025'!D150:R603,15,FALSE)/1000</f>
        <v>0</v>
      </c>
      <c r="G140" s="191">
        <f t="shared" si="4"/>
        <v>0</v>
      </c>
      <c r="H140" s="206" t="e">
        <f t="shared" si="5"/>
        <v>#DIV/0!</v>
      </c>
    </row>
    <row r="141" spans="1:11" x14ac:dyDescent="0.3">
      <c r="A141" s="177" t="s">
        <v>162</v>
      </c>
      <c r="B141" s="177" t="s">
        <v>163</v>
      </c>
      <c r="C141" s="201" t="s">
        <v>440</v>
      </c>
      <c r="D141" s="88" t="s">
        <v>441</v>
      </c>
      <c r="E141" s="241">
        <f>VLOOKUP(C141,'FERC TB 2024'!D151:S604,16,FALSE)/1000</f>
        <v>-124087.531</v>
      </c>
      <c r="F141" s="241">
        <f>VLOOKUP(C141,'FERC TB 2025'!D151:R604,15,FALSE)/1000</f>
        <v>-111612.58183</v>
      </c>
      <c r="G141" s="240">
        <f t="shared" si="4"/>
        <v>12474.949170000007</v>
      </c>
      <c r="H141" s="206">
        <f t="shared" si="5"/>
        <v>-0.10053346270545109</v>
      </c>
      <c r="I141" t="s">
        <v>1576</v>
      </c>
      <c r="J141" t="s">
        <v>1579</v>
      </c>
    </row>
    <row r="142" spans="1:11" hidden="1" x14ac:dyDescent="0.3">
      <c r="A142" s="177" t="s">
        <v>162</v>
      </c>
      <c r="B142" s="177" t="s">
        <v>163</v>
      </c>
      <c r="C142" s="201" t="s">
        <v>442</v>
      </c>
      <c r="D142" s="88" t="s">
        <v>443</v>
      </c>
      <c r="E142" s="178">
        <f>VLOOKUP(C142,'FERC TB 2024'!D152:S605,16,FALSE)/1000</f>
        <v>0</v>
      </c>
      <c r="F142" s="178">
        <f>VLOOKUP(C142,'FERC TB 2025'!D152:R605,15,FALSE)/1000</f>
        <v>0</v>
      </c>
      <c r="G142" s="191">
        <f t="shared" si="4"/>
        <v>0</v>
      </c>
      <c r="H142" s="206" t="e">
        <f t="shared" si="5"/>
        <v>#DIV/0!</v>
      </c>
    </row>
    <row r="143" spans="1:11" x14ac:dyDescent="0.3">
      <c r="A143" s="177" t="s">
        <v>162</v>
      </c>
      <c r="B143" s="177" t="s">
        <v>163</v>
      </c>
      <c r="C143" s="201" t="s">
        <v>444</v>
      </c>
      <c r="D143" s="88" t="s">
        <v>445</v>
      </c>
      <c r="E143" s="241">
        <f>VLOOKUP(C143,'FERC TB 2024'!D153:S606,16,FALSE)/1000</f>
        <v>-8220.5220000000008</v>
      </c>
      <c r="F143" s="241">
        <f>VLOOKUP(C143,'FERC TB 2025'!D153:R606,15,FALSE)/1000</f>
        <v>-12876.021000000001</v>
      </c>
      <c r="G143" s="240">
        <f t="shared" si="4"/>
        <v>-4655.4989999999998</v>
      </c>
      <c r="H143" s="206">
        <f t="shared" si="5"/>
        <v>0.56632644496298401</v>
      </c>
      <c r="I143" t="s">
        <v>1576</v>
      </c>
      <c r="J143" t="s">
        <v>1580</v>
      </c>
    </row>
    <row r="144" spans="1:11" hidden="1" x14ac:dyDescent="0.3">
      <c r="A144" s="177" t="s">
        <v>162</v>
      </c>
      <c r="B144" s="177" t="s">
        <v>163</v>
      </c>
      <c r="C144" s="201" t="s">
        <v>446</v>
      </c>
      <c r="D144" s="88" t="s">
        <v>447</v>
      </c>
      <c r="E144" s="178">
        <f>VLOOKUP(C144,'FERC TB 2024'!D154:S607,16,FALSE)/1000</f>
        <v>-1.2E-2</v>
      </c>
      <c r="F144" s="178">
        <f>VLOOKUP(C144,'FERC TB 2025'!D154:R607,15,FALSE)/1000</f>
        <v>-11.135</v>
      </c>
      <c r="G144" s="191">
        <f t="shared" si="4"/>
        <v>-11.122999999999999</v>
      </c>
      <c r="H144" s="206">
        <f>G144/E144</f>
        <v>926.91666666666663</v>
      </c>
    </row>
    <row r="145" spans="1:8" hidden="1" x14ac:dyDescent="0.3">
      <c r="A145" s="177" t="s">
        <v>162</v>
      </c>
      <c r="B145" s="177" t="s">
        <v>163</v>
      </c>
      <c r="C145" s="201" t="s">
        <v>448</v>
      </c>
      <c r="D145" s="88" t="s">
        <v>449</v>
      </c>
      <c r="E145" s="178">
        <f>VLOOKUP(C145,'FERC TB 2024'!D155:S608,16,FALSE)/1000</f>
        <v>0</v>
      </c>
      <c r="F145" s="178">
        <f>VLOOKUP(C145,'FERC TB 2025'!D155:R608,15,FALSE)/1000</f>
        <v>0</v>
      </c>
      <c r="G145" s="191">
        <f t="shared" si="4"/>
        <v>0</v>
      </c>
      <c r="H145" s="206" t="e">
        <f t="shared" si="5"/>
        <v>#DIV/0!</v>
      </c>
    </row>
    <row r="146" spans="1:8" hidden="1" x14ac:dyDescent="0.3">
      <c r="A146" s="177" t="s">
        <v>162</v>
      </c>
      <c r="B146" s="177" t="s">
        <v>163</v>
      </c>
      <c r="C146" s="201" t="s">
        <v>450</v>
      </c>
      <c r="D146" s="88" t="s">
        <v>451</v>
      </c>
      <c r="E146" s="178">
        <f>VLOOKUP(C146,'FERC TB 2024'!D156:S609,16,FALSE)/1000</f>
        <v>0</v>
      </c>
      <c r="F146" s="178">
        <f>VLOOKUP(C146,'FERC TB 2025'!D156:R609,15,FALSE)/1000</f>
        <v>0</v>
      </c>
      <c r="G146" s="191">
        <f t="shared" si="4"/>
        <v>0</v>
      </c>
      <c r="H146" s="206" t="e">
        <f t="shared" si="5"/>
        <v>#DIV/0!</v>
      </c>
    </row>
    <row r="147" spans="1:8" hidden="1" x14ac:dyDescent="0.3">
      <c r="A147" s="177" t="s">
        <v>162</v>
      </c>
      <c r="B147" s="177" t="s">
        <v>163</v>
      </c>
      <c r="C147" s="201" t="s">
        <v>452</v>
      </c>
      <c r="D147" s="88" t="s">
        <v>453</v>
      </c>
      <c r="E147" s="178">
        <f>VLOOKUP(C147,'FERC TB 2024'!D157:S610,16,FALSE)/1000</f>
        <v>3582.5540000000001</v>
      </c>
      <c r="F147" s="178">
        <f>VLOOKUP(C147,'FERC TB 2025'!D157:R610,15,FALSE)/1000</f>
        <v>3582.5540000000001</v>
      </c>
      <c r="G147" s="191">
        <f t="shared" si="4"/>
        <v>0</v>
      </c>
      <c r="H147" s="206">
        <f t="shared" si="5"/>
        <v>0</v>
      </c>
    </row>
    <row r="148" spans="1:8" hidden="1" x14ac:dyDescent="0.3">
      <c r="A148" s="177" t="s">
        <v>162</v>
      </c>
      <c r="B148" s="177" t="s">
        <v>163</v>
      </c>
      <c r="C148" s="201" t="s">
        <v>454</v>
      </c>
      <c r="D148" s="88" t="s">
        <v>455</v>
      </c>
      <c r="E148" s="178">
        <f>VLOOKUP(C148,'FERC TB 2024'!D158:S611,16,FALSE)/1000</f>
        <v>0</v>
      </c>
      <c r="F148" s="178">
        <f>VLOOKUP(C148,'FERC TB 2025'!D158:R611,15,FALSE)/1000</f>
        <v>0</v>
      </c>
      <c r="G148" s="191">
        <f t="shared" si="4"/>
        <v>0</v>
      </c>
      <c r="H148" s="206" t="e">
        <f t="shared" si="5"/>
        <v>#DIV/0!</v>
      </c>
    </row>
    <row r="149" spans="1:8" hidden="1" x14ac:dyDescent="0.3">
      <c r="A149" s="177" t="s">
        <v>162</v>
      </c>
      <c r="B149" s="177" t="s">
        <v>163</v>
      </c>
      <c r="C149" s="201" t="s">
        <v>456</v>
      </c>
      <c r="D149" s="88" t="s">
        <v>457</v>
      </c>
      <c r="E149" s="178">
        <f>VLOOKUP(C149,'FERC TB 2024'!D159:S612,16,FALSE)/1000</f>
        <v>0</v>
      </c>
      <c r="F149" s="178">
        <f>VLOOKUP(C149,'FERC TB 2025'!D159:R612,15,FALSE)/1000</f>
        <v>0</v>
      </c>
      <c r="G149" s="191">
        <f t="shared" si="4"/>
        <v>0</v>
      </c>
      <c r="H149" s="206" t="e">
        <f t="shared" si="5"/>
        <v>#DIV/0!</v>
      </c>
    </row>
    <row r="150" spans="1:8" hidden="1" x14ac:dyDescent="0.3">
      <c r="A150" s="177" t="s">
        <v>162</v>
      </c>
      <c r="B150" s="177" t="s">
        <v>163</v>
      </c>
      <c r="C150" s="201" t="s">
        <v>458</v>
      </c>
      <c r="D150" s="88" t="s">
        <v>459</v>
      </c>
      <c r="E150" s="178">
        <f>VLOOKUP(C150,'FERC TB 2024'!D160:S613,16,FALSE)/1000</f>
        <v>0</v>
      </c>
      <c r="F150" s="178">
        <f>VLOOKUP(C150,'FERC TB 2025'!D160:R613,15,FALSE)/1000</f>
        <v>0</v>
      </c>
      <c r="G150" s="191">
        <f t="shared" si="4"/>
        <v>0</v>
      </c>
      <c r="H150" s="206" t="e">
        <f t="shared" si="5"/>
        <v>#DIV/0!</v>
      </c>
    </row>
    <row r="151" spans="1:8" hidden="1" x14ac:dyDescent="0.3">
      <c r="A151" s="177" t="s">
        <v>162</v>
      </c>
      <c r="B151" s="177" t="s">
        <v>163</v>
      </c>
      <c r="C151" s="201" t="s">
        <v>460</v>
      </c>
      <c r="D151" s="88" t="s">
        <v>461</v>
      </c>
      <c r="E151" s="178">
        <f>VLOOKUP(C151,'FERC TB 2024'!D161:S614,16,FALSE)/1000</f>
        <v>0</v>
      </c>
      <c r="F151" s="178">
        <f>VLOOKUP(C151,'FERC TB 2025'!D161:R614,15,FALSE)/1000</f>
        <v>0</v>
      </c>
      <c r="G151" s="191">
        <f t="shared" si="4"/>
        <v>0</v>
      </c>
      <c r="H151" s="206" t="e">
        <f t="shared" si="5"/>
        <v>#DIV/0!</v>
      </c>
    </row>
    <row r="152" spans="1:8" hidden="1" x14ac:dyDescent="0.3">
      <c r="A152" s="177" t="s">
        <v>162</v>
      </c>
      <c r="B152" s="177" t="s">
        <v>163</v>
      </c>
      <c r="C152" s="201" t="s">
        <v>462</v>
      </c>
      <c r="D152" s="88" t="s">
        <v>463</v>
      </c>
      <c r="E152" s="178">
        <f>VLOOKUP(C152,'FERC TB 2024'!D162:S615,16,FALSE)/1000</f>
        <v>10710.9</v>
      </c>
      <c r="F152" s="178">
        <f>VLOOKUP(C152,'FERC TB 2025'!D162:R615,15,FALSE)/1000</f>
        <v>10710.9</v>
      </c>
      <c r="G152" s="191">
        <f t="shared" si="4"/>
        <v>0</v>
      </c>
      <c r="H152" s="206">
        <f t="shared" si="5"/>
        <v>0</v>
      </c>
    </row>
    <row r="153" spans="1:8" hidden="1" x14ac:dyDescent="0.3">
      <c r="A153" s="177" t="s">
        <v>162</v>
      </c>
      <c r="B153" s="177" t="s">
        <v>163</v>
      </c>
      <c r="C153" s="201" t="s">
        <v>464</v>
      </c>
      <c r="D153" s="88" t="s">
        <v>465</v>
      </c>
      <c r="E153" s="178">
        <f>VLOOKUP(C153,'FERC TB 2024'!D163:S616,16,FALSE)/1000</f>
        <v>4370.4660302118009</v>
      </c>
      <c r="F153" s="178">
        <f>VLOOKUP(C153,'FERC TB 2025'!D163:R616,15,FALSE)/1000</f>
        <v>4564.8983291793002</v>
      </c>
      <c r="G153" s="191">
        <f t="shared" si="4"/>
        <v>194.43229896749926</v>
      </c>
      <c r="H153" s="206">
        <f t="shared" si="5"/>
        <v>4.4487772613593962E-2</v>
      </c>
    </row>
    <row r="154" spans="1:8" hidden="1" x14ac:dyDescent="0.3">
      <c r="A154" s="177" t="s">
        <v>162</v>
      </c>
      <c r="B154" s="177" t="s">
        <v>163</v>
      </c>
      <c r="C154" s="201" t="s">
        <v>466</v>
      </c>
      <c r="D154" s="88" t="s">
        <v>467</v>
      </c>
      <c r="E154" s="178">
        <f>VLOOKUP(C154,'FERC TB 2024'!D164:S617,16,FALSE)/1000</f>
        <v>0</v>
      </c>
      <c r="F154" s="178">
        <f>VLOOKUP(C154,'FERC TB 2025'!D164:R617,15,FALSE)/1000</f>
        <v>0</v>
      </c>
      <c r="G154" s="191">
        <f t="shared" si="4"/>
        <v>0</v>
      </c>
      <c r="H154" s="206" t="e">
        <f t="shared" si="5"/>
        <v>#DIV/0!</v>
      </c>
    </row>
    <row r="155" spans="1:8" hidden="1" x14ac:dyDescent="0.3">
      <c r="A155" s="177" t="s">
        <v>162</v>
      </c>
      <c r="B155" s="177" t="s">
        <v>163</v>
      </c>
      <c r="C155" s="201" t="s">
        <v>468</v>
      </c>
      <c r="D155" s="88" t="s">
        <v>469</v>
      </c>
      <c r="E155" s="178">
        <f>VLOOKUP(C155,'FERC TB 2024'!D165:S618,16,FALSE)/1000</f>
        <v>0</v>
      </c>
      <c r="F155" s="178">
        <f>VLOOKUP(C155,'FERC TB 2025'!D165:R618,15,FALSE)/1000</f>
        <v>0</v>
      </c>
      <c r="G155" s="191">
        <f t="shared" si="4"/>
        <v>0</v>
      </c>
      <c r="H155" s="206" t="e">
        <f t="shared" si="5"/>
        <v>#DIV/0!</v>
      </c>
    </row>
    <row r="156" spans="1:8" hidden="1" x14ac:dyDescent="0.3">
      <c r="A156" s="177" t="s">
        <v>162</v>
      </c>
      <c r="B156" s="177" t="s">
        <v>163</v>
      </c>
      <c r="C156" s="201" t="s">
        <v>470</v>
      </c>
      <c r="D156" s="88" t="s">
        <v>471</v>
      </c>
      <c r="E156" s="178">
        <f>VLOOKUP(C156,'FERC TB 2024'!D166:S619,16,FALSE)/1000</f>
        <v>0</v>
      </c>
      <c r="F156" s="178">
        <f>VLOOKUP(C156,'FERC TB 2025'!D166:R619,15,FALSE)/1000</f>
        <v>0</v>
      </c>
      <c r="G156" s="191">
        <f t="shared" si="4"/>
        <v>0</v>
      </c>
      <c r="H156" s="206" t="e">
        <f t="shared" si="5"/>
        <v>#DIV/0!</v>
      </c>
    </row>
    <row r="157" spans="1:8" hidden="1" x14ac:dyDescent="0.3">
      <c r="A157" s="177" t="s">
        <v>162</v>
      </c>
      <c r="B157" s="177" t="s">
        <v>163</v>
      </c>
      <c r="C157" s="201" t="s">
        <v>472</v>
      </c>
      <c r="D157" s="88" t="s">
        <v>473</v>
      </c>
      <c r="E157" s="178">
        <f>VLOOKUP(C157,'FERC TB 2024'!D167:S620,16,FALSE)/1000</f>
        <v>0</v>
      </c>
      <c r="F157" s="178">
        <f>VLOOKUP(C157,'FERC TB 2025'!D167:R620,15,FALSE)/1000</f>
        <v>0</v>
      </c>
      <c r="G157" s="191">
        <f t="shared" si="4"/>
        <v>0</v>
      </c>
      <c r="H157" s="206" t="e">
        <f t="shared" si="5"/>
        <v>#DIV/0!</v>
      </c>
    </row>
    <row r="158" spans="1:8" hidden="1" x14ac:dyDescent="0.3">
      <c r="A158" s="177" t="s">
        <v>162</v>
      </c>
      <c r="B158" s="177" t="s">
        <v>163</v>
      </c>
      <c r="C158" s="201" t="s">
        <v>474</v>
      </c>
      <c r="D158" s="88" t="s">
        <v>475</v>
      </c>
      <c r="E158" s="178">
        <f>VLOOKUP(C158,'FERC TB 2024'!D168:S621,16,FALSE)/1000</f>
        <v>5973.5093699998006</v>
      </c>
      <c r="F158" s="178">
        <f>VLOOKUP(C158,'FERC TB 2025'!D168:R621,15,FALSE)/1000</f>
        <v>5724.9380000000001</v>
      </c>
      <c r="G158" s="191">
        <f t="shared" si="4"/>
        <v>-248.57136999980048</v>
      </c>
      <c r="H158" s="206">
        <f t="shared" si="5"/>
        <v>-4.1612284270981029E-2</v>
      </c>
    </row>
    <row r="159" spans="1:8" hidden="1" x14ac:dyDescent="0.3">
      <c r="A159" s="177" t="s">
        <v>162</v>
      </c>
      <c r="B159" s="177" t="s">
        <v>163</v>
      </c>
      <c r="C159" s="201" t="s">
        <v>476</v>
      </c>
      <c r="D159" s="88" t="s">
        <v>477</v>
      </c>
      <c r="E159" s="178">
        <f>VLOOKUP(C159,'FERC TB 2024'!D169:S622,16,FALSE)/1000</f>
        <v>30760.259759999997</v>
      </c>
      <c r="F159" s="178">
        <f>VLOOKUP(C159,'FERC TB 2025'!D169:R622,15,FALSE)/1000</f>
        <v>35354.521159999997</v>
      </c>
      <c r="G159" s="191">
        <f t="shared" si="4"/>
        <v>4594.2613999999994</v>
      </c>
      <c r="H159" s="206">
        <f t="shared" si="5"/>
        <v>0.1493570417104956</v>
      </c>
    </row>
    <row r="160" spans="1:8" hidden="1" x14ac:dyDescent="0.3">
      <c r="A160" s="177" t="s">
        <v>162</v>
      </c>
      <c r="B160" s="177" t="s">
        <v>163</v>
      </c>
      <c r="C160" s="201" t="s">
        <v>478</v>
      </c>
      <c r="D160" s="88" t="s">
        <v>479</v>
      </c>
      <c r="E160" s="178">
        <f>VLOOKUP(C160,'FERC TB 2024'!D170:S623,16,FALSE)/1000</f>
        <v>0</v>
      </c>
      <c r="F160" s="178">
        <f>VLOOKUP(C160,'FERC TB 2025'!D170:R623,15,FALSE)/1000</f>
        <v>0</v>
      </c>
      <c r="G160" s="191">
        <f t="shared" si="4"/>
        <v>0</v>
      </c>
      <c r="H160" s="206" t="e">
        <f t="shared" si="5"/>
        <v>#DIV/0!</v>
      </c>
    </row>
    <row r="161" spans="1:8" hidden="1" x14ac:dyDescent="0.3">
      <c r="A161" s="177" t="s">
        <v>162</v>
      </c>
      <c r="B161" s="177" t="s">
        <v>163</v>
      </c>
      <c r="C161" s="201" t="s">
        <v>480</v>
      </c>
      <c r="D161" s="88" t="s">
        <v>481</v>
      </c>
      <c r="E161" s="178">
        <f>VLOOKUP(C161,'FERC TB 2024'!D171:S624,16,FALSE)/1000</f>
        <v>2109.5259999999998</v>
      </c>
      <c r="F161" s="178">
        <f>VLOOKUP(C161,'FERC TB 2025'!D171:R624,15,FALSE)/1000</f>
        <v>286.43700000000001</v>
      </c>
      <c r="G161" s="191">
        <f t="shared" si="4"/>
        <v>-1823.0889999999999</v>
      </c>
      <c r="H161" s="206">
        <f t="shared" si="5"/>
        <v>-0.86421736446955388</v>
      </c>
    </row>
    <row r="162" spans="1:8" hidden="1" x14ac:dyDescent="0.3">
      <c r="A162" s="177" t="s">
        <v>162</v>
      </c>
      <c r="B162" s="177" t="s">
        <v>163</v>
      </c>
      <c r="C162" s="201" t="s">
        <v>482</v>
      </c>
      <c r="D162" s="88" t="s">
        <v>483</v>
      </c>
      <c r="E162" s="178">
        <f>VLOOKUP(C162,'FERC TB 2024'!D172:S625,16,FALSE)/1000</f>
        <v>2002.9466000000007</v>
      </c>
      <c r="F162" s="178">
        <f>VLOOKUP(C162,'FERC TB 2025'!D172:R625,15,FALSE)/1000</f>
        <v>0</v>
      </c>
      <c r="G162" s="191">
        <f t="shared" si="4"/>
        <v>-2002.9466000000007</v>
      </c>
      <c r="H162" s="206">
        <f t="shared" si="5"/>
        <v>-1</v>
      </c>
    </row>
    <row r="163" spans="1:8" hidden="1" x14ac:dyDescent="0.3">
      <c r="A163" s="177" t="s">
        <v>162</v>
      </c>
      <c r="B163" s="177" t="s">
        <v>163</v>
      </c>
      <c r="C163" s="201" t="s">
        <v>484</v>
      </c>
      <c r="D163" s="88" t="s">
        <v>485</v>
      </c>
      <c r="E163" s="178">
        <f>VLOOKUP(C163,'FERC TB 2024'!D173:S626,16,FALSE)/1000</f>
        <v>0</v>
      </c>
      <c r="F163" s="178">
        <f>VLOOKUP(C163,'FERC TB 2025'!D173:R626,15,FALSE)/1000</f>
        <v>0</v>
      </c>
      <c r="G163" s="191">
        <f t="shared" si="4"/>
        <v>0</v>
      </c>
      <c r="H163" s="206" t="e">
        <f t="shared" si="5"/>
        <v>#DIV/0!</v>
      </c>
    </row>
    <row r="164" spans="1:8" hidden="1" x14ac:dyDescent="0.3">
      <c r="A164" s="177" t="s">
        <v>162</v>
      </c>
      <c r="B164" s="177" t="s">
        <v>163</v>
      </c>
      <c r="C164" s="201" t="s">
        <v>486</v>
      </c>
      <c r="D164" s="88" t="s">
        <v>487</v>
      </c>
      <c r="E164" s="178">
        <f>VLOOKUP(C164,'FERC TB 2024'!D174:S627,16,FALSE)/1000</f>
        <v>50.959440000000008</v>
      </c>
      <c r="F164" s="178">
        <f>VLOOKUP(C164,'FERC TB 2025'!D174:R627,15,FALSE)/1000</f>
        <v>50.959440000000001</v>
      </c>
      <c r="G164" s="191">
        <f t="shared" si="4"/>
        <v>0</v>
      </c>
      <c r="H164" s="206">
        <f t="shared" si="5"/>
        <v>0</v>
      </c>
    </row>
    <row r="165" spans="1:8" hidden="1" x14ac:dyDescent="0.3">
      <c r="A165" s="177" t="s">
        <v>162</v>
      </c>
      <c r="B165" s="177" t="s">
        <v>163</v>
      </c>
      <c r="C165" s="201" t="s">
        <v>488</v>
      </c>
      <c r="D165" s="88" t="s">
        <v>489</v>
      </c>
      <c r="E165" s="178">
        <f>VLOOKUP(C165,'FERC TB 2024'!D175:S628,16,FALSE)/1000</f>
        <v>3600.03</v>
      </c>
      <c r="F165" s="178">
        <f>VLOOKUP(C165,'FERC TB 2025'!D175:R628,15,FALSE)/1000</f>
        <v>3055.03</v>
      </c>
      <c r="G165" s="191">
        <f t="shared" si="4"/>
        <v>-545</v>
      </c>
      <c r="H165" s="206">
        <f t="shared" si="5"/>
        <v>-0.15138762732532784</v>
      </c>
    </row>
    <row r="166" spans="1:8" hidden="1" x14ac:dyDescent="0.3">
      <c r="A166" s="177" t="s">
        <v>162</v>
      </c>
      <c r="B166" s="177" t="s">
        <v>163</v>
      </c>
      <c r="C166" s="201" t="s">
        <v>490</v>
      </c>
      <c r="D166" s="88" t="s">
        <v>491</v>
      </c>
      <c r="E166" s="178">
        <f>VLOOKUP(C166,'FERC TB 2024'!D176:S629,16,FALSE)/1000</f>
        <v>0</v>
      </c>
      <c r="F166" s="178">
        <f>VLOOKUP(C166,'FERC TB 2025'!D176:R629,15,FALSE)/1000</f>
        <v>0</v>
      </c>
      <c r="G166" s="191">
        <f t="shared" si="4"/>
        <v>0</v>
      </c>
      <c r="H166" s="206" t="e">
        <f t="shared" si="5"/>
        <v>#DIV/0!</v>
      </c>
    </row>
    <row r="167" spans="1:8" hidden="1" x14ac:dyDescent="0.3">
      <c r="A167" s="177" t="s">
        <v>162</v>
      </c>
      <c r="B167" s="177" t="s">
        <v>163</v>
      </c>
      <c r="C167" s="201" t="s">
        <v>492</v>
      </c>
      <c r="D167" s="88" t="s">
        <v>493</v>
      </c>
      <c r="E167" s="178">
        <f>VLOOKUP(C167,'FERC TB 2024'!D177:S630,16,FALSE)/1000</f>
        <v>75</v>
      </c>
      <c r="F167" s="178">
        <f>VLOOKUP(C167,'FERC TB 2025'!D177:R630,15,FALSE)/1000</f>
        <v>75</v>
      </c>
      <c r="G167" s="191">
        <f t="shared" si="4"/>
        <v>0</v>
      </c>
      <c r="H167" s="206">
        <f t="shared" si="5"/>
        <v>0</v>
      </c>
    </row>
    <row r="168" spans="1:8" hidden="1" x14ac:dyDescent="0.3">
      <c r="A168" s="177" t="s">
        <v>162</v>
      </c>
      <c r="B168" s="177" t="s">
        <v>163</v>
      </c>
      <c r="C168" s="201" t="s">
        <v>494</v>
      </c>
      <c r="D168" s="88" t="s">
        <v>495</v>
      </c>
      <c r="E168" s="178">
        <f>VLOOKUP(C168,'FERC TB 2024'!D178:S631,16,FALSE)/1000</f>
        <v>124.485</v>
      </c>
      <c r="F168" s="178">
        <f>VLOOKUP(C168,'FERC TB 2025'!D178:R631,15,FALSE)/1000</f>
        <v>124.485</v>
      </c>
      <c r="G168" s="191">
        <f t="shared" si="4"/>
        <v>0</v>
      </c>
      <c r="H168" s="206">
        <f t="shared" si="5"/>
        <v>0</v>
      </c>
    </row>
    <row r="169" spans="1:8" hidden="1" x14ac:dyDescent="0.3">
      <c r="A169" s="177" t="s">
        <v>162</v>
      </c>
      <c r="B169" s="177" t="s">
        <v>163</v>
      </c>
      <c r="C169" s="201" t="s">
        <v>496</v>
      </c>
      <c r="D169" s="88" t="s">
        <v>497</v>
      </c>
      <c r="E169" s="178">
        <f>VLOOKUP(C169,'FERC TB 2024'!D179:S632,16,FALSE)/1000</f>
        <v>-78.522962477799993</v>
      </c>
      <c r="F169" s="178">
        <f>VLOOKUP(C169,'FERC TB 2025'!D179:R632,15,FALSE)/1000</f>
        <v>-78.034222371799999</v>
      </c>
      <c r="G169" s="191">
        <f t="shared" si="4"/>
        <v>0.48874010599999451</v>
      </c>
      <c r="H169" s="206">
        <f t="shared" si="5"/>
        <v>-6.224167944990245E-3</v>
      </c>
    </row>
    <row r="170" spans="1:8" hidden="1" x14ac:dyDescent="0.3">
      <c r="A170" s="177" t="s">
        <v>162</v>
      </c>
      <c r="B170" s="177" t="s">
        <v>163</v>
      </c>
      <c r="C170" s="201" t="s">
        <v>498</v>
      </c>
      <c r="D170" s="88" t="s">
        <v>499</v>
      </c>
      <c r="E170" s="178">
        <f>VLOOKUP(C170,'FERC TB 2024'!D180:S633,16,FALSE)/1000</f>
        <v>177406.94433333367</v>
      </c>
      <c r="F170" s="178">
        <f>VLOOKUP(C170,'FERC TB 2025'!D180:R633,15,FALSE)/1000</f>
        <v>191487.56599999979</v>
      </c>
      <c r="G170" s="191">
        <f t="shared" si="4"/>
        <v>14080.62166666612</v>
      </c>
      <c r="H170" s="206">
        <f t="shared" si="5"/>
        <v>7.936905581446542E-2</v>
      </c>
    </row>
    <row r="171" spans="1:8" hidden="1" x14ac:dyDescent="0.3">
      <c r="A171" s="177" t="s">
        <v>162</v>
      </c>
      <c r="B171" s="177" t="s">
        <v>163</v>
      </c>
      <c r="C171" s="201" t="s">
        <v>500</v>
      </c>
      <c r="D171" s="88" t="s">
        <v>501</v>
      </c>
      <c r="E171" s="178">
        <f>VLOOKUP(C171,'FERC TB 2024'!D181:S634,16,FALSE)/1000</f>
        <v>3567.8338900000003</v>
      </c>
      <c r="F171" s="178">
        <f>VLOOKUP(C171,'FERC TB 2025'!D181:R634,15,FALSE)/1000</f>
        <v>3554.607</v>
      </c>
      <c r="G171" s="191">
        <f t="shared" si="4"/>
        <v>-13.226890000000367</v>
      </c>
      <c r="H171" s="206">
        <f t="shared" si="5"/>
        <v>-3.7072605978302328E-3</v>
      </c>
    </row>
    <row r="172" spans="1:8" hidden="1" x14ac:dyDescent="0.3">
      <c r="A172" s="177" t="s">
        <v>162</v>
      </c>
      <c r="B172" s="177" t="s">
        <v>163</v>
      </c>
      <c r="C172" s="201" t="s">
        <v>502</v>
      </c>
      <c r="D172" s="88" t="s">
        <v>503</v>
      </c>
      <c r="E172" s="178">
        <f>VLOOKUP(C172,'FERC TB 2024'!D182:S635,16,FALSE)/1000</f>
        <v>382.15884</v>
      </c>
      <c r="F172" s="178">
        <f>VLOOKUP(C172,'FERC TB 2025'!D182:R635,15,FALSE)/1000</f>
        <v>382.15884</v>
      </c>
      <c r="G172" s="191">
        <f t="shared" si="4"/>
        <v>0</v>
      </c>
      <c r="H172" s="206">
        <f t="shared" si="5"/>
        <v>0</v>
      </c>
    </row>
    <row r="173" spans="1:8" hidden="1" x14ac:dyDescent="0.3">
      <c r="A173" s="177" t="s">
        <v>162</v>
      </c>
      <c r="B173" s="177" t="s">
        <v>163</v>
      </c>
      <c r="C173" s="201" t="s">
        <v>504</v>
      </c>
      <c r="D173" s="88" t="s">
        <v>505</v>
      </c>
      <c r="E173" s="178">
        <f>VLOOKUP(C173,'FERC TB 2024'!D183:S636,16,FALSE)/1000</f>
        <v>0</v>
      </c>
      <c r="F173" s="178">
        <f>VLOOKUP(C173,'FERC TB 2025'!D183:R636,15,FALSE)/1000</f>
        <v>0</v>
      </c>
      <c r="G173" s="191">
        <f t="shared" si="4"/>
        <v>0</v>
      </c>
      <c r="H173" s="206" t="e">
        <f t="shared" si="5"/>
        <v>#DIV/0!</v>
      </c>
    </row>
    <row r="174" spans="1:8" hidden="1" x14ac:dyDescent="0.3">
      <c r="A174" s="177" t="s">
        <v>162</v>
      </c>
      <c r="B174" s="177" t="s">
        <v>163</v>
      </c>
      <c r="C174" s="201" t="s">
        <v>506</v>
      </c>
      <c r="D174" s="88" t="s">
        <v>507</v>
      </c>
      <c r="E174" s="178">
        <f>VLOOKUP(C174,'FERC TB 2024'!D184:S637,16,FALSE)/1000</f>
        <v>0</v>
      </c>
      <c r="F174" s="178">
        <f>VLOOKUP(C174,'FERC TB 2025'!D184:R637,15,FALSE)/1000</f>
        <v>0</v>
      </c>
      <c r="G174" s="191">
        <f t="shared" si="4"/>
        <v>0</v>
      </c>
      <c r="H174" s="206" t="e">
        <f t="shared" si="5"/>
        <v>#DIV/0!</v>
      </c>
    </row>
    <row r="175" spans="1:8" hidden="1" x14ac:dyDescent="0.3">
      <c r="A175" s="177" t="s">
        <v>162</v>
      </c>
      <c r="B175" s="177" t="s">
        <v>163</v>
      </c>
      <c r="C175" s="201" t="s">
        <v>508</v>
      </c>
      <c r="D175" s="88" t="s">
        <v>509</v>
      </c>
      <c r="E175" s="178">
        <f>VLOOKUP(C175,'FERC TB 2024'!D185:S638,16,FALSE)/1000</f>
        <v>0</v>
      </c>
      <c r="F175" s="178">
        <f>VLOOKUP(C175,'FERC TB 2025'!D185:R638,15,FALSE)/1000</f>
        <v>0</v>
      </c>
      <c r="G175" s="191">
        <f t="shared" si="4"/>
        <v>0</v>
      </c>
      <c r="H175" s="206" t="e">
        <f t="shared" si="5"/>
        <v>#DIV/0!</v>
      </c>
    </row>
    <row r="176" spans="1:8" hidden="1" x14ac:dyDescent="0.3">
      <c r="A176" s="177" t="s">
        <v>162</v>
      </c>
      <c r="B176" s="177" t="s">
        <v>163</v>
      </c>
      <c r="C176" s="201" t="s">
        <v>510</v>
      </c>
      <c r="D176" s="88" t="s">
        <v>511</v>
      </c>
      <c r="E176" s="178">
        <f>VLOOKUP(C176,'FERC TB 2024'!D186:S639,16,FALSE)/1000</f>
        <v>19339.824679382902</v>
      </c>
      <c r="F176" s="178">
        <f>VLOOKUP(C176,'FERC TB 2025'!D186:R639,15,FALSE)/1000</f>
        <v>22638.365021924103</v>
      </c>
      <c r="G176" s="191">
        <f t="shared" si="4"/>
        <v>3298.5403425412005</v>
      </c>
      <c r="H176" s="206">
        <f t="shared" si="5"/>
        <v>0.1705568895905033</v>
      </c>
    </row>
    <row r="177" spans="1:8" hidden="1" x14ac:dyDescent="0.3">
      <c r="A177" s="177" t="s">
        <v>162</v>
      </c>
      <c r="B177" s="177" t="s">
        <v>163</v>
      </c>
      <c r="C177" s="201" t="s">
        <v>512</v>
      </c>
      <c r="D177" s="88" t="s">
        <v>513</v>
      </c>
      <c r="E177" s="178">
        <f>VLOOKUP(C177,'FERC TB 2024'!D187:S640,16,FALSE)/1000</f>
        <v>-10024.21608</v>
      </c>
      <c r="F177" s="178">
        <f>VLOOKUP(C177,'FERC TB 2025'!D187:R640,15,FALSE)/1000</f>
        <v>-11521.40331</v>
      </c>
      <c r="G177" s="191">
        <f t="shared" si="4"/>
        <v>-1497.1872299999995</v>
      </c>
      <c r="H177" s="206">
        <f t="shared" si="5"/>
        <v>0.1493570387999856</v>
      </c>
    </row>
    <row r="178" spans="1:8" hidden="1" x14ac:dyDescent="0.3">
      <c r="A178" s="177" t="s">
        <v>162</v>
      </c>
      <c r="B178" s="177" t="s">
        <v>163</v>
      </c>
      <c r="C178" s="201" t="s">
        <v>514</v>
      </c>
      <c r="D178" s="88" t="s">
        <v>515</v>
      </c>
      <c r="E178" s="178">
        <f>VLOOKUP(C178,'FERC TB 2024'!D188:S641,16,FALSE)/1000</f>
        <v>0</v>
      </c>
      <c r="F178" s="178">
        <f>VLOOKUP(C178,'FERC TB 2025'!D188:R641,15,FALSE)/1000</f>
        <v>0</v>
      </c>
      <c r="G178" s="191">
        <f t="shared" si="4"/>
        <v>0</v>
      </c>
      <c r="H178" s="206" t="e">
        <f t="shared" si="5"/>
        <v>#DIV/0!</v>
      </c>
    </row>
    <row r="179" spans="1:8" hidden="1" x14ac:dyDescent="0.3">
      <c r="A179" s="177" t="s">
        <v>162</v>
      </c>
      <c r="B179" s="177" t="s">
        <v>163</v>
      </c>
      <c r="C179" s="201" t="s">
        <v>516</v>
      </c>
      <c r="D179" s="88" t="s">
        <v>517</v>
      </c>
      <c r="E179" s="178">
        <f>VLOOKUP(C179,'FERC TB 2024'!D189:S642,16,FALSE)/1000</f>
        <v>0</v>
      </c>
      <c r="F179" s="178">
        <f>VLOOKUP(C179,'FERC TB 2025'!D189:R642,15,FALSE)/1000</f>
        <v>0</v>
      </c>
      <c r="G179" s="191">
        <f t="shared" si="4"/>
        <v>0</v>
      </c>
      <c r="H179" s="206" t="e">
        <f t="shared" si="5"/>
        <v>#DIV/0!</v>
      </c>
    </row>
    <row r="180" spans="1:8" hidden="1" x14ac:dyDescent="0.3">
      <c r="A180" s="177" t="s">
        <v>162</v>
      </c>
      <c r="B180" s="177" t="s">
        <v>163</v>
      </c>
      <c r="C180" s="201" t="s">
        <v>518</v>
      </c>
      <c r="D180" s="88" t="s">
        <v>519</v>
      </c>
      <c r="E180" s="178">
        <f>VLOOKUP(C180,'FERC TB 2024'!D190:S643,16,FALSE)/1000</f>
        <v>0</v>
      </c>
      <c r="F180" s="178">
        <f>VLOOKUP(C180,'FERC TB 2025'!D190:R643,15,FALSE)/1000</f>
        <v>0</v>
      </c>
      <c r="G180" s="191">
        <f t="shared" si="4"/>
        <v>0</v>
      </c>
      <c r="H180" s="206" t="e">
        <f t="shared" si="5"/>
        <v>#DIV/0!</v>
      </c>
    </row>
    <row r="181" spans="1:8" hidden="1" x14ac:dyDescent="0.3">
      <c r="A181" s="177" t="s">
        <v>162</v>
      </c>
      <c r="B181" s="177" t="s">
        <v>163</v>
      </c>
      <c r="C181" s="201" t="s">
        <v>520</v>
      </c>
      <c r="D181" s="88" t="s">
        <v>521</v>
      </c>
      <c r="E181" s="178">
        <f>VLOOKUP(C181,'FERC TB 2024'!D191:S644,16,FALSE)/1000</f>
        <v>0</v>
      </c>
      <c r="F181" s="178">
        <f>VLOOKUP(C181,'FERC TB 2025'!D191:R644,15,FALSE)/1000</f>
        <v>0</v>
      </c>
      <c r="G181" s="191">
        <f t="shared" si="4"/>
        <v>0</v>
      </c>
      <c r="H181" s="206" t="e">
        <f t="shared" si="5"/>
        <v>#DIV/0!</v>
      </c>
    </row>
    <row r="182" spans="1:8" hidden="1" x14ac:dyDescent="0.3">
      <c r="A182" s="177" t="s">
        <v>162</v>
      </c>
      <c r="B182" s="177" t="s">
        <v>163</v>
      </c>
      <c r="C182" s="201" t="s">
        <v>522</v>
      </c>
      <c r="D182" s="88" t="s">
        <v>523</v>
      </c>
      <c r="E182" s="178">
        <f>VLOOKUP(C182,'FERC TB 2024'!D192:S645,16,FALSE)/1000</f>
        <v>1545855.48915</v>
      </c>
      <c r="F182" s="178">
        <f>VLOOKUP(C182,'FERC TB 2025'!D192:R645,15,FALSE)/1000</f>
        <v>1515088.8052300001</v>
      </c>
      <c r="G182" s="191">
        <f t="shared" si="4"/>
        <v>-30766.683919999981</v>
      </c>
      <c r="H182" s="206">
        <f t="shared" si="5"/>
        <v>-1.990269086337253E-2</v>
      </c>
    </row>
    <row r="183" spans="1:8" hidden="1" x14ac:dyDescent="0.3">
      <c r="A183" s="177" t="s">
        <v>162</v>
      </c>
      <c r="B183" s="177" t="s">
        <v>163</v>
      </c>
      <c r="C183" s="201" t="s">
        <v>524</v>
      </c>
      <c r="D183" s="88" t="s">
        <v>525</v>
      </c>
      <c r="E183" s="178">
        <f>VLOOKUP(C183,'FERC TB 2024'!D193:S646,16,FALSE)/1000</f>
        <v>853871.79864000005</v>
      </c>
      <c r="F183" s="178">
        <f>VLOOKUP(C183,'FERC TB 2025'!D193:R646,15,FALSE)/1000</f>
        <v>830511.16808000009</v>
      </c>
      <c r="G183" s="191">
        <f t="shared" si="4"/>
        <v>-23360.630559999961</v>
      </c>
      <c r="H183" s="206">
        <f t="shared" si="5"/>
        <v>-2.7358475355676915E-2</v>
      </c>
    </row>
    <row r="184" spans="1:8" hidden="1" x14ac:dyDescent="0.3">
      <c r="A184" s="177" t="s">
        <v>162</v>
      </c>
      <c r="B184" s="177" t="s">
        <v>163</v>
      </c>
      <c r="C184" s="201" t="s">
        <v>526</v>
      </c>
      <c r="D184" s="88" t="s">
        <v>527</v>
      </c>
      <c r="E184" s="178">
        <f>VLOOKUP(C184,'FERC TB 2024'!D194:S647,16,FALSE)/1000</f>
        <v>0</v>
      </c>
      <c r="F184" s="178">
        <f>VLOOKUP(C184,'FERC TB 2025'!D194:R647,15,FALSE)/1000</f>
        <v>0</v>
      </c>
      <c r="G184" s="191">
        <f t="shared" si="4"/>
        <v>0</v>
      </c>
      <c r="H184" s="206" t="e">
        <f t="shared" si="5"/>
        <v>#DIV/0!</v>
      </c>
    </row>
    <row r="185" spans="1:8" hidden="1" x14ac:dyDescent="0.3">
      <c r="A185" s="177" t="s">
        <v>162</v>
      </c>
      <c r="B185" s="177" t="s">
        <v>163</v>
      </c>
      <c r="C185" s="201" t="s">
        <v>528</v>
      </c>
      <c r="D185" s="88" t="s">
        <v>529</v>
      </c>
      <c r="E185" s="178">
        <f>VLOOKUP(C185,'FERC TB 2024'!D195:S648,16,FALSE)/1000</f>
        <v>223933.37671999997</v>
      </c>
      <c r="F185" s="178">
        <f>VLOOKUP(C185,'FERC TB 2025'!D195:R648,15,FALSE)/1000</f>
        <v>219139.52041</v>
      </c>
      <c r="G185" s="191">
        <f t="shared" si="4"/>
        <v>-4793.8563099999737</v>
      </c>
      <c r="H185" s="206">
        <f t="shared" si="5"/>
        <v>-2.1407511377788391E-2</v>
      </c>
    </row>
    <row r="186" spans="1:8" hidden="1" x14ac:dyDescent="0.3">
      <c r="A186" s="177" t="s">
        <v>162</v>
      </c>
      <c r="B186" s="177" t="s">
        <v>163</v>
      </c>
      <c r="C186" s="201" t="s">
        <v>530</v>
      </c>
      <c r="D186" s="88" t="s">
        <v>531</v>
      </c>
      <c r="E186" s="178">
        <f>VLOOKUP(C186,'FERC TB 2024'!D196:S649,16,FALSE)/1000</f>
        <v>0</v>
      </c>
      <c r="F186" s="178">
        <f>VLOOKUP(C186,'FERC TB 2025'!D196:R649,15,FALSE)/1000</f>
        <v>0</v>
      </c>
      <c r="G186" s="191">
        <f t="shared" si="4"/>
        <v>0</v>
      </c>
      <c r="H186" s="206" t="e">
        <f t="shared" si="5"/>
        <v>#DIV/0!</v>
      </c>
    </row>
    <row r="187" spans="1:8" hidden="1" x14ac:dyDescent="0.3">
      <c r="A187" s="177" t="s">
        <v>162</v>
      </c>
      <c r="B187" s="177" t="s">
        <v>163</v>
      </c>
      <c r="C187" s="201" t="s">
        <v>532</v>
      </c>
      <c r="D187" s="88" t="s">
        <v>533</v>
      </c>
      <c r="E187" s="178">
        <f>VLOOKUP(C187,'FERC TB 2024'!D197:S650,16,FALSE)/1000</f>
        <v>1844.0400999993003</v>
      </c>
      <c r="F187" s="178">
        <f>VLOOKUP(C187,'FERC TB 2025'!D197:R650,15,FALSE)/1000</f>
        <v>2025.7749999992</v>
      </c>
      <c r="G187" s="191">
        <f t="shared" si="4"/>
        <v>181.73489999989965</v>
      </c>
      <c r="H187" s="206">
        <f t="shared" si="5"/>
        <v>9.8552574859933142E-2</v>
      </c>
    </row>
    <row r="188" spans="1:8" hidden="1" x14ac:dyDescent="0.3">
      <c r="A188" s="177" t="s">
        <v>162</v>
      </c>
      <c r="B188" s="177" t="s">
        <v>163</v>
      </c>
      <c r="C188" s="201" t="s">
        <v>534</v>
      </c>
      <c r="D188" s="88" t="s">
        <v>535</v>
      </c>
      <c r="E188" s="178">
        <f>VLOOKUP(C188,'FERC TB 2024'!D198:S651,16,FALSE)/1000</f>
        <v>0</v>
      </c>
      <c r="F188" s="178">
        <f>VLOOKUP(C188,'FERC TB 2025'!D198:R651,15,FALSE)/1000</f>
        <v>0</v>
      </c>
      <c r="G188" s="191">
        <f t="shared" si="4"/>
        <v>0</v>
      </c>
      <c r="H188" s="206" t="e">
        <f t="shared" si="5"/>
        <v>#DIV/0!</v>
      </c>
    </row>
    <row r="189" spans="1:8" hidden="1" x14ac:dyDescent="0.3">
      <c r="A189" s="177" t="s">
        <v>162</v>
      </c>
      <c r="B189" s="177" t="s">
        <v>163</v>
      </c>
      <c r="C189" s="201" t="s">
        <v>536</v>
      </c>
      <c r="D189" s="88" t="s">
        <v>537</v>
      </c>
      <c r="E189" s="178">
        <f>VLOOKUP(C189,'FERC TB 2024'!D199:S652,16,FALSE)/1000</f>
        <v>0</v>
      </c>
      <c r="F189" s="178">
        <f>VLOOKUP(C189,'FERC TB 2025'!D199:R652,15,FALSE)/1000</f>
        <v>0</v>
      </c>
      <c r="G189" s="191">
        <f t="shared" si="4"/>
        <v>0</v>
      </c>
      <c r="H189" s="206" t="e">
        <f t="shared" si="5"/>
        <v>#DIV/0!</v>
      </c>
    </row>
    <row r="190" spans="1:8" hidden="1" x14ac:dyDescent="0.3">
      <c r="A190" s="177" t="s">
        <v>162</v>
      </c>
      <c r="B190" s="177" t="s">
        <v>163</v>
      </c>
      <c r="C190" s="201" t="s">
        <v>538</v>
      </c>
      <c r="D190" s="88" t="s">
        <v>539</v>
      </c>
      <c r="E190" s="178">
        <f>VLOOKUP(C190,'FERC TB 2024'!D200:S653,16,FALSE)/1000</f>
        <v>0</v>
      </c>
      <c r="F190" s="178">
        <f>VLOOKUP(C190,'FERC TB 2025'!D200:R653,15,FALSE)/1000</f>
        <v>0</v>
      </c>
      <c r="G190" s="191">
        <f t="shared" si="4"/>
        <v>0</v>
      </c>
      <c r="H190" s="206" t="e">
        <f t="shared" si="5"/>
        <v>#DIV/0!</v>
      </c>
    </row>
    <row r="191" spans="1:8" hidden="1" x14ac:dyDescent="0.3">
      <c r="A191" s="177" t="s">
        <v>162</v>
      </c>
      <c r="B191" s="177" t="s">
        <v>163</v>
      </c>
      <c r="C191" s="201" t="s">
        <v>540</v>
      </c>
      <c r="D191" s="88" t="s">
        <v>541</v>
      </c>
      <c r="E191" s="178">
        <f>VLOOKUP(C191,'FERC TB 2024'!D201:S654,16,FALSE)/1000</f>
        <v>19027.220704000403</v>
      </c>
      <c r="F191" s="178">
        <f>VLOOKUP(C191,'FERC TB 2025'!D201:R654,15,FALSE)/1000</f>
        <v>21444.964123999598</v>
      </c>
      <c r="G191" s="191">
        <f t="shared" si="4"/>
        <v>2417.7434199991949</v>
      </c>
      <c r="H191" s="206">
        <f t="shared" si="5"/>
        <v>0.12706760790822558</v>
      </c>
    </row>
    <row r="192" spans="1:8" hidden="1" x14ac:dyDescent="0.3">
      <c r="A192" s="177" t="s">
        <v>162</v>
      </c>
      <c r="B192" s="177" t="s">
        <v>163</v>
      </c>
      <c r="C192" s="201" t="s">
        <v>542</v>
      </c>
      <c r="D192" s="88" t="s">
        <v>543</v>
      </c>
      <c r="E192" s="178">
        <f>VLOOKUP(C192,'FERC TB 2024'!D202:S655,16,FALSE)/1000</f>
        <v>0</v>
      </c>
      <c r="F192" s="178">
        <f>VLOOKUP(C192,'FERC TB 2025'!D202:R655,15,FALSE)/1000</f>
        <v>0</v>
      </c>
      <c r="G192" s="191">
        <f t="shared" si="4"/>
        <v>0</v>
      </c>
      <c r="H192" s="206" t="e">
        <f t="shared" si="5"/>
        <v>#DIV/0!</v>
      </c>
    </row>
    <row r="193" spans="1:8" hidden="1" x14ac:dyDescent="0.3">
      <c r="A193" s="177" t="s">
        <v>162</v>
      </c>
      <c r="B193" s="177" t="s">
        <v>163</v>
      </c>
      <c r="C193" s="201" t="s">
        <v>544</v>
      </c>
      <c r="D193" s="88" t="s">
        <v>545</v>
      </c>
      <c r="E193" s="178">
        <f>VLOOKUP(C193,'FERC TB 2024'!D203:S656,16,FALSE)/1000</f>
        <v>15155.4577398868</v>
      </c>
      <c r="F193" s="178">
        <f>VLOOKUP(C193,'FERC TB 2025'!D203:R656,15,FALSE)/1000</f>
        <v>15155.4579798868</v>
      </c>
      <c r="G193" s="191">
        <f t="shared" si="4"/>
        <v>2.3999999939405825E-4</v>
      </c>
      <c r="H193" s="206">
        <f t="shared" si="5"/>
        <v>1.5835879292673271E-8</v>
      </c>
    </row>
    <row r="194" spans="1:8" hidden="1" x14ac:dyDescent="0.3">
      <c r="A194" s="177" t="s">
        <v>162</v>
      </c>
      <c r="B194" s="177" t="s">
        <v>163</v>
      </c>
      <c r="C194" s="201" t="s">
        <v>546</v>
      </c>
      <c r="D194" s="88" t="s">
        <v>547</v>
      </c>
      <c r="E194" s="178">
        <f>VLOOKUP(C194,'FERC TB 2024'!D204:S657,16,FALSE)/1000</f>
        <v>0</v>
      </c>
      <c r="F194" s="178">
        <f>VLOOKUP(C194,'FERC TB 2025'!D204:R657,15,FALSE)/1000</f>
        <v>0</v>
      </c>
      <c r="G194" s="191">
        <f t="shared" si="4"/>
        <v>0</v>
      </c>
      <c r="H194" s="206" t="e">
        <f t="shared" si="5"/>
        <v>#DIV/0!</v>
      </c>
    </row>
    <row r="195" spans="1:8" hidden="1" x14ac:dyDescent="0.3">
      <c r="A195" s="177" t="s">
        <v>162</v>
      </c>
      <c r="B195" s="177" t="s">
        <v>163</v>
      </c>
      <c r="C195" s="201" t="s">
        <v>548</v>
      </c>
      <c r="D195" s="88" t="s">
        <v>549</v>
      </c>
      <c r="E195" s="178">
        <f>VLOOKUP(C195,'FERC TB 2024'!D205:S658,16,FALSE)/1000</f>
        <v>5805.1161302675982</v>
      </c>
      <c r="F195" s="178">
        <f>VLOOKUP(C195,'FERC TB 2025'!D205:R658,15,FALSE)/1000</f>
        <v>3535.7439161068</v>
      </c>
      <c r="G195" s="191">
        <f t="shared" si="4"/>
        <v>-2269.3722141607982</v>
      </c>
      <c r="H195" s="206">
        <f t="shared" si="5"/>
        <v>-0.39092623872387322</v>
      </c>
    </row>
    <row r="196" spans="1:8" hidden="1" x14ac:dyDescent="0.3">
      <c r="A196" s="177" t="s">
        <v>162</v>
      </c>
      <c r="B196" s="177" t="s">
        <v>163</v>
      </c>
      <c r="C196" s="201" t="s">
        <v>550</v>
      </c>
      <c r="D196" s="88" t="s">
        <v>551</v>
      </c>
      <c r="E196" s="178">
        <f>VLOOKUP(C196,'FERC TB 2024'!D206:S659,16,FALSE)/1000</f>
        <v>7843.0305847253003</v>
      </c>
      <c r="F196" s="178">
        <f>VLOOKUP(C196,'FERC TB 2025'!D206:R659,15,FALSE)/1000</f>
        <v>7843.0305824176003</v>
      </c>
      <c r="G196" s="191">
        <f t="shared" ref="G196:G259" si="6">F196-E196</f>
        <v>-2.3077000150806271E-6</v>
      </c>
      <c r="H196" s="206">
        <f t="shared" ref="H196:H259" si="7">G196/E196</f>
        <v>-2.9423575366070734E-10</v>
      </c>
    </row>
    <row r="197" spans="1:8" hidden="1" x14ac:dyDescent="0.3">
      <c r="A197" s="177" t="s">
        <v>162</v>
      </c>
      <c r="B197" s="177" t="s">
        <v>163</v>
      </c>
      <c r="C197" s="201" t="s">
        <v>552</v>
      </c>
      <c r="D197" s="88" t="s">
        <v>553</v>
      </c>
      <c r="E197" s="178">
        <f>VLOOKUP(C197,'FERC TB 2024'!D207:S660,16,FALSE)/1000</f>
        <v>0</v>
      </c>
      <c r="F197" s="178">
        <f>VLOOKUP(C197,'FERC TB 2025'!D207:R660,15,FALSE)/1000</f>
        <v>0</v>
      </c>
      <c r="G197" s="191">
        <f t="shared" si="6"/>
        <v>0</v>
      </c>
      <c r="H197" s="206" t="e">
        <f t="shared" si="7"/>
        <v>#DIV/0!</v>
      </c>
    </row>
    <row r="198" spans="1:8" hidden="1" x14ac:dyDescent="0.3">
      <c r="A198" s="177" t="s">
        <v>162</v>
      </c>
      <c r="B198" s="177" t="s">
        <v>163</v>
      </c>
      <c r="C198" s="201" t="s">
        <v>554</v>
      </c>
      <c r="D198" s="88" t="s">
        <v>555</v>
      </c>
      <c r="E198" s="178">
        <f>VLOOKUP(C198,'FERC TB 2024'!D208:S661,16,FALSE)/1000</f>
        <v>0</v>
      </c>
      <c r="F198" s="178">
        <f>VLOOKUP(C198,'FERC TB 2025'!D208:R661,15,FALSE)/1000</f>
        <v>0</v>
      </c>
      <c r="G198" s="191">
        <f t="shared" si="6"/>
        <v>0</v>
      </c>
      <c r="H198" s="206" t="e">
        <f t="shared" si="7"/>
        <v>#DIV/0!</v>
      </c>
    </row>
    <row r="199" spans="1:8" hidden="1" x14ac:dyDescent="0.3">
      <c r="A199" s="177" t="s">
        <v>162</v>
      </c>
      <c r="B199" s="177" t="s">
        <v>163</v>
      </c>
      <c r="C199" s="201" t="s">
        <v>556</v>
      </c>
      <c r="D199" s="88" t="s">
        <v>557</v>
      </c>
      <c r="E199" s="178">
        <f>VLOOKUP(C199,'FERC TB 2024'!D209:S662,16,FALSE)/1000</f>
        <v>0</v>
      </c>
      <c r="F199" s="178">
        <f>VLOOKUP(C199,'FERC TB 2025'!D209:R662,15,FALSE)/1000</f>
        <v>0</v>
      </c>
      <c r="G199" s="191">
        <f t="shared" si="6"/>
        <v>0</v>
      </c>
      <c r="H199" s="206" t="e">
        <f t="shared" si="7"/>
        <v>#DIV/0!</v>
      </c>
    </row>
    <row r="200" spans="1:8" hidden="1" x14ac:dyDescent="0.3">
      <c r="A200" s="177" t="s">
        <v>162</v>
      </c>
      <c r="B200" s="177" t="s">
        <v>163</v>
      </c>
      <c r="C200" s="201" t="s">
        <v>558</v>
      </c>
      <c r="D200" s="88" t="s">
        <v>559</v>
      </c>
      <c r="E200" s="178">
        <f>VLOOKUP(C200,'FERC TB 2024'!D210:S663,16,FALSE)/1000</f>
        <v>0</v>
      </c>
      <c r="F200" s="178">
        <f>VLOOKUP(C200,'FERC TB 2025'!D210:R663,15,FALSE)/1000</f>
        <v>0</v>
      </c>
      <c r="G200" s="191">
        <f t="shared" si="6"/>
        <v>0</v>
      </c>
      <c r="H200" s="206" t="e">
        <f t="shared" si="7"/>
        <v>#DIV/0!</v>
      </c>
    </row>
    <row r="201" spans="1:8" hidden="1" x14ac:dyDescent="0.3">
      <c r="A201" s="177" t="s">
        <v>162</v>
      </c>
      <c r="B201" s="177" t="s">
        <v>163</v>
      </c>
      <c r="C201" s="201" t="s">
        <v>560</v>
      </c>
      <c r="D201" s="88" t="s">
        <v>561</v>
      </c>
      <c r="E201" s="178">
        <f>VLOOKUP(C201,'FERC TB 2024'!D211:S664,16,FALSE)/1000</f>
        <v>0</v>
      </c>
      <c r="F201" s="178">
        <f>VLOOKUP(C201,'FERC TB 2025'!D211:R664,15,FALSE)/1000</f>
        <v>0</v>
      </c>
      <c r="G201" s="191">
        <f t="shared" si="6"/>
        <v>0</v>
      </c>
      <c r="H201" s="206" t="e">
        <f t="shared" si="7"/>
        <v>#DIV/0!</v>
      </c>
    </row>
    <row r="202" spans="1:8" hidden="1" x14ac:dyDescent="0.3">
      <c r="A202" s="177" t="s">
        <v>162</v>
      </c>
      <c r="B202" s="177" t="s">
        <v>163</v>
      </c>
      <c r="C202" s="201" t="s">
        <v>562</v>
      </c>
      <c r="D202" s="88" t="s">
        <v>563</v>
      </c>
      <c r="E202" s="178">
        <f>VLOOKUP(C202,'FERC TB 2024'!D212:S665,16,FALSE)/1000</f>
        <v>0</v>
      </c>
      <c r="F202" s="178">
        <f>VLOOKUP(C202,'FERC TB 2025'!D212:R665,15,FALSE)/1000</f>
        <v>0</v>
      </c>
      <c r="G202" s="191">
        <f t="shared" si="6"/>
        <v>0</v>
      </c>
      <c r="H202" s="206" t="e">
        <f t="shared" si="7"/>
        <v>#DIV/0!</v>
      </c>
    </row>
    <row r="203" spans="1:8" hidden="1" x14ac:dyDescent="0.3">
      <c r="A203" s="177" t="s">
        <v>162</v>
      </c>
      <c r="B203" s="177" t="s">
        <v>163</v>
      </c>
      <c r="C203" s="201" t="s">
        <v>564</v>
      </c>
      <c r="D203" s="88" t="s">
        <v>565</v>
      </c>
      <c r="E203" s="178">
        <f>VLOOKUP(C203,'FERC TB 2024'!D213:S666,16,FALSE)/1000</f>
        <v>0</v>
      </c>
      <c r="F203" s="178">
        <f>VLOOKUP(C203,'FERC TB 2025'!D213:R666,15,FALSE)/1000</f>
        <v>0</v>
      </c>
      <c r="G203" s="191">
        <f t="shared" si="6"/>
        <v>0</v>
      </c>
      <c r="H203" s="206" t="e">
        <f t="shared" si="7"/>
        <v>#DIV/0!</v>
      </c>
    </row>
    <row r="204" spans="1:8" hidden="1" x14ac:dyDescent="0.3">
      <c r="A204" s="177" t="s">
        <v>162</v>
      </c>
      <c r="B204" s="177" t="s">
        <v>163</v>
      </c>
      <c r="C204" s="201" t="s">
        <v>566</v>
      </c>
      <c r="D204" s="88" t="s">
        <v>567</v>
      </c>
      <c r="E204" s="178">
        <f>VLOOKUP(C204,'FERC TB 2024'!D214:S667,16,FALSE)/1000</f>
        <v>0</v>
      </c>
      <c r="F204" s="178">
        <f>VLOOKUP(C204,'FERC TB 2025'!D214:R667,15,FALSE)/1000</f>
        <v>0</v>
      </c>
      <c r="G204" s="191">
        <f t="shared" si="6"/>
        <v>0</v>
      </c>
      <c r="H204" s="206" t="e">
        <f t="shared" si="7"/>
        <v>#DIV/0!</v>
      </c>
    </row>
    <row r="205" spans="1:8" hidden="1" x14ac:dyDescent="0.3">
      <c r="A205" s="177" t="s">
        <v>162</v>
      </c>
      <c r="B205" s="177" t="s">
        <v>163</v>
      </c>
      <c r="C205" s="201" t="s">
        <v>568</v>
      </c>
      <c r="D205" s="88" t="s">
        <v>569</v>
      </c>
      <c r="E205" s="178">
        <f>VLOOKUP(C205,'FERC TB 2024'!D215:S668,16,FALSE)/1000</f>
        <v>0</v>
      </c>
      <c r="F205" s="178">
        <f>VLOOKUP(C205,'FERC TB 2025'!D215:R668,15,FALSE)/1000</f>
        <v>0</v>
      </c>
      <c r="G205" s="191">
        <f t="shared" si="6"/>
        <v>0</v>
      </c>
      <c r="H205" s="206" t="e">
        <f t="shared" si="7"/>
        <v>#DIV/0!</v>
      </c>
    </row>
    <row r="206" spans="1:8" hidden="1" x14ac:dyDescent="0.3">
      <c r="A206" s="177" t="s">
        <v>162</v>
      </c>
      <c r="B206" s="177" t="s">
        <v>163</v>
      </c>
      <c r="C206" s="201" t="s">
        <v>570</v>
      </c>
      <c r="D206" s="88" t="s">
        <v>571</v>
      </c>
      <c r="E206" s="178">
        <f>VLOOKUP(C206,'FERC TB 2024'!D216:S669,16,FALSE)/1000</f>
        <v>0</v>
      </c>
      <c r="F206" s="178">
        <f>VLOOKUP(C206,'FERC TB 2025'!D216:R669,15,FALSE)/1000</f>
        <v>0</v>
      </c>
      <c r="G206" s="191">
        <f t="shared" si="6"/>
        <v>0</v>
      </c>
      <c r="H206" s="206" t="e">
        <f t="shared" si="7"/>
        <v>#DIV/0!</v>
      </c>
    </row>
    <row r="207" spans="1:8" hidden="1" x14ac:dyDescent="0.3">
      <c r="A207" s="177" t="s">
        <v>162</v>
      </c>
      <c r="B207" s="177" t="s">
        <v>163</v>
      </c>
      <c r="C207" s="201" t="s">
        <v>572</v>
      </c>
      <c r="D207" s="88" t="s">
        <v>573</v>
      </c>
      <c r="E207" s="178">
        <f>VLOOKUP(C207,'FERC TB 2024'!D217:S670,16,FALSE)/1000</f>
        <v>0</v>
      </c>
      <c r="F207" s="178">
        <f>VLOOKUP(C207,'FERC TB 2025'!D217:R670,15,FALSE)/1000</f>
        <v>0</v>
      </c>
      <c r="G207" s="191">
        <f t="shared" si="6"/>
        <v>0</v>
      </c>
      <c r="H207" s="206" t="e">
        <f t="shared" si="7"/>
        <v>#DIV/0!</v>
      </c>
    </row>
    <row r="208" spans="1:8" hidden="1" x14ac:dyDescent="0.3">
      <c r="A208" s="177" t="s">
        <v>162</v>
      </c>
      <c r="B208" s="177" t="s">
        <v>163</v>
      </c>
      <c r="C208" s="201" t="s">
        <v>574</v>
      </c>
      <c r="D208" s="88" t="s">
        <v>575</v>
      </c>
      <c r="E208" s="178">
        <f>VLOOKUP(C208,'FERC TB 2024'!D218:S671,16,FALSE)/1000</f>
        <v>0</v>
      </c>
      <c r="F208" s="178">
        <f>VLOOKUP(C208,'FERC TB 2025'!D218:R671,15,FALSE)/1000</f>
        <v>0</v>
      </c>
      <c r="G208" s="191">
        <f t="shared" si="6"/>
        <v>0</v>
      </c>
      <c r="H208" s="206" t="e">
        <f t="shared" si="7"/>
        <v>#DIV/0!</v>
      </c>
    </row>
    <row r="209" spans="1:10" hidden="1" x14ac:dyDescent="0.3">
      <c r="A209" s="177" t="s">
        <v>162</v>
      </c>
      <c r="B209" s="177" t="s">
        <v>163</v>
      </c>
      <c r="C209" s="201" t="s">
        <v>576</v>
      </c>
      <c r="D209" s="88" t="s">
        <v>577</v>
      </c>
      <c r="E209" s="178">
        <f>VLOOKUP(C209,'FERC TB 2024'!D219:S672,16,FALSE)/1000</f>
        <v>0</v>
      </c>
      <c r="F209" s="178">
        <f>VLOOKUP(C209,'FERC TB 2025'!D219:R672,15,FALSE)/1000</f>
        <v>0</v>
      </c>
      <c r="G209" s="191">
        <f t="shared" si="6"/>
        <v>0</v>
      </c>
      <c r="H209" s="206" t="e">
        <f t="shared" si="7"/>
        <v>#DIV/0!</v>
      </c>
    </row>
    <row r="210" spans="1:10" hidden="1" x14ac:dyDescent="0.3">
      <c r="A210" s="177" t="s">
        <v>162</v>
      </c>
      <c r="B210" s="177" t="s">
        <v>163</v>
      </c>
      <c r="C210" s="201" t="s">
        <v>578</v>
      </c>
      <c r="D210" s="88" t="s">
        <v>579</v>
      </c>
      <c r="E210" s="178">
        <f>VLOOKUP(C210,'FERC TB 2024'!D220:S673,16,FALSE)/1000</f>
        <v>0</v>
      </c>
      <c r="F210" s="178">
        <f>VLOOKUP(C210,'FERC TB 2025'!D220:R673,15,FALSE)/1000</f>
        <v>0</v>
      </c>
      <c r="G210" s="191">
        <f t="shared" si="6"/>
        <v>0</v>
      </c>
      <c r="H210" s="206" t="e">
        <f t="shared" si="7"/>
        <v>#DIV/0!</v>
      </c>
    </row>
    <row r="211" spans="1:10" hidden="1" x14ac:dyDescent="0.3">
      <c r="A211" s="177" t="s">
        <v>162</v>
      </c>
      <c r="B211" s="177" t="s">
        <v>163</v>
      </c>
      <c r="C211" s="201" t="s">
        <v>580</v>
      </c>
      <c r="D211" s="88" t="s">
        <v>581</v>
      </c>
      <c r="E211" s="178">
        <f>VLOOKUP(C211,'FERC TB 2024'!D221:S674,16,FALSE)/1000</f>
        <v>0</v>
      </c>
      <c r="F211" s="178">
        <f>VLOOKUP(C211,'FERC TB 2025'!D221:R674,15,FALSE)/1000</f>
        <v>0</v>
      </c>
      <c r="G211" s="191">
        <f t="shared" si="6"/>
        <v>0</v>
      </c>
      <c r="H211" s="206" t="e">
        <f t="shared" si="7"/>
        <v>#DIV/0!</v>
      </c>
    </row>
    <row r="212" spans="1:10" hidden="1" x14ac:dyDescent="0.3">
      <c r="A212" s="177" t="s">
        <v>162</v>
      </c>
      <c r="B212" s="177" t="s">
        <v>163</v>
      </c>
      <c r="C212" s="201" t="s">
        <v>582</v>
      </c>
      <c r="D212" s="88" t="s">
        <v>583</v>
      </c>
      <c r="E212" s="178">
        <f>VLOOKUP(C212,'FERC TB 2024'!D222:S675,16,FALSE)/1000</f>
        <v>0</v>
      </c>
      <c r="F212" s="178">
        <f>VLOOKUP(C212,'FERC TB 2025'!D222:R675,15,FALSE)/1000</f>
        <v>0</v>
      </c>
      <c r="G212" s="191">
        <f t="shared" si="6"/>
        <v>0</v>
      </c>
      <c r="H212" s="206" t="e">
        <f t="shared" si="7"/>
        <v>#DIV/0!</v>
      </c>
    </row>
    <row r="213" spans="1:10" hidden="1" x14ac:dyDescent="0.3">
      <c r="A213" s="177" t="s">
        <v>162</v>
      </c>
      <c r="B213" s="177" t="s">
        <v>163</v>
      </c>
      <c r="C213" s="201" t="s">
        <v>584</v>
      </c>
      <c r="D213" s="88" t="s">
        <v>585</v>
      </c>
      <c r="E213" s="178">
        <f>VLOOKUP(C213,'FERC TB 2024'!D223:S676,16,FALSE)/1000</f>
        <v>0</v>
      </c>
      <c r="F213" s="178">
        <f>VLOOKUP(C213,'FERC TB 2025'!D223:R676,15,FALSE)/1000</f>
        <v>0</v>
      </c>
      <c r="G213" s="191">
        <f t="shared" si="6"/>
        <v>0</v>
      </c>
      <c r="H213" s="206" t="e">
        <f t="shared" si="7"/>
        <v>#DIV/0!</v>
      </c>
    </row>
    <row r="214" spans="1:10" hidden="1" x14ac:dyDescent="0.3">
      <c r="A214" s="177" t="s">
        <v>162</v>
      </c>
      <c r="B214" s="177" t="s">
        <v>163</v>
      </c>
      <c r="C214" s="201" t="s">
        <v>586</v>
      </c>
      <c r="D214" s="88" t="s">
        <v>587</v>
      </c>
      <c r="E214" s="178">
        <f>VLOOKUP(C214,'FERC TB 2024'!D224:S677,16,FALSE)/1000</f>
        <v>0</v>
      </c>
      <c r="F214" s="178">
        <f>VLOOKUP(C214,'FERC TB 2025'!D224:R677,15,FALSE)/1000</f>
        <v>0</v>
      </c>
      <c r="G214" s="191">
        <f t="shared" si="6"/>
        <v>0</v>
      </c>
      <c r="H214" s="206" t="e">
        <f t="shared" si="7"/>
        <v>#DIV/0!</v>
      </c>
    </row>
    <row r="215" spans="1:10" hidden="1" x14ac:dyDescent="0.3">
      <c r="A215" s="177" t="s">
        <v>162</v>
      </c>
      <c r="B215" s="177" t="s">
        <v>163</v>
      </c>
      <c r="C215" s="201" t="s">
        <v>588</v>
      </c>
      <c r="D215" s="88" t="s">
        <v>589</v>
      </c>
      <c r="E215" s="178">
        <f>VLOOKUP(C215,'FERC TB 2024'!D225:S678,16,FALSE)/1000</f>
        <v>0</v>
      </c>
      <c r="F215" s="178">
        <f>VLOOKUP(C215,'FERC TB 2025'!D225:R678,15,FALSE)/1000</f>
        <v>0</v>
      </c>
      <c r="G215" s="191">
        <f t="shared" si="6"/>
        <v>0</v>
      </c>
      <c r="H215" s="206" t="e">
        <f t="shared" si="7"/>
        <v>#DIV/0!</v>
      </c>
    </row>
    <row r="216" spans="1:10" hidden="1" x14ac:dyDescent="0.3">
      <c r="A216" s="177" t="s">
        <v>162</v>
      </c>
      <c r="B216" s="177" t="s">
        <v>163</v>
      </c>
      <c r="C216" s="201" t="s">
        <v>590</v>
      </c>
      <c r="D216" s="88" t="s">
        <v>591</v>
      </c>
      <c r="E216" s="178">
        <f>VLOOKUP(C216,'FERC TB 2024'!D226:S679,16,FALSE)/1000</f>
        <v>0</v>
      </c>
      <c r="F216" s="178">
        <f>VLOOKUP(C216,'FERC TB 2025'!D226:R679,15,FALSE)/1000</f>
        <v>0</v>
      </c>
      <c r="G216" s="191">
        <f t="shared" si="6"/>
        <v>0</v>
      </c>
      <c r="H216" s="206" t="e">
        <f t="shared" si="7"/>
        <v>#DIV/0!</v>
      </c>
    </row>
    <row r="217" spans="1:10" hidden="1" x14ac:dyDescent="0.3">
      <c r="A217" s="177" t="s">
        <v>162</v>
      </c>
      <c r="B217" s="177" t="s">
        <v>163</v>
      </c>
      <c r="C217" s="201" t="s">
        <v>592</v>
      </c>
      <c r="D217" s="88" t="s">
        <v>593</v>
      </c>
      <c r="E217" s="178">
        <f>VLOOKUP(C217,'FERC TB 2024'!D227:S680,16,FALSE)/1000</f>
        <v>0</v>
      </c>
      <c r="F217" s="178">
        <f>VLOOKUP(C217,'FERC TB 2025'!D227:R680,15,FALSE)/1000</f>
        <v>0</v>
      </c>
      <c r="G217" s="191">
        <f t="shared" si="6"/>
        <v>0</v>
      </c>
      <c r="H217" s="206" t="e">
        <f t="shared" si="7"/>
        <v>#DIV/0!</v>
      </c>
    </row>
    <row r="218" spans="1:10" hidden="1" x14ac:dyDescent="0.3">
      <c r="A218" s="177" t="s">
        <v>162</v>
      </c>
      <c r="B218" s="177" t="s">
        <v>163</v>
      </c>
      <c r="C218" s="201" t="s">
        <v>594</v>
      </c>
      <c r="D218" s="88" t="s">
        <v>595</v>
      </c>
      <c r="E218" s="178">
        <f>VLOOKUP(C218,'FERC TB 2024'!D228:S681,16,FALSE)/1000</f>
        <v>0</v>
      </c>
      <c r="F218" s="178">
        <f>VLOOKUP(C218,'FERC TB 2025'!D228:R681,15,FALSE)/1000</f>
        <v>0</v>
      </c>
      <c r="G218" s="191">
        <f t="shared" si="6"/>
        <v>0</v>
      </c>
      <c r="H218" s="206" t="e">
        <f t="shared" si="7"/>
        <v>#DIV/0!</v>
      </c>
    </row>
    <row r="219" spans="1:10" hidden="1" x14ac:dyDescent="0.3">
      <c r="A219" s="177" t="s">
        <v>162</v>
      </c>
      <c r="B219" s="177" t="s">
        <v>163</v>
      </c>
      <c r="C219" s="201" t="s">
        <v>596</v>
      </c>
      <c r="D219" s="88" t="s">
        <v>597</v>
      </c>
      <c r="E219" s="178">
        <f>VLOOKUP(C219,'FERC TB 2024'!D229:S682,16,FALSE)/1000</f>
        <v>5216.1762100644</v>
      </c>
      <c r="F219" s="178">
        <f>VLOOKUP(C219,'FERC TB 2025'!D229:R682,15,FALSE)/1000</f>
        <v>5637.3487871983998</v>
      </c>
      <c r="G219" s="191">
        <f t="shared" si="6"/>
        <v>421.17257713399977</v>
      </c>
      <c r="H219" s="206">
        <f t="shared" si="7"/>
        <v>8.0743548563670914E-2</v>
      </c>
    </row>
    <row r="220" spans="1:10" x14ac:dyDescent="0.3">
      <c r="A220" s="177" t="s">
        <v>162</v>
      </c>
      <c r="B220" s="177" t="s">
        <v>163</v>
      </c>
      <c r="C220" s="201" t="s">
        <v>598</v>
      </c>
      <c r="D220" s="88" t="s">
        <v>599</v>
      </c>
      <c r="E220" s="241">
        <f>VLOOKUP(C220,'FERC TB 2024'!D230:S683,16,FALSE)/1000</f>
        <v>18791.894044488497</v>
      </c>
      <c r="F220" s="241">
        <f>VLOOKUP(C220,'FERC TB 2025'!D230:R683,15,FALSE)/1000</f>
        <v>15535.7436746643</v>
      </c>
      <c r="G220" s="240">
        <f t="shared" si="6"/>
        <v>-3256.1503698241977</v>
      </c>
      <c r="H220" s="206">
        <f>G220/E220</f>
        <v>-0.17327419801939545</v>
      </c>
      <c r="I220" t="s">
        <v>1581</v>
      </c>
      <c r="J220" t="s">
        <v>1582</v>
      </c>
    </row>
    <row r="221" spans="1:10" hidden="1" x14ac:dyDescent="0.3">
      <c r="A221" s="177" t="s">
        <v>162</v>
      </c>
      <c r="B221" s="177" t="s">
        <v>163</v>
      </c>
      <c r="C221" s="201" t="s">
        <v>600</v>
      </c>
      <c r="D221" s="88" t="s">
        <v>601</v>
      </c>
      <c r="E221" s="178">
        <f>VLOOKUP(C221,'FERC TB 2024'!D231:S684,16,FALSE)/1000</f>
        <v>6541.668591391699</v>
      </c>
      <c r="F221" s="178">
        <f>VLOOKUP(C221,'FERC TB 2025'!D231:R684,15,FALSE)/1000</f>
        <v>7520.7876422127001</v>
      </c>
      <c r="G221" s="191">
        <f t="shared" si="6"/>
        <v>979.11905082100111</v>
      </c>
      <c r="H221" s="206">
        <f t="shared" si="7"/>
        <v>0.14967420576906659</v>
      </c>
    </row>
    <row r="222" spans="1:10" hidden="1" x14ac:dyDescent="0.3">
      <c r="A222" s="177" t="s">
        <v>162</v>
      </c>
      <c r="B222" s="177" t="s">
        <v>163</v>
      </c>
      <c r="C222" s="201" t="s">
        <v>602</v>
      </c>
      <c r="D222" s="88" t="s">
        <v>603</v>
      </c>
      <c r="E222" s="178">
        <f>VLOOKUP(C222,'FERC TB 2024'!D232:S685,16,FALSE)/1000</f>
        <v>0</v>
      </c>
      <c r="F222" s="178">
        <f>VLOOKUP(C222,'FERC TB 2025'!D232:R685,15,FALSE)/1000</f>
        <v>0</v>
      </c>
      <c r="G222" s="191">
        <f t="shared" si="6"/>
        <v>0</v>
      </c>
      <c r="H222" s="206" t="e">
        <f t="shared" si="7"/>
        <v>#DIV/0!</v>
      </c>
    </row>
    <row r="223" spans="1:10" hidden="1" x14ac:dyDescent="0.3">
      <c r="A223" s="177" t="s">
        <v>162</v>
      </c>
      <c r="B223" s="177" t="s">
        <v>163</v>
      </c>
      <c r="C223" s="201" t="s">
        <v>604</v>
      </c>
      <c r="D223" s="88" t="s">
        <v>605</v>
      </c>
      <c r="E223" s="178">
        <f>VLOOKUP(C223,'FERC TB 2024'!D233:S686,16,FALSE)/1000</f>
        <v>0</v>
      </c>
      <c r="F223" s="178">
        <f>VLOOKUP(C223,'FERC TB 2025'!D233:R686,15,FALSE)/1000</f>
        <v>0</v>
      </c>
      <c r="G223" s="191">
        <f t="shared" si="6"/>
        <v>0</v>
      </c>
      <c r="H223" s="206" t="e">
        <f t="shared" si="7"/>
        <v>#DIV/0!</v>
      </c>
    </row>
    <row r="224" spans="1:10" hidden="1" x14ac:dyDescent="0.3">
      <c r="A224" s="177" t="s">
        <v>162</v>
      </c>
      <c r="B224" s="177" t="s">
        <v>163</v>
      </c>
      <c r="C224" s="201" t="s">
        <v>606</v>
      </c>
      <c r="D224" s="88" t="s">
        <v>607</v>
      </c>
      <c r="E224" s="178">
        <f>VLOOKUP(C224,'FERC TB 2024'!D234:S687,16,FALSE)/1000</f>
        <v>2242.7791811436</v>
      </c>
      <c r="F224" s="178">
        <f>VLOOKUP(C224,'FERC TB 2025'!D234:R687,15,FALSE)/1000</f>
        <v>2242.7791811436</v>
      </c>
      <c r="G224" s="191">
        <f t="shared" si="6"/>
        <v>0</v>
      </c>
      <c r="H224" s="206">
        <f t="shared" si="7"/>
        <v>0</v>
      </c>
    </row>
    <row r="225" spans="1:10" hidden="1" x14ac:dyDescent="0.3">
      <c r="A225" s="177" t="s">
        <v>162</v>
      </c>
      <c r="B225" s="177" t="s">
        <v>163</v>
      </c>
      <c r="C225" s="201" t="s">
        <v>608</v>
      </c>
      <c r="D225" s="88" t="s">
        <v>609</v>
      </c>
      <c r="E225" s="178">
        <f>VLOOKUP(C225,'FERC TB 2024'!D235:S688,16,FALSE)/1000</f>
        <v>5016.934884278101</v>
      </c>
      <c r="F225" s="178">
        <f>VLOOKUP(C225,'FERC TB 2025'!D235:R688,15,FALSE)/1000</f>
        <v>4975.8430325934005</v>
      </c>
      <c r="G225" s="191">
        <f t="shared" si="6"/>
        <v>-41.091851684700487</v>
      </c>
      <c r="H225" s="206">
        <f t="shared" si="7"/>
        <v>-8.1906288665361641E-3</v>
      </c>
    </row>
    <row r="226" spans="1:10" hidden="1" x14ac:dyDescent="0.3">
      <c r="A226" s="177" t="s">
        <v>162</v>
      </c>
      <c r="B226" s="177" t="s">
        <v>163</v>
      </c>
      <c r="C226" s="201" t="s">
        <v>610</v>
      </c>
      <c r="D226" s="88" t="s">
        <v>611</v>
      </c>
      <c r="E226" s="178">
        <f>VLOOKUP(C226,'FERC TB 2024'!D236:S689,16,FALSE)/1000</f>
        <v>24</v>
      </c>
      <c r="F226" s="178">
        <f>VLOOKUP(C226,'FERC TB 2025'!D236:R689,15,FALSE)/1000</f>
        <v>24</v>
      </c>
      <c r="G226" s="191">
        <f t="shared" si="6"/>
        <v>0</v>
      </c>
      <c r="H226" s="206">
        <f t="shared" si="7"/>
        <v>0</v>
      </c>
    </row>
    <row r="227" spans="1:10" hidden="1" x14ac:dyDescent="0.3">
      <c r="A227" s="177" t="s">
        <v>162</v>
      </c>
      <c r="B227" s="177" t="s">
        <v>163</v>
      </c>
      <c r="C227" s="201" t="s">
        <v>612</v>
      </c>
      <c r="D227" s="88" t="s">
        <v>613</v>
      </c>
      <c r="E227" s="178">
        <f>VLOOKUP(C227,'FERC TB 2024'!D237:S690,16,FALSE)/1000</f>
        <v>10.029</v>
      </c>
      <c r="F227" s="178">
        <f>VLOOKUP(C227,'FERC TB 2025'!D237:R690,15,FALSE)/1000</f>
        <v>10.029999999999999</v>
      </c>
      <c r="G227" s="191">
        <f t="shared" si="6"/>
        <v>9.9999999999944578E-4</v>
      </c>
      <c r="H227" s="206">
        <f t="shared" si="7"/>
        <v>9.9710838568097101E-5</v>
      </c>
    </row>
    <row r="228" spans="1:10" hidden="1" x14ac:dyDescent="0.3">
      <c r="A228" s="177" t="s">
        <v>162</v>
      </c>
      <c r="B228" s="177" t="s">
        <v>163</v>
      </c>
      <c r="C228" s="201" t="s">
        <v>614</v>
      </c>
      <c r="D228" s="88" t="s">
        <v>615</v>
      </c>
      <c r="E228" s="178">
        <f>VLOOKUP(C228,'FERC TB 2024'!D238:S691,16,FALSE)/1000</f>
        <v>0</v>
      </c>
      <c r="F228" s="178">
        <f>VLOOKUP(C228,'FERC TB 2025'!D238:R691,15,FALSE)/1000</f>
        <v>0</v>
      </c>
      <c r="G228" s="191">
        <f t="shared" si="6"/>
        <v>0</v>
      </c>
      <c r="H228" s="206" t="e">
        <f t="shared" si="7"/>
        <v>#DIV/0!</v>
      </c>
    </row>
    <row r="229" spans="1:10" hidden="1" x14ac:dyDescent="0.3">
      <c r="A229" s="177" t="s">
        <v>162</v>
      </c>
      <c r="B229" s="177" t="s">
        <v>163</v>
      </c>
      <c r="C229" s="201" t="s">
        <v>616</v>
      </c>
      <c r="D229" s="88" t="s">
        <v>617</v>
      </c>
      <c r="E229" s="178">
        <f>VLOOKUP(C229,'FERC TB 2024'!D239:S692,16,FALSE)/1000</f>
        <v>3757.8892795841002</v>
      </c>
      <c r="F229" s="178">
        <f>VLOOKUP(C229,'FERC TB 2025'!D239:R692,15,FALSE)/1000</f>
        <v>3809.8985669689</v>
      </c>
      <c r="G229" s="191">
        <f t="shared" si="6"/>
        <v>52.009287384799791</v>
      </c>
      <c r="H229" s="206">
        <f t="shared" si="7"/>
        <v>1.3840026545581422E-2</v>
      </c>
    </row>
    <row r="230" spans="1:10" x14ac:dyDescent="0.3">
      <c r="A230" s="177" t="s">
        <v>162</v>
      </c>
      <c r="B230" s="177" t="s">
        <v>163</v>
      </c>
      <c r="C230" s="201" t="s">
        <v>618</v>
      </c>
      <c r="D230" s="88" t="s">
        <v>619</v>
      </c>
      <c r="E230" s="241">
        <f>VLOOKUP(C230,'FERC TB 2024'!D240:S693,16,FALSE)/1000</f>
        <v>17069.789076555302</v>
      </c>
      <c r="F230" s="241">
        <f>VLOOKUP(C230,'FERC TB 2025'!D240:R693,15,FALSE)/1000</f>
        <v>20311.1276362268</v>
      </c>
      <c r="G230" s="240">
        <f t="shared" si="6"/>
        <v>3241.3385596714979</v>
      </c>
      <c r="H230" s="206">
        <f t="shared" si="7"/>
        <v>0.18988744062006904</v>
      </c>
      <c r="I230" t="s">
        <v>1581</v>
      </c>
      <c r="J230" t="s">
        <v>1583</v>
      </c>
    </row>
    <row r="231" spans="1:10" hidden="1" x14ac:dyDescent="0.3">
      <c r="A231" s="177" t="s">
        <v>162</v>
      </c>
      <c r="B231" s="177" t="s">
        <v>163</v>
      </c>
      <c r="C231" s="201" t="s">
        <v>620</v>
      </c>
      <c r="D231" s="88" t="s">
        <v>621</v>
      </c>
      <c r="E231" s="178">
        <f>VLOOKUP(C231,'FERC TB 2024'!D241:S694,16,FALSE)/1000</f>
        <v>2095.3992687055002</v>
      </c>
      <c r="F231" s="178">
        <f>VLOOKUP(C231,'FERC TB 2025'!D241:R694,15,FALSE)/1000</f>
        <v>2015.8927262215</v>
      </c>
      <c r="G231" s="191">
        <f t="shared" si="6"/>
        <v>-79.506542484000192</v>
      </c>
      <c r="H231" s="206">
        <f t="shared" si="7"/>
        <v>-3.794338562173781E-2</v>
      </c>
    </row>
    <row r="232" spans="1:10" hidden="1" x14ac:dyDescent="0.3">
      <c r="A232" s="177" t="s">
        <v>162</v>
      </c>
      <c r="B232" s="177" t="s">
        <v>163</v>
      </c>
      <c r="C232" s="201" t="s">
        <v>622</v>
      </c>
      <c r="D232" s="88" t="s">
        <v>623</v>
      </c>
      <c r="E232" s="178">
        <f>VLOOKUP(C232,'FERC TB 2024'!D242:S695,16,FALSE)/1000</f>
        <v>2095.3992687055002</v>
      </c>
      <c r="F232" s="178">
        <f>VLOOKUP(C232,'FERC TB 2025'!D242:R695,15,FALSE)/1000</f>
        <v>2015.8927262215</v>
      </c>
      <c r="G232" s="191">
        <f t="shared" si="6"/>
        <v>-79.506542484000192</v>
      </c>
      <c r="H232" s="206">
        <f t="shared" si="7"/>
        <v>-3.794338562173781E-2</v>
      </c>
    </row>
    <row r="233" spans="1:10" hidden="1" x14ac:dyDescent="0.3">
      <c r="A233" s="177" t="s">
        <v>162</v>
      </c>
      <c r="B233" s="177" t="s">
        <v>163</v>
      </c>
      <c r="C233" s="201" t="s">
        <v>624</v>
      </c>
      <c r="D233" s="88" t="s">
        <v>625</v>
      </c>
      <c r="E233" s="178">
        <f>VLOOKUP(C233,'FERC TB 2024'!D243:S696,16,FALSE)/1000</f>
        <v>0</v>
      </c>
      <c r="F233" s="178">
        <f>VLOOKUP(C233,'FERC TB 2025'!D243:R696,15,FALSE)/1000</f>
        <v>0</v>
      </c>
      <c r="G233" s="191">
        <f t="shared" si="6"/>
        <v>0</v>
      </c>
      <c r="H233" s="206" t="e">
        <f t="shared" si="7"/>
        <v>#DIV/0!</v>
      </c>
    </row>
    <row r="234" spans="1:10" hidden="1" x14ac:dyDescent="0.3">
      <c r="A234" s="177" t="s">
        <v>162</v>
      </c>
      <c r="B234" s="177" t="s">
        <v>163</v>
      </c>
      <c r="C234" s="201" t="s">
        <v>626</v>
      </c>
      <c r="D234" s="88" t="s">
        <v>627</v>
      </c>
      <c r="E234" s="178">
        <f>VLOOKUP(C234,'FERC TB 2024'!D244:S697,16,FALSE)/1000</f>
        <v>0</v>
      </c>
      <c r="F234" s="178">
        <f>VLOOKUP(C234,'FERC TB 2025'!D244:R697,15,FALSE)/1000</f>
        <v>0</v>
      </c>
      <c r="G234" s="191">
        <f t="shared" si="6"/>
        <v>0</v>
      </c>
      <c r="H234" s="206" t="e">
        <f t="shared" si="7"/>
        <v>#DIV/0!</v>
      </c>
    </row>
    <row r="235" spans="1:10" hidden="1" x14ac:dyDescent="0.3">
      <c r="A235" s="177" t="s">
        <v>162</v>
      </c>
      <c r="B235" s="177" t="s">
        <v>163</v>
      </c>
      <c r="C235" s="201" t="s">
        <v>628</v>
      </c>
      <c r="D235" s="88" t="s">
        <v>629</v>
      </c>
      <c r="E235" s="178">
        <f>VLOOKUP(C235,'FERC TB 2024'!D245:S698,16,FALSE)/1000</f>
        <v>0</v>
      </c>
      <c r="F235" s="178">
        <f>VLOOKUP(C235,'FERC TB 2025'!D245:R698,15,FALSE)/1000</f>
        <v>0</v>
      </c>
      <c r="G235" s="191">
        <f t="shared" si="6"/>
        <v>0</v>
      </c>
      <c r="H235" s="206" t="e">
        <f t="shared" si="7"/>
        <v>#DIV/0!</v>
      </c>
    </row>
    <row r="236" spans="1:10" hidden="1" x14ac:dyDescent="0.3">
      <c r="A236" s="177" t="s">
        <v>162</v>
      </c>
      <c r="B236" s="177" t="s">
        <v>163</v>
      </c>
      <c r="C236" s="201" t="s">
        <v>630</v>
      </c>
      <c r="D236" s="88" t="s">
        <v>631</v>
      </c>
      <c r="E236" s="178">
        <f>VLOOKUP(C236,'FERC TB 2024'!D246:S699,16,FALSE)/1000</f>
        <v>0</v>
      </c>
      <c r="F236" s="178">
        <f>VLOOKUP(C236,'FERC TB 2025'!D246:R699,15,FALSE)/1000</f>
        <v>0</v>
      </c>
      <c r="G236" s="191">
        <f t="shared" si="6"/>
        <v>0</v>
      </c>
      <c r="H236" s="206" t="e">
        <f t="shared" si="7"/>
        <v>#DIV/0!</v>
      </c>
    </row>
    <row r="237" spans="1:10" hidden="1" x14ac:dyDescent="0.3">
      <c r="A237" s="177" t="s">
        <v>162</v>
      </c>
      <c r="B237" s="177" t="s">
        <v>163</v>
      </c>
      <c r="C237" s="201" t="s">
        <v>632</v>
      </c>
      <c r="D237" s="88" t="s">
        <v>633</v>
      </c>
      <c r="E237" s="178">
        <f>VLOOKUP(C237,'FERC TB 2024'!D247:S700,16,FALSE)/1000</f>
        <v>0</v>
      </c>
      <c r="F237" s="178">
        <f>VLOOKUP(C237,'FERC TB 2025'!D247:R700,15,FALSE)/1000</f>
        <v>0</v>
      </c>
      <c r="G237" s="191">
        <f t="shared" si="6"/>
        <v>0</v>
      </c>
      <c r="H237" s="206" t="e">
        <f t="shared" si="7"/>
        <v>#DIV/0!</v>
      </c>
    </row>
    <row r="238" spans="1:10" hidden="1" x14ac:dyDescent="0.3">
      <c r="A238" s="177" t="s">
        <v>162</v>
      </c>
      <c r="B238" s="177" t="s">
        <v>163</v>
      </c>
      <c r="C238" s="201" t="s">
        <v>634</v>
      </c>
      <c r="D238" s="88" t="s">
        <v>635</v>
      </c>
      <c r="E238" s="178">
        <f>VLOOKUP(C238,'FERC TB 2024'!D248:S701,16,FALSE)/1000</f>
        <v>0</v>
      </c>
      <c r="F238" s="178">
        <f>VLOOKUP(C238,'FERC TB 2025'!D248:R701,15,FALSE)/1000</f>
        <v>0</v>
      </c>
      <c r="G238" s="191">
        <f t="shared" si="6"/>
        <v>0</v>
      </c>
      <c r="H238" s="206" t="e">
        <f t="shared" si="7"/>
        <v>#DIV/0!</v>
      </c>
    </row>
    <row r="239" spans="1:10" hidden="1" x14ac:dyDescent="0.3">
      <c r="A239" s="177" t="s">
        <v>162</v>
      </c>
      <c r="B239" s="177" t="s">
        <v>163</v>
      </c>
      <c r="C239" s="201" t="s">
        <v>636</v>
      </c>
      <c r="D239" s="88" t="s">
        <v>637</v>
      </c>
      <c r="E239" s="178">
        <f>VLOOKUP(C239,'FERC TB 2024'!D249:S702,16,FALSE)/1000</f>
        <v>0</v>
      </c>
      <c r="F239" s="178">
        <f>VLOOKUP(C239,'FERC TB 2025'!D249:R702,15,FALSE)/1000</f>
        <v>0</v>
      </c>
      <c r="G239" s="191">
        <f t="shared" si="6"/>
        <v>0</v>
      </c>
      <c r="H239" s="206" t="e">
        <f t="shared" si="7"/>
        <v>#DIV/0!</v>
      </c>
    </row>
    <row r="240" spans="1:10" hidden="1" x14ac:dyDescent="0.3">
      <c r="A240" s="177" t="s">
        <v>162</v>
      </c>
      <c r="B240" s="177" t="s">
        <v>163</v>
      </c>
      <c r="C240" s="201" t="s">
        <v>638</v>
      </c>
      <c r="D240" s="88" t="s">
        <v>639</v>
      </c>
      <c r="E240" s="178">
        <f>VLOOKUP(C240,'FERC TB 2024'!D250:S703,16,FALSE)/1000</f>
        <v>0</v>
      </c>
      <c r="F240" s="178">
        <f>VLOOKUP(C240,'FERC TB 2025'!D250:R703,15,FALSE)/1000</f>
        <v>0</v>
      </c>
      <c r="G240" s="191">
        <f t="shared" si="6"/>
        <v>0</v>
      </c>
      <c r="H240" s="206" t="e">
        <f t="shared" si="7"/>
        <v>#DIV/0!</v>
      </c>
    </row>
    <row r="241" spans="1:8" hidden="1" x14ac:dyDescent="0.3">
      <c r="A241" s="177" t="s">
        <v>162</v>
      </c>
      <c r="B241" s="177" t="s">
        <v>163</v>
      </c>
      <c r="C241" s="201" t="s">
        <v>640</v>
      </c>
      <c r="D241" s="88" t="s">
        <v>641</v>
      </c>
      <c r="E241" s="178">
        <f>VLOOKUP(C241,'FERC TB 2024'!D251:S704,16,FALSE)/1000</f>
        <v>0</v>
      </c>
      <c r="F241" s="178">
        <f>VLOOKUP(C241,'FERC TB 2025'!D251:R704,15,FALSE)/1000</f>
        <v>0</v>
      </c>
      <c r="G241" s="191">
        <f t="shared" si="6"/>
        <v>0</v>
      </c>
      <c r="H241" s="206" t="e">
        <f t="shared" si="7"/>
        <v>#DIV/0!</v>
      </c>
    </row>
    <row r="242" spans="1:8" hidden="1" x14ac:dyDescent="0.3">
      <c r="A242" s="177" t="s">
        <v>162</v>
      </c>
      <c r="B242" s="177" t="s">
        <v>163</v>
      </c>
      <c r="C242" s="201" t="s">
        <v>642</v>
      </c>
      <c r="D242" s="88" t="s">
        <v>643</v>
      </c>
      <c r="E242" s="178">
        <f>VLOOKUP(C242,'FERC TB 2024'!D252:S705,16,FALSE)/1000</f>
        <v>0</v>
      </c>
      <c r="F242" s="178">
        <f>VLOOKUP(C242,'FERC TB 2025'!D252:R705,15,FALSE)/1000</f>
        <v>0</v>
      </c>
      <c r="G242" s="191">
        <f t="shared" si="6"/>
        <v>0</v>
      </c>
      <c r="H242" s="206" t="e">
        <f t="shared" si="7"/>
        <v>#DIV/0!</v>
      </c>
    </row>
    <row r="243" spans="1:8" hidden="1" x14ac:dyDescent="0.3">
      <c r="A243" s="177" t="s">
        <v>162</v>
      </c>
      <c r="B243" s="177" t="s">
        <v>163</v>
      </c>
      <c r="C243" s="201" t="s">
        <v>644</v>
      </c>
      <c r="D243" s="88" t="s">
        <v>645</v>
      </c>
      <c r="E243" s="178">
        <f>VLOOKUP(C243,'FERC TB 2024'!D253:S706,16,FALSE)/1000</f>
        <v>0</v>
      </c>
      <c r="F243" s="178">
        <f>VLOOKUP(C243,'FERC TB 2025'!D253:R706,15,FALSE)/1000</f>
        <v>0</v>
      </c>
      <c r="G243" s="191">
        <f t="shared" si="6"/>
        <v>0</v>
      </c>
      <c r="H243" s="206" t="e">
        <f t="shared" si="7"/>
        <v>#DIV/0!</v>
      </c>
    </row>
    <row r="244" spans="1:8" hidden="1" x14ac:dyDescent="0.3">
      <c r="A244" s="177" t="s">
        <v>162</v>
      </c>
      <c r="B244" s="177" t="s">
        <v>163</v>
      </c>
      <c r="C244" s="201" t="s">
        <v>646</v>
      </c>
      <c r="D244" s="88" t="s">
        <v>647</v>
      </c>
      <c r="E244" s="178">
        <f>VLOOKUP(C244,'FERC TB 2024'!D254:S707,16,FALSE)/1000</f>
        <v>0</v>
      </c>
      <c r="F244" s="178">
        <f>VLOOKUP(C244,'FERC TB 2025'!D254:R707,15,FALSE)/1000</f>
        <v>0</v>
      </c>
      <c r="G244" s="191">
        <f t="shared" si="6"/>
        <v>0</v>
      </c>
      <c r="H244" s="206" t="e">
        <f t="shared" si="7"/>
        <v>#DIV/0!</v>
      </c>
    </row>
    <row r="245" spans="1:8" hidden="1" x14ac:dyDescent="0.3">
      <c r="A245" s="177" t="s">
        <v>162</v>
      </c>
      <c r="B245" s="177" t="s">
        <v>163</v>
      </c>
      <c r="C245" s="201" t="s">
        <v>648</v>
      </c>
      <c r="D245" s="88" t="s">
        <v>649</v>
      </c>
      <c r="E245" s="178">
        <f>VLOOKUP(C245,'FERC TB 2024'!D255:S708,16,FALSE)/1000</f>
        <v>0</v>
      </c>
      <c r="F245" s="178">
        <f>VLOOKUP(C245,'FERC TB 2025'!D255:R708,15,FALSE)/1000</f>
        <v>0</v>
      </c>
      <c r="G245" s="191">
        <f t="shared" si="6"/>
        <v>0</v>
      </c>
      <c r="H245" s="206" t="e">
        <f t="shared" si="7"/>
        <v>#DIV/0!</v>
      </c>
    </row>
    <row r="246" spans="1:8" hidden="1" x14ac:dyDescent="0.3">
      <c r="A246" s="177" t="s">
        <v>162</v>
      </c>
      <c r="B246" s="177" t="s">
        <v>163</v>
      </c>
      <c r="C246" s="201" t="s">
        <v>650</v>
      </c>
      <c r="D246" s="88" t="s">
        <v>651</v>
      </c>
      <c r="E246" s="178">
        <f>VLOOKUP(C246,'FERC TB 2024'!D256:S709,16,FALSE)/1000</f>
        <v>0</v>
      </c>
      <c r="F246" s="178">
        <f>VLOOKUP(C246,'FERC TB 2025'!D256:R709,15,FALSE)/1000</f>
        <v>0</v>
      </c>
      <c r="G246" s="191">
        <f t="shared" si="6"/>
        <v>0</v>
      </c>
      <c r="H246" s="206" t="e">
        <f t="shared" si="7"/>
        <v>#DIV/0!</v>
      </c>
    </row>
    <row r="247" spans="1:8" hidden="1" x14ac:dyDescent="0.3">
      <c r="A247" s="177" t="s">
        <v>162</v>
      </c>
      <c r="B247" s="177" t="s">
        <v>163</v>
      </c>
      <c r="C247" s="201" t="s">
        <v>652</v>
      </c>
      <c r="D247" s="88" t="s">
        <v>653</v>
      </c>
      <c r="E247" s="178">
        <f>VLOOKUP(C247,'FERC TB 2024'!D257:S710,16,FALSE)/1000</f>
        <v>0</v>
      </c>
      <c r="F247" s="178">
        <f>VLOOKUP(C247,'FERC TB 2025'!D257:R710,15,FALSE)/1000</f>
        <v>0</v>
      </c>
      <c r="G247" s="191">
        <f t="shared" si="6"/>
        <v>0</v>
      </c>
      <c r="H247" s="206" t="e">
        <f t="shared" si="7"/>
        <v>#DIV/0!</v>
      </c>
    </row>
    <row r="248" spans="1:8" hidden="1" x14ac:dyDescent="0.3">
      <c r="A248" s="177" t="s">
        <v>162</v>
      </c>
      <c r="B248" s="177" t="s">
        <v>163</v>
      </c>
      <c r="C248" s="201" t="s">
        <v>654</v>
      </c>
      <c r="D248" s="88" t="s">
        <v>655</v>
      </c>
      <c r="E248" s="178">
        <f>VLOOKUP(C248,'FERC TB 2024'!D258:S711,16,FALSE)/1000</f>
        <v>0</v>
      </c>
      <c r="F248" s="178">
        <f>VLOOKUP(C248,'FERC TB 2025'!D258:R711,15,FALSE)/1000</f>
        <v>0</v>
      </c>
      <c r="G248" s="191">
        <f t="shared" si="6"/>
        <v>0</v>
      </c>
      <c r="H248" s="206" t="e">
        <f t="shared" si="7"/>
        <v>#DIV/0!</v>
      </c>
    </row>
    <row r="249" spans="1:8" hidden="1" x14ac:dyDescent="0.3">
      <c r="A249" s="177" t="s">
        <v>162</v>
      </c>
      <c r="B249" s="177" t="s">
        <v>163</v>
      </c>
      <c r="C249" s="201" t="s">
        <v>656</v>
      </c>
      <c r="D249" s="88" t="s">
        <v>657</v>
      </c>
      <c r="E249" s="178">
        <f>VLOOKUP(C249,'FERC TB 2024'!D259:S712,16,FALSE)/1000</f>
        <v>0</v>
      </c>
      <c r="F249" s="178">
        <f>VLOOKUP(C249,'FERC TB 2025'!D259:R712,15,FALSE)/1000</f>
        <v>0</v>
      </c>
      <c r="G249" s="191">
        <f t="shared" si="6"/>
        <v>0</v>
      </c>
      <c r="H249" s="206" t="e">
        <f t="shared" si="7"/>
        <v>#DIV/0!</v>
      </c>
    </row>
    <row r="250" spans="1:8" hidden="1" x14ac:dyDescent="0.3">
      <c r="A250" s="177" t="s">
        <v>162</v>
      </c>
      <c r="B250" s="177" t="s">
        <v>163</v>
      </c>
      <c r="C250" s="201" t="s">
        <v>658</v>
      </c>
      <c r="D250" s="88" t="s">
        <v>659</v>
      </c>
      <c r="E250" s="178">
        <f>VLOOKUP(C250,'FERC TB 2024'!D260:S713,16,FALSE)/1000</f>
        <v>0</v>
      </c>
      <c r="F250" s="178">
        <f>VLOOKUP(C250,'FERC TB 2025'!D260:R713,15,FALSE)/1000</f>
        <v>0</v>
      </c>
      <c r="G250" s="191">
        <f t="shared" si="6"/>
        <v>0</v>
      </c>
      <c r="H250" s="206" t="e">
        <f t="shared" si="7"/>
        <v>#DIV/0!</v>
      </c>
    </row>
    <row r="251" spans="1:8" hidden="1" x14ac:dyDescent="0.3">
      <c r="A251" s="177" t="s">
        <v>162</v>
      </c>
      <c r="B251" s="177" t="s">
        <v>163</v>
      </c>
      <c r="C251" s="201" t="s">
        <v>660</v>
      </c>
      <c r="D251" s="88" t="s">
        <v>661</v>
      </c>
      <c r="E251" s="178">
        <f>VLOOKUP(C251,'FERC TB 2024'!D261:S714,16,FALSE)/1000</f>
        <v>0</v>
      </c>
      <c r="F251" s="178">
        <f>VLOOKUP(C251,'FERC TB 2025'!D261:R714,15,FALSE)/1000</f>
        <v>0</v>
      </c>
      <c r="G251" s="191">
        <f t="shared" si="6"/>
        <v>0</v>
      </c>
      <c r="H251" s="206" t="e">
        <f t="shared" si="7"/>
        <v>#DIV/0!</v>
      </c>
    </row>
    <row r="252" spans="1:8" hidden="1" x14ac:dyDescent="0.3">
      <c r="A252" s="177" t="s">
        <v>162</v>
      </c>
      <c r="B252" s="177" t="s">
        <v>163</v>
      </c>
      <c r="C252" s="201" t="s">
        <v>662</v>
      </c>
      <c r="D252" s="88" t="s">
        <v>663</v>
      </c>
      <c r="E252" s="178">
        <f>VLOOKUP(C252,'FERC TB 2024'!D262:S715,16,FALSE)/1000</f>
        <v>0</v>
      </c>
      <c r="F252" s="178">
        <f>VLOOKUP(C252,'FERC TB 2025'!D262:R715,15,FALSE)/1000</f>
        <v>0</v>
      </c>
      <c r="G252" s="191">
        <f t="shared" si="6"/>
        <v>0</v>
      </c>
      <c r="H252" s="206" t="e">
        <f t="shared" si="7"/>
        <v>#DIV/0!</v>
      </c>
    </row>
    <row r="253" spans="1:8" hidden="1" x14ac:dyDescent="0.3">
      <c r="A253" s="177" t="s">
        <v>162</v>
      </c>
      <c r="B253" s="177" t="s">
        <v>163</v>
      </c>
      <c r="C253" s="201" t="s">
        <v>664</v>
      </c>
      <c r="D253" s="88" t="s">
        <v>665</v>
      </c>
      <c r="E253" s="178">
        <f>VLOOKUP(C253,'FERC TB 2024'!D263:S716,16,FALSE)/1000</f>
        <v>0</v>
      </c>
      <c r="F253" s="178">
        <f>VLOOKUP(C253,'FERC TB 2025'!D263:R716,15,FALSE)/1000</f>
        <v>0</v>
      </c>
      <c r="G253" s="191">
        <f t="shared" si="6"/>
        <v>0</v>
      </c>
      <c r="H253" s="206" t="e">
        <f t="shared" si="7"/>
        <v>#DIV/0!</v>
      </c>
    </row>
    <row r="254" spans="1:8" hidden="1" x14ac:dyDescent="0.3">
      <c r="A254" s="177" t="s">
        <v>162</v>
      </c>
      <c r="B254" s="177" t="s">
        <v>163</v>
      </c>
      <c r="C254" s="201" t="s">
        <v>666</v>
      </c>
      <c r="D254" s="88" t="s">
        <v>667</v>
      </c>
      <c r="E254" s="178">
        <f>VLOOKUP(C254,'FERC TB 2024'!D264:S717,16,FALSE)/1000</f>
        <v>0</v>
      </c>
      <c r="F254" s="178">
        <f>VLOOKUP(C254,'FERC TB 2025'!D264:R717,15,FALSE)/1000</f>
        <v>0</v>
      </c>
      <c r="G254" s="191">
        <f t="shared" si="6"/>
        <v>0</v>
      </c>
      <c r="H254" s="206" t="e">
        <f t="shared" si="7"/>
        <v>#DIV/0!</v>
      </c>
    </row>
    <row r="255" spans="1:8" hidden="1" x14ac:dyDescent="0.3">
      <c r="A255" s="177" t="s">
        <v>162</v>
      </c>
      <c r="B255" s="177" t="s">
        <v>163</v>
      </c>
      <c r="C255" s="201" t="s">
        <v>668</v>
      </c>
      <c r="D255" s="88" t="s">
        <v>669</v>
      </c>
      <c r="E255" s="178">
        <f>VLOOKUP(C255,'FERC TB 2024'!D265:S718,16,FALSE)/1000</f>
        <v>0</v>
      </c>
      <c r="F255" s="178">
        <f>VLOOKUP(C255,'FERC TB 2025'!D265:R718,15,FALSE)/1000</f>
        <v>0</v>
      </c>
      <c r="G255" s="191">
        <f t="shared" si="6"/>
        <v>0</v>
      </c>
      <c r="H255" s="206" t="e">
        <f t="shared" si="7"/>
        <v>#DIV/0!</v>
      </c>
    </row>
    <row r="256" spans="1:8" hidden="1" x14ac:dyDescent="0.3">
      <c r="A256" s="177" t="s">
        <v>162</v>
      </c>
      <c r="B256" s="177" t="s">
        <v>163</v>
      </c>
      <c r="C256" s="201" t="s">
        <v>670</v>
      </c>
      <c r="D256" s="88" t="s">
        <v>671</v>
      </c>
      <c r="E256" s="178">
        <f>VLOOKUP(C256,'FERC TB 2024'!D266:S719,16,FALSE)/1000</f>
        <v>0</v>
      </c>
      <c r="F256" s="178">
        <f>VLOOKUP(C256,'FERC TB 2025'!D266:R719,15,FALSE)/1000</f>
        <v>0</v>
      </c>
      <c r="G256" s="191">
        <f t="shared" si="6"/>
        <v>0</v>
      </c>
      <c r="H256" s="206" t="e">
        <f t="shared" si="7"/>
        <v>#DIV/0!</v>
      </c>
    </row>
    <row r="257" spans="1:10" hidden="1" x14ac:dyDescent="0.3">
      <c r="A257" s="177" t="s">
        <v>162</v>
      </c>
      <c r="B257" s="177" t="s">
        <v>163</v>
      </c>
      <c r="C257" s="201" t="s">
        <v>672</v>
      </c>
      <c r="D257" s="88" t="s">
        <v>673</v>
      </c>
      <c r="E257" s="178">
        <f>VLOOKUP(C257,'FERC TB 2024'!D267:S720,16,FALSE)/1000</f>
        <v>0</v>
      </c>
      <c r="F257" s="178">
        <f>VLOOKUP(C257,'FERC TB 2025'!D267:R720,15,FALSE)/1000</f>
        <v>0</v>
      </c>
      <c r="G257" s="191">
        <f t="shared" si="6"/>
        <v>0</v>
      </c>
      <c r="H257" s="206" t="e">
        <f t="shared" si="7"/>
        <v>#DIV/0!</v>
      </c>
    </row>
    <row r="258" spans="1:10" hidden="1" x14ac:dyDescent="0.3">
      <c r="A258" s="177" t="s">
        <v>162</v>
      </c>
      <c r="B258" s="177" t="s">
        <v>163</v>
      </c>
      <c r="C258" s="201" t="s">
        <v>674</v>
      </c>
      <c r="D258" s="88" t="s">
        <v>675</v>
      </c>
      <c r="E258" s="178">
        <f>VLOOKUP(C258,'FERC TB 2024'!D268:S721,16,FALSE)/1000</f>
        <v>0</v>
      </c>
      <c r="F258" s="178">
        <f>VLOOKUP(C258,'FERC TB 2025'!D268:R721,15,FALSE)/1000</f>
        <v>0</v>
      </c>
      <c r="G258" s="191">
        <f t="shared" si="6"/>
        <v>0</v>
      </c>
      <c r="H258" s="206" t="e">
        <f t="shared" si="7"/>
        <v>#DIV/0!</v>
      </c>
    </row>
    <row r="259" spans="1:10" hidden="1" x14ac:dyDescent="0.3">
      <c r="A259" s="177" t="s">
        <v>162</v>
      </c>
      <c r="B259" s="177" t="s">
        <v>163</v>
      </c>
      <c r="C259" s="201" t="s">
        <v>676</v>
      </c>
      <c r="D259" s="88" t="s">
        <v>677</v>
      </c>
      <c r="E259" s="178">
        <f>VLOOKUP(C259,'FERC TB 2024'!D269:S722,16,FALSE)/1000</f>
        <v>619326.8061428573</v>
      </c>
      <c r="F259" s="178">
        <f>VLOOKUP(C259,'FERC TB 2025'!D269:R722,15,FALSE)/1000</f>
        <v>670558.86280952359</v>
      </c>
      <c r="G259" s="191">
        <f t="shared" si="6"/>
        <v>51232.056666666293</v>
      </c>
      <c r="H259" s="206">
        <f t="shared" si="7"/>
        <v>8.2722168907458565E-2</v>
      </c>
    </row>
    <row r="260" spans="1:10" hidden="1" x14ac:dyDescent="0.3">
      <c r="A260" s="177" t="s">
        <v>162</v>
      </c>
      <c r="B260" s="177" t="s">
        <v>163</v>
      </c>
      <c r="C260" s="201" t="s">
        <v>678</v>
      </c>
      <c r="D260" s="88" t="s">
        <v>679</v>
      </c>
      <c r="E260" s="178">
        <f>VLOOKUP(C260,'FERC TB 2024'!D270:S723,16,FALSE)/1000</f>
        <v>28383.420219375297</v>
      </c>
      <c r="F260" s="178">
        <f>VLOOKUP(C260,'FERC TB 2025'!D270:R723,15,FALSE)/1000</f>
        <v>29268.1427068423</v>
      </c>
      <c r="G260" s="191">
        <f t="shared" ref="G260:G323" si="8">F260-E260</f>
        <v>884.72248746700279</v>
      </c>
      <c r="H260" s="206">
        <f t="shared" ref="H260:H323" si="9">G260/E260</f>
        <v>3.1170397387946469E-2</v>
      </c>
    </row>
    <row r="261" spans="1:10" hidden="1" x14ac:dyDescent="0.3">
      <c r="A261" s="177" t="s">
        <v>162</v>
      </c>
      <c r="B261" s="177" t="s">
        <v>163</v>
      </c>
      <c r="C261" s="201" t="s">
        <v>680</v>
      </c>
      <c r="D261" s="88" t="s">
        <v>681</v>
      </c>
      <c r="E261" s="178">
        <f>VLOOKUP(C261,'FERC TB 2024'!D271:S724,16,FALSE)/1000</f>
        <v>0</v>
      </c>
      <c r="F261" s="178">
        <f>VLOOKUP(C261,'FERC TB 2025'!D271:R724,15,FALSE)/1000</f>
        <v>0</v>
      </c>
      <c r="G261" s="191">
        <f t="shared" si="8"/>
        <v>0</v>
      </c>
      <c r="H261" s="206" t="e">
        <f t="shared" si="9"/>
        <v>#DIV/0!</v>
      </c>
    </row>
    <row r="262" spans="1:10" hidden="1" x14ac:dyDescent="0.3">
      <c r="A262" s="177" t="s">
        <v>162</v>
      </c>
      <c r="B262" s="177" t="s">
        <v>163</v>
      </c>
      <c r="C262" s="201" t="s">
        <v>682</v>
      </c>
      <c r="D262" s="88" t="s">
        <v>683</v>
      </c>
      <c r="E262" s="178">
        <f>VLOOKUP(C262,'FERC TB 2024'!D272:S725,16,FALSE)/1000</f>
        <v>9153.0218127885</v>
      </c>
      <c r="F262" s="178">
        <f>VLOOKUP(C262,'FERC TB 2025'!D272:R725,15,FALSE)/1000</f>
        <v>9326.6842781143005</v>
      </c>
      <c r="G262" s="191">
        <f t="shared" si="8"/>
        <v>173.66246532580044</v>
      </c>
      <c r="H262" s="206">
        <f t="shared" si="9"/>
        <v>1.8973238442757907E-2</v>
      </c>
    </row>
    <row r="263" spans="1:10" hidden="1" x14ac:dyDescent="0.3">
      <c r="A263" s="177" t="s">
        <v>162</v>
      </c>
      <c r="B263" s="177" t="s">
        <v>163</v>
      </c>
      <c r="C263" s="201" t="s">
        <v>684</v>
      </c>
      <c r="D263" s="88" t="s">
        <v>685</v>
      </c>
      <c r="E263" s="178">
        <f>VLOOKUP(C263,'FERC TB 2024'!D273:S726,16,FALSE)/1000</f>
        <v>0</v>
      </c>
      <c r="F263" s="178">
        <f>VLOOKUP(C263,'FERC TB 2025'!D273:R726,15,FALSE)/1000</f>
        <v>0</v>
      </c>
      <c r="G263" s="191">
        <f t="shared" si="8"/>
        <v>0</v>
      </c>
      <c r="H263" s="206" t="e">
        <f t="shared" si="9"/>
        <v>#DIV/0!</v>
      </c>
    </row>
    <row r="264" spans="1:10" hidden="1" x14ac:dyDescent="0.3">
      <c r="A264" s="177" t="s">
        <v>162</v>
      </c>
      <c r="B264" s="177" t="s">
        <v>163</v>
      </c>
      <c r="C264" s="201" t="s">
        <v>686</v>
      </c>
      <c r="D264" s="88" t="s">
        <v>687</v>
      </c>
      <c r="E264" s="178">
        <f>VLOOKUP(C264,'FERC TB 2024'!D274:S727,16,FALSE)/1000</f>
        <v>0</v>
      </c>
      <c r="F264" s="178">
        <f>VLOOKUP(C264,'FERC TB 2025'!D274:R727,15,FALSE)/1000</f>
        <v>0</v>
      </c>
      <c r="G264" s="191">
        <f t="shared" si="8"/>
        <v>0</v>
      </c>
      <c r="H264" s="206" t="e">
        <f t="shared" si="9"/>
        <v>#DIV/0!</v>
      </c>
    </row>
    <row r="265" spans="1:10" hidden="1" x14ac:dyDescent="0.3">
      <c r="A265" s="177" t="s">
        <v>162</v>
      </c>
      <c r="B265" s="177" t="s">
        <v>163</v>
      </c>
      <c r="C265" s="201" t="s">
        <v>688</v>
      </c>
      <c r="D265" s="88" t="s">
        <v>689</v>
      </c>
      <c r="E265" s="178">
        <f>VLOOKUP(C265,'FERC TB 2024'!D275:S728,16,FALSE)/1000</f>
        <v>1508.5797997991001</v>
      </c>
      <c r="F265" s="178">
        <f>VLOOKUP(C265,'FERC TB 2025'!D275:R728,15,FALSE)/1000</f>
        <v>1878.5197654971</v>
      </c>
      <c r="G265" s="191">
        <f t="shared" si="8"/>
        <v>369.93996569799992</v>
      </c>
      <c r="H265" s="206">
        <f t="shared" si="9"/>
        <v>0.24522399527506958</v>
      </c>
    </row>
    <row r="266" spans="1:10" x14ac:dyDescent="0.3">
      <c r="A266" s="177" t="s">
        <v>162</v>
      </c>
      <c r="B266" s="177" t="s">
        <v>163</v>
      </c>
      <c r="C266" s="201" t="s">
        <v>690</v>
      </c>
      <c r="D266" s="88" t="s">
        <v>691</v>
      </c>
      <c r="E266" s="241">
        <f>VLOOKUP(C266,'FERC TB 2024'!D276:S729,16,FALSE)/1000</f>
        <v>31342.539825929594</v>
      </c>
      <c r="F266" s="241">
        <f>VLOOKUP(C266,'FERC TB 2025'!D276:R729,15,FALSE)/1000</f>
        <v>37241.383476004899</v>
      </c>
      <c r="G266" s="240">
        <f t="shared" si="8"/>
        <v>5898.843650075305</v>
      </c>
      <c r="H266" s="206">
        <f t="shared" si="9"/>
        <v>0.18820566816972531</v>
      </c>
      <c r="I266" t="s">
        <v>1581</v>
      </c>
      <c r="J266" t="s">
        <v>1584</v>
      </c>
    </row>
    <row r="267" spans="1:10" hidden="1" x14ac:dyDescent="0.3">
      <c r="A267" s="177" t="s">
        <v>162</v>
      </c>
      <c r="B267" s="177" t="s">
        <v>163</v>
      </c>
      <c r="C267" s="201" t="s">
        <v>692</v>
      </c>
      <c r="D267" s="88" t="s">
        <v>693</v>
      </c>
      <c r="E267" s="178">
        <f>VLOOKUP(C267,'FERC TB 2024'!D277:S730,16,FALSE)/1000</f>
        <v>0</v>
      </c>
      <c r="F267" s="178">
        <f>VLOOKUP(C267,'FERC TB 2025'!D277:R730,15,FALSE)/1000</f>
        <v>0</v>
      </c>
      <c r="G267" s="191">
        <f t="shared" si="8"/>
        <v>0</v>
      </c>
      <c r="H267" s="206" t="e">
        <f t="shared" si="9"/>
        <v>#DIV/0!</v>
      </c>
    </row>
    <row r="268" spans="1:10" hidden="1" x14ac:dyDescent="0.3">
      <c r="A268" s="177" t="s">
        <v>162</v>
      </c>
      <c r="B268" s="177" t="s">
        <v>163</v>
      </c>
      <c r="C268" s="201" t="s">
        <v>694</v>
      </c>
      <c r="D268" s="88" t="s">
        <v>695</v>
      </c>
      <c r="E268" s="178">
        <f>VLOOKUP(C268,'FERC TB 2024'!D278:S731,16,FALSE)/1000</f>
        <v>1262.8269527146001</v>
      </c>
      <c r="F268" s="178">
        <f>VLOOKUP(C268,'FERC TB 2025'!D278:R731,15,FALSE)/1000</f>
        <v>1266.4336845978</v>
      </c>
      <c r="G268" s="191">
        <f t="shared" si="8"/>
        <v>3.6067318831999273</v>
      </c>
      <c r="H268" s="206">
        <f t="shared" si="9"/>
        <v>2.8560776877994396E-3</v>
      </c>
    </row>
    <row r="269" spans="1:10" x14ac:dyDescent="0.3">
      <c r="A269" s="177" t="s">
        <v>162</v>
      </c>
      <c r="B269" s="177" t="s">
        <v>163</v>
      </c>
      <c r="C269" s="201" t="s">
        <v>696</v>
      </c>
      <c r="D269" s="88" t="s">
        <v>697</v>
      </c>
      <c r="E269" s="241">
        <f>VLOOKUP(C269,'FERC TB 2024'!D279:S732,16,FALSE)/1000</f>
        <v>21028.651428460798</v>
      </c>
      <c r="F269" s="241">
        <f>VLOOKUP(C269,'FERC TB 2025'!D279:R732,15,FALSE)/1000</f>
        <v>16783.255023564801</v>
      </c>
      <c r="G269" s="240">
        <f t="shared" si="8"/>
        <v>-4245.396404895997</v>
      </c>
      <c r="H269" s="206">
        <f t="shared" si="9"/>
        <v>-0.20188628925343982</v>
      </c>
      <c r="I269" t="s">
        <v>1575</v>
      </c>
    </row>
    <row r="270" spans="1:10" x14ac:dyDescent="0.3">
      <c r="A270" s="177" t="s">
        <v>162</v>
      </c>
      <c r="B270" s="177" t="s">
        <v>163</v>
      </c>
      <c r="C270" s="201" t="s">
        <v>698</v>
      </c>
      <c r="D270" s="88" t="s">
        <v>699</v>
      </c>
      <c r="E270" s="241">
        <f>VLOOKUP(C270,'FERC TB 2024'!D280:S733,16,FALSE)/1000</f>
        <v>316.34439457619993</v>
      </c>
      <c r="F270" s="241">
        <f>VLOOKUP(C270,'FERC TB 2025'!D280:R733,15,FALSE)/1000</f>
        <v>-955.71017730350002</v>
      </c>
      <c r="G270" s="240">
        <f t="shared" si="8"/>
        <v>-1272.0545718797</v>
      </c>
      <c r="H270" s="206">
        <f t="shared" si="9"/>
        <v>-4.0211067232085629</v>
      </c>
      <c r="I270" t="s">
        <v>1585</v>
      </c>
    </row>
    <row r="271" spans="1:10" hidden="1" x14ac:dyDescent="0.3">
      <c r="A271" s="177" t="s">
        <v>162</v>
      </c>
      <c r="B271" s="177" t="s">
        <v>163</v>
      </c>
      <c r="C271" s="201" t="s">
        <v>700</v>
      </c>
      <c r="D271" s="88" t="s">
        <v>701</v>
      </c>
      <c r="E271" s="178">
        <f>VLOOKUP(C271,'FERC TB 2024'!D281:S734,16,FALSE)/1000</f>
        <v>0</v>
      </c>
      <c r="F271" s="178">
        <f>VLOOKUP(C271,'FERC TB 2025'!D281:R734,15,FALSE)/1000</f>
        <v>0</v>
      </c>
      <c r="G271" s="191">
        <f t="shared" si="8"/>
        <v>0</v>
      </c>
      <c r="H271" s="206" t="e">
        <f t="shared" si="9"/>
        <v>#DIV/0!</v>
      </c>
    </row>
    <row r="272" spans="1:10" hidden="1" x14ac:dyDescent="0.3">
      <c r="A272" s="177" t="s">
        <v>162</v>
      </c>
      <c r="B272" s="177" t="s">
        <v>163</v>
      </c>
      <c r="C272" s="201" t="s">
        <v>702</v>
      </c>
      <c r="D272" s="88" t="s">
        <v>703</v>
      </c>
      <c r="E272" s="178">
        <f>VLOOKUP(C272,'FERC TB 2024'!D282:S735,16,FALSE)/1000</f>
        <v>851.19527371469985</v>
      </c>
      <c r="F272" s="178">
        <f>VLOOKUP(C272,'FERC TB 2025'!D282:R735,15,FALSE)/1000</f>
        <v>916.3361217465</v>
      </c>
      <c r="G272" s="191">
        <f t="shared" si="8"/>
        <v>65.140848031800147</v>
      </c>
      <c r="H272" s="206">
        <f t="shared" si="9"/>
        <v>7.6528676842293877E-2</v>
      </c>
    </row>
    <row r="273" spans="1:8" hidden="1" x14ac:dyDescent="0.3">
      <c r="A273" s="177" t="s">
        <v>162</v>
      </c>
      <c r="B273" s="177" t="s">
        <v>163</v>
      </c>
      <c r="C273" s="201" t="s">
        <v>704</v>
      </c>
      <c r="D273" s="88" t="s">
        <v>705</v>
      </c>
      <c r="E273" s="178">
        <f>VLOOKUP(C273,'FERC TB 2024'!D283:S736,16,FALSE)/1000</f>
        <v>0</v>
      </c>
      <c r="F273" s="178">
        <f>VLOOKUP(C273,'FERC TB 2025'!D283:R736,15,FALSE)/1000</f>
        <v>0</v>
      </c>
      <c r="G273" s="191">
        <f t="shared" si="8"/>
        <v>0</v>
      </c>
      <c r="H273" s="206" t="e">
        <f t="shared" si="9"/>
        <v>#DIV/0!</v>
      </c>
    </row>
    <row r="274" spans="1:8" hidden="1" x14ac:dyDescent="0.3">
      <c r="A274" s="177" t="s">
        <v>162</v>
      </c>
      <c r="B274" s="177" t="s">
        <v>163</v>
      </c>
      <c r="C274" s="201" t="s">
        <v>706</v>
      </c>
      <c r="D274" s="88" t="s">
        <v>707</v>
      </c>
      <c r="E274" s="178">
        <f>VLOOKUP(C274,'FERC TB 2024'!D284:S737,16,FALSE)/1000</f>
        <v>0</v>
      </c>
      <c r="F274" s="178">
        <f>VLOOKUP(C274,'FERC TB 2025'!D284:R737,15,FALSE)/1000</f>
        <v>0</v>
      </c>
      <c r="G274" s="191">
        <f t="shared" si="8"/>
        <v>0</v>
      </c>
      <c r="H274" s="206" t="e">
        <f t="shared" si="9"/>
        <v>#DIV/0!</v>
      </c>
    </row>
    <row r="275" spans="1:8" hidden="1" x14ac:dyDescent="0.3">
      <c r="A275" s="177" t="s">
        <v>162</v>
      </c>
      <c r="B275" s="177" t="s">
        <v>163</v>
      </c>
      <c r="C275" s="201" t="s">
        <v>708</v>
      </c>
      <c r="D275" s="88" t="s">
        <v>709</v>
      </c>
      <c r="E275" s="178">
        <f>VLOOKUP(C275,'FERC TB 2024'!D285:S738,16,FALSE)/1000</f>
        <v>1829.3056412715998</v>
      </c>
      <c r="F275" s="178">
        <f>VLOOKUP(C275,'FERC TB 2025'!D285:R738,15,FALSE)/1000</f>
        <v>1610.1871704611001</v>
      </c>
      <c r="G275" s="191">
        <f t="shared" si="8"/>
        <v>-219.11847081049973</v>
      </c>
      <c r="H275" s="206">
        <f t="shared" si="9"/>
        <v>-0.11978231842011079</v>
      </c>
    </row>
    <row r="276" spans="1:8" hidden="1" x14ac:dyDescent="0.3">
      <c r="A276" s="177" t="s">
        <v>162</v>
      </c>
      <c r="B276" s="177" t="s">
        <v>163</v>
      </c>
      <c r="C276" s="201" t="s">
        <v>710</v>
      </c>
      <c r="D276" s="88" t="s">
        <v>711</v>
      </c>
      <c r="E276" s="178">
        <f>VLOOKUP(C276,'FERC TB 2024'!D286:S739,16,FALSE)/1000</f>
        <v>1047.9581930187003</v>
      </c>
      <c r="F276" s="178">
        <f>VLOOKUP(C276,'FERC TB 2025'!D286:R739,15,FALSE)/1000</f>
        <v>1030.425530345</v>
      </c>
      <c r="G276" s="191">
        <f t="shared" si="8"/>
        <v>-17.532662673700315</v>
      </c>
      <c r="H276" s="206">
        <f t="shared" si="9"/>
        <v>-1.6730307363881123E-2</v>
      </c>
    </row>
    <row r="277" spans="1:8" hidden="1" x14ac:dyDescent="0.3">
      <c r="A277" s="177" t="s">
        <v>162</v>
      </c>
      <c r="B277" s="177" t="s">
        <v>163</v>
      </c>
      <c r="C277" s="201" t="s">
        <v>712</v>
      </c>
      <c r="D277" s="88" t="s">
        <v>713</v>
      </c>
      <c r="E277" s="178">
        <f>VLOOKUP(C277,'FERC TB 2024'!D287:S740,16,FALSE)/1000</f>
        <v>0</v>
      </c>
      <c r="F277" s="178">
        <f>VLOOKUP(C277,'FERC TB 2025'!D287:R740,15,FALSE)/1000</f>
        <v>0</v>
      </c>
      <c r="G277" s="191">
        <f t="shared" si="8"/>
        <v>0</v>
      </c>
      <c r="H277" s="206" t="e">
        <f t="shared" si="9"/>
        <v>#DIV/0!</v>
      </c>
    </row>
    <row r="278" spans="1:8" hidden="1" x14ac:dyDescent="0.3">
      <c r="A278" s="177" t="s">
        <v>162</v>
      </c>
      <c r="B278" s="177" t="s">
        <v>163</v>
      </c>
      <c r="C278" s="201" t="s">
        <v>714</v>
      </c>
      <c r="D278" s="88" t="s">
        <v>715</v>
      </c>
      <c r="E278" s="178">
        <f>VLOOKUP(C278,'FERC TB 2024'!D288:S741,16,FALSE)/1000</f>
        <v>0</v>
      </c>
      <c r="F278" s="178">
        <f>VLOOKUP(C278,'FERC TB 2025'!D288:R741,15,FALSE)/1000</f>
        <v>0</v>
      </c>
      <c r="G278" s="191">
        <f t="shared" si="8"/>
        <v>0</v>
      </c>
      <c r="H278" s="206" t="e">
        <f t="shared" si="9"/>
        <v>#DIV/0!</v>
      </c>
    </row>
    <row r="279" spans="1:8" hidden="1" x14ac:dyDescent="0.3">
      <c r="A279" s="177" t="s">
        <v>162</v>
      </c>
      <c r="B279" s="177" t="s">
        <v>163</v>
      </c>
      <c r="C279" s="201" t="s">
        <v>716</v>
      </c>
      <c r="D279" s="88" t="s">
        <v>717</v>
      </c>
      <c r="E279" s="178">
        <f>VLOOKUP(C279,'FERC TB 2024'!D289:S742,16,FALSE)/1000</f>
        <v>0</v>
      </c>
      <c r="F279" s="178">
        <f>VLOOKUP(C279,'FERC TB 2025'!D289:R742,15,FALSE)/1000</f>
        <v>0</v>
      </c>
      <c r="G279" s="191">
        <f t="shared" si="8"/>
        <v>0</v>
      </c>
      <c r="H279" s="206" t="e">
        <f t="shared" si="9"/>
        <v>#DIV/0!</v>
      </c>
    </row>
    <row r="280" spans="1:8" hidden="1" x14ac:dyDescent="0.3">
      <c r="A280" s="177" t="s">
        <v>162</v>
      </c>
      <c r="B280" s="177" t="s">
        <v>163</v>
      </c>
      <c r="C280" s="201" t="s">
        <v>718</v>
      </c>
      <c r="D280" s="88" t="s">
        <v>719</v>
      </c>
      <c r="E280" s="178">
        <f>VLOOKUP(C280,'FERC TB 2024'!D290:S743,16,FALSE)/1000</f>
        <v>0</v>
      </c>
      <c r="F280" s="178">
        <f>VLOOKUP(C280,'FERC TB 2025'!D290:R743,15,FALSE)/1000</f>
        <v>0</v>
      </c>
      <c r="G280" s="191">
        <f t="shared" si="8"/>
        <v>0</v>
      </c>
      <c r="H280" s="206" t="e">
        <f t="shared" si="9"/>
        <v>#DIV/0!</v>
      </c>
    </row>
    <row r="281" spans="1:8" hidden="1" x14ac:dyDescent="0.3">
      <c r="A281" s="177" t="s">
        <v>162</v>
      </c>
      <c r="B281" s="177" t="s">
        <v>163</v>
      </c>
      <c r="C281" s="201" t="s">
        <v>720</v>
      </c>
      <c r="D281" s="88" t="s">
        <v>721</v>
      </c>
      <c r="E281" s="178">
        <f>VLOOKUP(C281,'FERC TB 2024'!D291:S744,16,FALSE)/1000</f>
        <v>0</v>
      </c>
      <c r="F281" s="178">
        <f>VLOOKUP(C281,'FERC TB 2025'!D291:R744,15,FALSE)/1000</f>
        <v>0</v>
      </c>
      <c r="G281" s="191">
        <f t="shared" si="8"/>
        <v>0</v>
      </c>
      <c r="H281" s="206" t="e">
        <f t="shared" si="9"/>
        <v>#DIV/0!</v>
      </c>
    </row>
    <row r="282" spans="1:8" hidden="1" x14ac:dyDescent="0.3">
      <c r="A282" s="177" t="s">
        <v>162</v>
      </c>
      <c r="B282" s="177" t="s">
        <v>163</v>
      </c>
      <c r="C282" s="201" t="s">
        <v>722</v>
      </c>
      <c r="D282" s="88" t="s">
        <v>723</v>
      </c>
      <c r="E282" s="178">
        <f>VLOOKUP(C282,'FERC TB 2024'!D292:S745,16,FALSE)/1000</f>
        <v>2098.8784482710998</v>
      </c>
      <c r="F282" s="178">
        <f>VLOOKUP(C282,'FERC TB 2025'!D292:R745,15,FALSE)/1000</f>
        <v>1643.6757839934</v>
      </c>
      <c r="G282" s="191">
        <f t="shared" si="8"/>
        <v>-455.2026642776998</v>
      </c>
      <c r="H282" s="206">
        <f t="shared" si="9"/>
        <v>-0.21687900252282924</v>
      </c>
    </row>
    <row r="283" spans="1:8" hidden="1" x14ac:dyDescent="0.3">
      <c r="A283" s="177" t="s">
        <v>162</v>
      </c>
      <c r="B283" s="177" t="s">
        <v>163</v>
      </c>
      <c r="C283" s="201" t="s">
        <v>724</v>
      </c>
      <c r="D283" s="88" t="s">
        <v>725</v>
      </c>
      <c r="E283" s="178">
        <f>VLOOKUP(C283,'FERC TB 2024'!D293:S746,16,FALSE)/1000</f>
        <v>463.6011513113001</v>
      </c>
      <c r="F283" s="178">
        <f>VLOOKUP(C283,'FERC TB 2025'!D293:R746,15,FALSE)/1000</f>
        <v>463.60115131129999</v>
      </c>
      <c r="G283" s="191">
        <f t="shared" si="8"/>
        <v>0</v>
      </c>
      <c r="H283" s="206">
        <f t="shared" si="9"/>
        <v>0</v>
      </c>
    </row>
    <row r="284" spans="1:8" hidden="1" x14ac:dyDescent="0.3">
      <c r="A284" s="177" t="s">
        <v>162</v>
      </c>
      <c r="B284" s="177" t="s">
        <v>163</v>
      </c>
      <c r="C284" s="201" t="s">
        <v>726</v>
      </c>
      <c r="D284" s="88" t="s">
        <v>727</v>
      </c>
      <c r="E284" s="178">
        <f>VLOOKUP(C284,'FERC TB 2024'!D294:S747,16,FALSE)/1000</f>
        <v>0</v>
      </c>
      <c r="F284" s="178">
        <f>VLOOKUP(C284,'FERC TB 2025'!D294:R747,15,FALSE)/1000</f>
        <v>0</v>
      </c>
      <c r="G284" s="191">
        <f t="shared" si="8"/>
        <v>0</v>
      </c>
      <c r="H284" s="206" t="e">
        <f t="shared" si="9"/>
        <v>#DIV/0!</v>
      </c>
    </row>
    <row r="285" spans="1:8" hidden="1" x14ac:dyDescent="0.3">
      <c r="A285" s="177" t="s">
        <v>162</v>
      </c>
      <c r="B285" s="177" t="s">
        <v>163</v>
      </c>
      <c r="C285" s="201" t="s">
        <v>728</v>
      </c>
      <c r="D285" s="88" t="s">
        <v>729</v>
      </c>
      <c r="E285" s="178">
        <f>VLOOKUP(C285,'FERC TB 2024'!D295:S748,16,FALSE)/1000</f>
        <v>0</v>
      </c>
      <c r="F285" s="178">
        <f>VLOOKUP(C285,'FERC TB 2025'!D295:R748,15,FALSE)/1000</f>
        <v>0</v>
      </c>
      <c r="G285" s="191">
        <f t="shared" si="8"/>
        <v>0</v>
      </c>
      <c r="H285" s="206" t="e">
        <f t="shared" si="9"/>
        <v>#DIV/0!</v>
      </c>
    </row>
    <row r="286" spans="1:8" hidden="1" x14ac:dyDescent="0.3">
      <c r="A286" s="177" t="s">
        <v>162</v>
      </c>
      <c r="B286" s="177" t="s">
        <v>163</v>
      </c>
      <c r="C286" s="201" t="s">
        <v>730</v>
      </c>
      <c r="D286" s="88" t="s">
        <v>731</v>
      </c>
      <c r="E286" s="178">
        <f>VLOOKUP(C286,'FERC TB 2024'!D296:S749,16,FALSE)/1000</f>
        <v>1910.9614909816003</v>
      </c>
      <c r="F286" s="178">
        <f>VLOOKUP(C286,'FERC TB 2025'!D296:R749,15,FALSE)/1000</f>
        <v>1801.1316979296</v>
      </c>
      <c r="G286" s="191">
        <f t="shared" si="8"/>
        <v>-109.82979305200024</v>
      </c>
      <c r="H286" s="206">
        <f t="shared" si="9"/>
        <v>-5.7473577343300705E-2</v>
      </c>
    </row>
    <row r="287" spans="1:8" hidden="1" x14ac:dyDescent="0.3">
      <c r="A287" s="177" t="s">
        <v>162</v>
      </c>
      <c r="B287" s="177" t="s">
        <v>163</v>
      </c>
      <c r="C287" s="201" t="s">
        <v>732</v>
      </c>
      <c r="D287" s="88" t="s">
        <v>733</v>
      </c>
      <c r="E287" s="178">
        <f>VLOOKUP(C287,'FERC TB 2024'!D297:S750,16,FALSE)/1000</f>
        <v>0</v>
      </c>
      <c r="F287" s="178">
        <f>VLOOKUP(C287,'FERC TB 2025'!D297:R750,15,FALSE)/1000</f>
        <v>0</v>
      </c>
      <c r="G287" s="191">
        <f t="shared" si="8"/>
        <v>0</v>
      </c>
      <c r="H287" s="206" t="e">
        <f t="shared" si="9"/>
        <v>#DIV/0!</v>
      </c>
    </row>
    <row r="288" spans="1:8" hidden="1" x14ac:dyDescent="0.3">
      <c r="A288" s="177" t="s">
        <v>162</v>
      </c>
      <c r="B288" s="177" t="s">
        <v>163</v>
      </c>
      <c r="C288" s="201" t="s">
        <v>734</v>
      </c>
      <c r="D288" s="88" t="s">
        <v>735</v>
      </c>
      <c r="E288" s="178">
        <f>VLOOKUP(C288,'FERC TB 2024'!D298:S751,16,FALSE)/1000</f>
        <v>0</v>
      </c>
      <c r="F288" s="178">
        <f>VLOOKUP(C288,'FERC TB 2025'!D298:R751,15,FALSE)/1000</f>
        <v>0</v>
      </c>
      <c r="G288" s="191">
        <f t="shared" si="8"/>
        <v>0</v>
      </c>
      <c r="H288" s="206" t="e">
        <f t="shared" si="9"/>
        <v>#DIV/0!</v>
      </c>
    </row>
    <row r="289" spans="1:9" hidden="1" x14ac:dyDescent="0.3">
      <c r="A289" s="177" t="s">
        <v>162</v>
      </c>
      <c r="B289" s="177" t="s">
        <v>163</v>
      </c>
      <c r="C289" s="201" t="s">
        <v>736</v>
      </c>
      <c r="D289" s="88" t="s">
        <v>737</v>
      </c>
      <c r="E289" s="178">
        <f>VLOOKUP(C289,'FERC TB 2024'!D299:S752,16,FALSE)/1000</f>
        <v>0</v>
      </c>
      <c r="F289" s="178">
        <f>VLOOKUP(C289,'FERC TB 2025'!D299:R752,15,FALSE)/1000</f>
        <v>0</v>
      </c>
      <c r="G289" s="191">
        <f t="shared" si="8"/>
        <v>0</v>
      </c>
      <c r="H289" s="206" t="e">
        <f t="shared" si="9"/>
        <v>#DIV/0!</v>
      </c>
    </row>
    <row r="290" spans="1:9" hidden="1" x14ac:dyDescent="0.3">
      <c r="A290" s="177" t="s">
        <v>162</v>
      </c>
      <c r="B290" s="177" t="s">
        <v>163</v>
      </c>
      <c r="C290" s="201" t="s">
        <v>738</v>
      </c>
      <c r="D290" s="88" t="s">
        <v>739</v>
      </c>
      <c r="E290" s="178">
        <f>VLOOKUP(C290,'FERC TB 2024'!D300:S753,16,FALSE)/1000</f>
        <v>0</v>
      </c>
      <c r="F290" s="178">
        <f>VLOOKUP(C290,'FERC TB 2025'!D300:R753,15,FALSE)/1000</f>
        <v>0</v>
      </c>
      <c r="G290" s="191">
        <f t="shared" si="8"/>
        <v>0</v>
      </c>
      <c r="H290" s="206" t="e">
        <f t="shared" si="9"/>
        <v>#DIV/0!</v>
      </c>
    </row>
    <row r="291" spans="1:9" hidden="1" x14ac:dyDescent="0.3">
      <c r="A291" s="177" t="s">
        <v>162</v>
      </c>
      <c r="B291" s="177" t="s">
        <v>163</v>
      </c>
      <c r="C291" s="201" t="s">
        <v>740</v>
      </c>
      <c r="D291" s="88" t="s">
        <v>741</v>
      </c>
      <c r="E291" s="178">
        <f>VLOOKUP(C291,'FERC TB 2024'!D301:S754,16,FALSE)/1000</f>
        <v>2059.1639032586004</v>
      </c>
      <c r="F291" s="178">
        <f>VLOOKUP(C291,'FERC TB 2025'!D301:R754,15,FALSE)/1000</f>
        <v>1594.6672386640998</v>
      </c>
      <c r="G291" s="191">
        <f t="shared" si="8"/>
        <v>-464.49666459450054</v>
      </c>
      <c r="H291" s="206">
        <f t="shared" si="9"/>
        <v>-0.22557537253806778</v>
      </c>
    </row>
    <row r="292" spans="1:9" hidden="1" x14ac:dyDescent="0.3">
      <c r="A292" s="177" t="s">
        <v>162</v>
      </c>
      <c r="B292" s="177" t="s">
        <v>163</v>
      </c>
      <c r="C292" s="201" t="s">
        <v>742</v>
      </c>
      <c r="D292" s="88" t="s">
        <v>743</v>
      </c>
      <c r="E292" s="178">
        <f>VLOOKUP(C292,'FERC TB 2024'!D302:S755,16,FALSE)/1000</f>
        <v>24.198999999600002</v>
      </c>
      <c r="F292" s="178">
        <f>VLOOKUP(C292,'FERC TB 2025'!D302:R755,15,FALSE)/1000</f>
        <v>286.5650199996</v>
      </c>
      <c r="G292" s="191">
        <f t="shared" si="8"/>
        <v>262.36601999999999</v>
      </c>
      <c r="H292" s="206">
        <f t="shared" si="9"/>
        <v>10.842019091877217</v>
      </c>
    </row>
    <row r="293" spans="1:9" hidden="1" x14ac:dyDescent="0.3">
      <c r="A293" s="177" t="s">
        <v>162</v>
      </c>
      <c r="B293" s="177" t="s">
        <v>163</v>
      </c>
      <c r="C293" s="201" t="s">
        <v>744</v>
      </c>
      <c r="D293" s="88" t="s">
        <v>745</v>
      </c>
      <c r="E293" s="178">
        <f>VLOOKUP(C293,'FERC TB 2024'!D303:S756,16,FALSE)/1000</f>
        <v>0</v>
      </c>
      <c r="F293" s="178">
        <f>VLOOKUP(C293,'FERC TB 2025'!D303:R756,15,FALSE)/1000</f>
        <v>0</v>
      </c>
      <c r="G293" s="191">
        <f t="shared" si="8"/>
        <v>0</v>
      </c>
      <c r="H293" s="206" t="e">
        <f t="shared" si="9"/>
        <v>#DIV/0!</v>
      </c>
    </row>
    <row r="294" spans="1:9" hidden="1" x14ac:dyDescent="0.3">
      <c r="A294" s="177" t="s">
        <v>162</v>
      </c>
      <c r="B294" s="177" t="s">
        <v>163</v>
      </c>
      <c r="C294" s="201" t="s">
        <v>746</v>
      </c>
      <c r="D294" s="88" t="s">
        <v>747</v>
      </c>
      <c r="E294" s="178">
        <f>VLOOKUP(C294,'FERC TB 2024'!D304:S757,16,FALSE)/1000</f>
        <v>1070.8590143557003</v>
      </c>
      <c r="F294" s="178">
        <f>VLOOKUP(C294,'FERC TB 2025'!D304:R757,15,FALSE)/1000</f>
        <v>1229.3502257025</v>
      </c>
      <c r="G294" s="191">
        <f t="shared" si="8"/>
        <v>158.49121134679967</v>
      </c>
      <c r="H294" s="206">
        <f t="shared" si="9"/>
        <v>0.1480038074313251</v>
      </c>
    </row>
    <row r="295" spans="1:9" x14ac:dyDescent="0.3">
      <c r="A295" s="177" t="s">
        <v>162</v>
      </c>
      <c r="B295" s="177" t="s">
        <v>163</v>
      </c>
      <c r="C295" s="201" t="s">
        <v>748</v>
      </c>
      <c r="D295" s="88" t="s">
        <v>749</v>
      </c>
      <c r="E295" s="241">
        <f>VLOOKUP(C295,'FERC TB 2024'!D305:S758,16,FALSE)/1000</f>
        <v>3812.1687458656002</v>
      </c>
      <c r="F295" s="241">
        <f>VLOOKUP(C295,'FERC TB 2025'!D305:R758,15,FALSE)/1000</f>
        <v>5757.2113196280998</v>
      </c>
      <c r="G295" s="240">
        <f t="shared" si="8"/>
        <v>1945.0425737624996</v>
      </c>
      <c r="H295" s="206">
        <f t="shared" si="9"/>
        <v>0.51021943240890133</v>
      </c>
      <c r="I295" t="s">
        <v>1585</v>
      </c>
    </row>
    <row r="296" spans="1:9" hidden="1" x14ac:dyDescent="0.3">
      <c r="A296" s="177" t="s">
        <v>162</v>
      </c>
      <c r="B296" s="177" t="s">
        <v>163</v>
      </c>
      <c r="C296" s="201" t="s">
        <v>750</v>
      </c>
      <c r="D296" s="88" t="s">
        <v>751</v>
      </c>
      <c r="E296" s="178">
        <f>VLOOKUP(C296,'FERC TB 2024'!D306:S759,16,FALSE)/1000</f>
        <v>0</v>
      </c>
      <c r="F296" s="178">
        <f>VLOOKUP(C296,'FERC TB 2025'!D306:R759,15,FALSE)/1000</f>
        <v>0</v>
      </c>
      <c r="G296" s="191">
        <f t="shared" si="8"/>
        <v>0</v>
      </c>
      <c r="H296" s="206" t="e">
        <f t="shared" si="9"/>
        <v>#DIV/0!</v>
      </c>
    </row>
    <row r="297" spans="1:9" hidden="1" x14ac:dyDescent="0.3">
      <c r="A297" s="177" t="s">
        <v>162</v>
      </c>
      <c r="B297" s="177" t="s">
        <v>163</v>
      </c>
      <c r="C297" s="201" t="s">
        <v>752</v>
      </c>
      <c r="D297" s="88" t="s">
        <v>753</v>
      </c>
      <c r="E297" s="178">
        <f>VLOOKUP(C297,'FERC TB 2024'!D307:S760,16,FALSE)/1000</f>
        <v>0</v>
      </c>
      <c r="F297" s="178">
        <f>VLOOKUP(C297,'FERC TB 2025'!D307:R760,15,FALSE)/1000</f>
        <v>0</v>
      </c>
      <c r="G297" s="191">
        <f t="shared" si="8"/>
        <v>0</v>
      </c>
      <c r="H297" s="206" t="e">
        <f t="shared" si="9"/>
        <v>#DIV/0!</v>
      </c>
    </row>
    <row r="298" spans="1:9" hidden="1" x14ac:dyDescent="0.3">
      <c r="A298" s="177" t="s">
        <v>162</v>
      </c>
      <c r="B298" s="177" t="s">
        <v>163</v>
      </c>
      <c r="C298" s="201" t="s">
        <v>754</v>
      </c>
      <c r="D298" s="88" t="s">
        <v>755</v>
      </c>
      <c r="E298" s="178">
        <f>VLOOKUP(C298,'FERC TB 2024'!D308:S761,16,FALSE)/1000</f>
        <v>0</v>
      </c>
      <c r="F298" s="178">
        <f>VLOOKUP(C298,'FERC TB 2025'!D308:R761,15,FALSE)/1000</f>
        <v>0</v>
      </c>
      <c r="G298" s="191">
        <f t="shared" si="8"/>
        <v>0</v>
      </c>
      <c r="H298" s="206" t="e">
        <f t="shared" si="9"/>
        <v>#DIV/0!</v>
      </c>
    </row>
    <row r="299" spans="1:9" hidden="1" x14ac:dyDescent="0.3">
      <c r="A299" s="177" t="s">
        <v>162</v>
      </c>
      <c r="B299" s="177" t="s">
        <v>163</v>
      </c>
      <c r="C299" s="201" t="s">
        <v>756</v>
      </c>
      <c r="D299" s="88" t="s">
        <v>757</v>
      </c>
      <c r="E299" s="178">
        <f>VLOOKUP(C299,'FERC TB 2024'!D309:S762,16,FALSE)/1000</f>
        <v>0</v>
      </c>
      <c r="F299" s="178">
        <f>VLOOKUP(C299,'FERC TB 2025'!D309:R762,15,FALSE)/1000</f>
        <v>0</v>
      </c>
      <c r="G299" s="191">
        <f t="shared" si="8"/>
        <v>0</v>
      </c>
      <c r="H299" s="206" t="e">
        <f t="shared" si="9"/>
        <v>#DIV/0!</v>
      </c>
    </row>
    <row r="300" spans="1:9" hidden="1" x14ac:dyDescent="0.3">
      <c r="A300" s="177" t="s">
        <v>162</v>
      </c>
      <c r="B300" s="177" t="s">
        <v>163</v>
      </c>
      <c r="C300" s="201" t="s">
        <v>758</v>
      </c>
      <c r="D300" s="88" t="s">
        <v>759</v>
      </c>
      <c r="E300" s="178">
        <f>VLOOKUP(C300,'FERC TB 2024'!D310:S763,16,FALSE)/1000</f>
        <v>0</v>
      </c>
      <c r="F300" s="178">
        <f>VLOOKUP(C300,'FERC TB 2025'!D310:R763,15,FALSE)/1000</f>
        <v>0</v>
      </c>
      <c r="G300" s="191">
        <f t="shared" si="8"/>
        <v>0</v>
      </c>
      <c r="H300" s="206" t="e">
        <f t="shared" si="9"/>
        <v>#DIV/0!</v>
      </c>
    </row>
    <row r="301" spans="1:9" hidden="1" x14ac:dyDescent="0.3">
      <c r="A301" s="177" t="s">
        <v>162</v>
      </c>
      <c r="B301" s="177" t="s">
        <v>163</v>
      </c>
      <c r="C301" s="201" t="s">
        <v>760</v>
      </c>
      <c r="D301" s="88" t="s">
        <v>761</v>
      </c>
      <c r="E301" s="178">
        <f>VLOOKUP(C301,'FERC TB 2024'!D311:S764,16,FALSE)/1000</f>
        <v>0</v>
      </c>
      <c r="F301" s="178">
        <f>VLOOKUP(C301,'FERC TB 2025'!D311:R764,15,FALSE)/1000</f>
        <v>0</v>
      </c>
      <c r="G301" s="191">
        <f t="shared" si="8"/>
        <v>0</v>
      </c>
      <c r="H301" s="206" t="e">
        <f t="shared" si="9"/>
        <v>#DIV/0!</v>
      </c>
    </row>
    <row r="302" spans="1:9" hidden="1" x14ac:dyDescent="0.3">
      <c r="A302" s="177" t="s">
        <v>162</v>
      </c>
      <c r="B302" s="177" t="s">
        <v>163</v>
      </c>
      <c r="C302" s="201" t="s">
        <v>762</v>
      </c>
      <c r="D302" s="88" t="s">
        <v>763</v>
      </c>
      <c r="E302" s="178">
        <f>VLOOKUP(C302,'FERC TB 2024'!D312:S765,16,FALSE)/1000</f>
        <v>0</v>
      </c>
      <c r="F302" s="178">
        <f>VLOOKUP(C302,'FERC TB 2025'!D312:R765,15,FALSE)/1000</f>
        <v>0</v>
      </c>
      <c r="G302" s="191">
        <f t="shared" si="8"/>
        <v>0</v>
      </c>
      <c r="H302" s="206" t="e">
        <f t="shared" si="9"/>
        <v>#DIV/0!</v>
      </c>
    </row>
    <row r="303" spans="1:9" hidden="1" x14ac:dyDescent="0.3">
      <c r="A303" s="177" t="s">
        <v>162</v>
      </c>
      <c r="B303" s="177" t="s">
        <v>163</v>
      </c>
      <c r="C303" s="201" t="s">
        <v>764</v>
      </c>
      <c r="D303" s="88" t="s">
        <v>765</v>
      </c>
      <c r="E303" s="178">
        <f>VLOOKUP(C303,'FERC TB 2024'!D313:S766,16,FALSE)/1000</f>
        <v>0</v>
      </c>
      <c r="F303" s="178">
        <f>VLOOKUP(C303,'FERC TB 2025'!D313:R766,15,FALSE)/1000</f>
        <v>0</v>
      </c>
      <c r="G303" s="191">
        <f t="shared" si="8"/>
        <v>0</v>
      </c>
      <c r="H303" s="206" t="e">
        <f t="shared" si="9"/>
        <v>#DIV/0!</v>
      </c>
    </row>
    <row r="304" spans="1:9" hidden="1" x14ac:dyDescent="0.3">
      <c r="A304" s="177" t="s">
        <v>162</v>
      </c>
      <c r="B304" s="177" t="s">
        <v>163</v>
      </c>
      <c r="C304" s="201" t="s">
        <v>766</v>
      </c>
      <c r="D304" s="88" t="s">
        <v>767</v>
      </c>
      <c r="E304" s="178">
        <f>VLOOKUP(C304,'FERC TB 2024'!D314:S767,16,FALSE)/1000</f>
        <v>0</v>
      </c>
      <c r="F304" s="178">
        <f>VLOOKUP(C304,'FERC TB 2025'!D314:R767,15,FALSE)/1000</f>
        <v>0</v>
      </c>
      <c r="G304" s="191">
        <f t="shared" si="8"/>
        <v>0</v>
      </c>
      <c r="H304" s="206" t="e">
        <f t="shared" si="9"/>
        <v>#DIV/0!</v>
      </c>
    </row>
    <row r="305" spans="1:9" hidden="1" x14ac:dyDescent="0.3">
      <c r="A305" s="177" t="s">
        <v>162</v>
      </c>
      <c r="B305" s="177" t="s">
        <v>163</v>
      </c>
      <c r="C305" s="201" t="s">
        <v>768</v>
      </c>
      <c r="D305" s="88" t="s">
        <v>769</v>
      </c>
      <c r="E305" s="178">
        <f>VLOOKUP(C305,'FERC TB 2024'!D315:S768,16,FALSE)/1000</f>
        <v>0</v>
      </c>
      <c r="F305" s="178">
        <f>VLOOKUP(C305,'FERC TB 2025'!D315:R768,15,FALSE)/1000</f>
        <v>0</v>
      </c>
      <c r="G305" s="191">
        <f t="shared" si="8"/>
        <v>0</v>
      </c>
      <c r="H305" s="206" t="e">
        <f t="shared" si="9"/>
        <v>#DIV/0!</v>
      </c>
    </row>
    <row r="306" spans="1:9" hidden="1" x14ac:dyDescent="0.3">
      <c r="A306" s="177" t="s">
        <v>162</v>
      </c>
      <c r="B306" s="177" t="s">
        <v>163</v>
      </c>
      <c r="C306" s="201" t="s">
        <v>770</v>
      </c>
      <c r="D306" s="88" t="s">
        <v>771</v>
      </c>
      <c r="E306" s="178">
        <f>VLOOKUP(C306,'FERC TB 2024'!D316:S769,16,FALSE)/1000</f>
        <v>0</v>
      </c>
      <c r="F306" s="178">
        <f>VLOOKUP(C306,'FERC TB 2025'!D316:R769,15,FALSE)/1000</f>
        <v>0</v>
      </c>
      <c r="G306" s="191">
        <f t="shared" si="8"/>
        <v>0</v>
      </c>
      <c r="H306" s="206" t="e">
        <f t="shared" si="9"/>
        <v>#DIV/0!</v>
      </c>
    </row>
    <row r="307" spans="1:9" hidden="1" x14ac:dyDescent="0.3">
      <c r="A307" s="177" t="s">
        <v>162</v>
      </c>
      <c r="B307" s="177" t="s">
        <v>163</v>
      </c>
      <c r="C307" s="201" t="s">
        <v>772</v>
      </c>
      <c r="D307" s="88" t="s">
        <v>773</v>
      </c>
      <c r="E307" s="178">
        <f>VLOOKUP(C307,'FERC TB 2024'!D317:S770,16,FALSE)/1000</f>
        <v>0</v>
      </c>
      <c r="F307" s="178">
        <f>VLOOKUP(C307,'FERC TB 2025'!D317:R770,15,FALSE)/1000</f>
        <v>0</v>
      </c>
      <c r="G307" s="191">
        <f t="shared" si="8"/>
        <v>0</v>
      </c>
      <c r="H307" s="206" t="e">
        <f t="shared" si="9"/>
        <v>#DIV/0!</v>
      </c>
    </row>
    <row r="308" spans="1:9" hidden="1" x14ac:dyDescent="0.3">
      <c r="A308" s="177" t="s">
        <v>162</v>
      </c>
      <c r="B308" s="177" t="s">
        <v>163</v>
      </c>
      <c r="C308" s="201" t="s">
        <v>774</v>
      </c>
      <c r="D308" s="88" t="s">
        <v>775</v>
      </c>
      <c r="E308" s="178">
        <f>VLOOKUP(C308,'FERC TB 2024'!D318:S771,16,FALSE)/1000</f>
        <v>0</v>
      </c>
      <c r="F308" s="178">
        <f>VLOOKUP(C308,'FERC TB 2025'!D318:R771,15,FALSE)/1000</f>
        <v>0</v>
      </c>
      <c r="G308" s="191">
        <f t="shared" si="8"/>
        <v>0</v>
      </c>
      <c r="H308" s="206" t="e">
        <f t="shared" si="9"/>
        <v>#DIV/0!</v>
      </c>
    </row>
    <row r="309" spans="1:9" hidden="1" x14ac:dyDescent="0.3">
      <c r="A309" s="177" t="s">
        <v>162</v>
      </c>
      <c r="B309" s="177" t="s">
        <v>163</v>
      </c>
      <c r="C309" s="201" t="s">
        <v>776</v>
      </c>
      <c r="D309" s="88" t="s">
        <v>777</v>
      </c>
      <c r="E309" s="178">
        <f>VLOOKUP(C309,'FERC TB 2024'!D319:S772,16,FALSE)/1000</f>
        <v>0</v>
      </c>
      <c r="F309" s="178">
        <f>VLOOKUP(C309,'FERC TB 2025'!D319:R772,15,FALSE)/1000</f>
        <v>0</v>
      </c>
      <c r="G309" s="191">
        <f t="shared" si="8"/>
        <v>0</v>
      </c>
      <c r="H309" s="206" t="e">
        <f t="shared" si="9"/>
        <v>#DIV/0!</v>
      </c>
    </row>
    <row r="310" spans="1:9" hidden="1" x14ac:dyDescent="0.3">
      <c r="A310" s="177" t="s">
        <v>162</v>
      </c>
      <c r="B310" s="177" t="s">
        <v>163</v>
      </c>
      <c r="C310" s="201" t="s">
        <v>778</v>
      </c>
      <c r="D310" s="88" t="s">
        <v>779</v>
      </c>
      <c r="E310" s="178">
        <f>VLOOKUP(C310,'FERC TB 2024'!D320:S773,16,FALSE)/1000</f>
        <v>0</v>
      </c>
      <c r="F310" s="178">
        <f>VLOOKUP(C310,'FERC TB 2025'!D320:R773,15,FALSE)/1000</f>
        <v>0</v>
      </c>
      <c r="G310" s="191">
        <f t="shared" si="8"/>
        <v>0</v>
      </c>
      <c r="H310" s="206" t="e">
        <f t="shared" si="9"/>
        <v>#DIV/0!</v>
      </c>
    </row>
    <row r="311" spans="1:9" hidden="1" x14ac:dyDescent="0.3">
      <c r="A311" s="177" t="s">
        <v>162</v>
      </c>
      <c r="B311" s="177" t="s">
        <v>163</v>
      </c>
      <c r="C311" s="201" t="s">
        <v>780</v>
      </c>
      <c r="D311" s="88" t="s">
        <v>781</v>
      </c>
      <c r="E311" s="178">
        <f>VLOOKUP(C311,'FERC TB 2024'!D321:S774,16,FALSE)/1000</f>
        <v>1452.1824221758998</v>
      </c>
      <c r="F311" s="178">
        <f>VLOOKUP(C311,'FERC TB 2025'!D321:R774,15,FALSE)/1000</f>
        <v>1568.7918660011999</v>
      </c>
      <c r="G311" s="191">
        <f t="shared" si="8"/>
        <v>116.6094438253001</v>
      </c>
      <c r="H311" s="206">
        <f t="shared" si="9"/>
        <v>8.0299445885439483E-2</v>
      </c>
    </row>
    <row r="312" spans="1:9" hidden="1" x14ac:dyDescent="0.3">
      <c r="A312" s="177" t="s">
        <v>162</v>
      </c>
      <c r="B312" s="177" t="s">
        <v>163</v>
      </c>
      <c r="C312" s="201" t="s">
        <v>782</v>
      </c>
      <c r="D312" s="88" t="s">
        <v>783</v>
      </c>
      <c r="E312" s="178">
        <f>VLOOKUP(C312,'FERC TB 2024'!D322:S775,16,FALSE)/1000</f>
        <v>1162.9186170009</v>
      </c>
      <c r="F312" s="178">
        <f>VLOOKUP(C312,'FERC TB 2025'!D322:R775,15,FALSE)/1000</f>
        <v>1182.0898829179</v>
      </c>
      <c r="G312" s="191">
        <f t="shared" si="8"/>
        <v>19.171265917000028</v>
      </c>
      <c r="H312" s="206">
        <f t="shared" si="9"/>
        <v>1.6485475111269278E-2</v>
      </c>
    </row>
    <row r="313" spans="1:9" hidden="1" x14ac:dyDescent="0.3">
      <c r="A313" s="177" t="s">
        <v>162</v>
      </c>
      <c r="B313" s="177" t="s">
        <v>163</v>
      </c>
      <c r="C313" s="201" t="s">
        <v>784</v>
      </c>
      <c r="D313" s="88" t="s">
        <v>785</v>
      </c>
      <c r="E313" s="178">
        <f>VLOOKUP(C313,'FERC TB 2024'!D323:S776,16,FALSE)/1000</f>
        <v>0</v>
      </c>
      <c r="F313" s="178">
        <f>VLOOKUP(C313,'FERC TB 2025'!D323:R776,15,FALSE)/1000</f>
        <v>0</v>
      </c>
      <c r="G313" s="191">
        <f t="shared" si="8"/>
        <v>0</v>
      </c>
      <c r="H313" s="206" t="e">
        <f t="shared" si="9"/>
        <v>#DIV/0!</v>
      </c>
    </row>
    <row r="314" spans="1:9" hidden="1" x14ac:dyDescent="0.3">
      <c r="A314" s="177" t="s">
        <v>162</v>
      </c>
      <c r="B314" s="177" t="s">
        <v>163</v>
      </c>
      <c r="C314" s="201" t="s">
        <v>786</v>
      </c>
      <c r="D314" s="88" t="s">
        <v>787</v>
      </c>
      <c r="E314" s="178">
        <f>VLOOKUP(C314,'FERC TB 2024'!D324:S777,16,FALSE)/1000</f>
        <v>1982.9050906149002</v>
      </c>
      <c r="F314" s="178">
        <f>VLOOKUP(C314,'FERC TB 2025'!D324:R777,15,FALSE)/1000</f>
        <v>1036.6624857627999</v>
      </c>
      <c r="G314" s="191">
        <f t="shared" si="8"/>
        <v>-946.24260485210038</v>
      </c>
      <c r="H314" s="206">
        <f t="shared" si="9"/>
        <v>-0.47720014907958602</v>
      </c>
    </row>
    <row r="315" spans="1:9" hidden="1" x14ac:dyDescent="0.3">
      <c r="A315" s="177" t="s">
        <v>162</v>
      </c>
      <c r="B315" s="177" t="s">
        <v>163</v>
      </c>
      <c r="C315" s="201" t="s">
        <v>788</v>
      </c>
      <c r="D315" s="88" t="s">
        <v>789</v>
      </c>
      <c r="E315" s="178">
        <f>VLOOKUP(C315,'FERC TB 2024'!D325:S778,16,FALSE)/1000</f>
        <v>8191.8300697448994</v>
      </c>
      <c r="F315" s="178">
        <f>VLOOKUP(C315,'FERC TB 2025'!D325:R778,15,FALSE)/1000</f>
        <v>8122.9346566824997</v>
      </c>
      <c r="G315" s="191">
        <f t="shared" si="8"/>
        <v>-68.895413062399712</v>
      </c>
      <c r="H315" s="206">
        <f t="shared" si="9"/>
        <v>-8.4102590600423893E-3</v>
      </c>
    </row>
    <row r="316" spans="1:9" hidden="1" x14ac:dyDescent="0.3">
      <c r="A316" s="177" t="s">
        <v>162</v>
      </c>
      <c r="B316" s="177" t="s">
        <v>163</v>
      </c>
      <c r="C316" s="201" t="s">
        <v>790</v>
      </c>
      <c r="D316" s="88" t="s">
        <v>791</v>
      </c>
      <c r="E316" s="178">
        <f>VLOOKUP(C316,'FERC TB 2024'!D326:S779,16,FALSE)/1000</f>
        <v>888.06050732609992</v>
      </c>
      <c r="F316" s="178">
        <f>VLOOKUP(C316,'FERC TB 2025'!D326:R779,15,FALSE)/1000</f>
        <v>901.53233442349995</v>
      </c>
      <c r="G316" s="191">
        <f t="shared" si="8"/>
        <v>13.471827097400023</v>
      </c>
      <c r="H316" s="206">
        <f t="shared" si="9"/>
        <v>1.5169942798112861E-2</v>
      </c>
    </row>
    <row r="317" spans="1:9" hidden="1" x14ac:dyDescent="0.3">
      <c r="A317" s="177" t="s">
        <v>162</v>
      </c>
      <c r="B317" s="177" t="s">
        <v>163</v>
      </c>
      <c r="C317" s="201" t="s">
        <v>792</v>
      </c>
      <c r="D317" s="88" t="s">
        <v>793</v>
      </c>
      <c r="E317" s="178">
        <f>VLOOKUP(C317,'FERC TB 2024'!D327:S780,16,FALSE)/1000</f>
        <v>2444.2422221249999</v>
      </c>
      <c r="F317" s="178">
        <f>VLOOKUP(C317,'FERC TB 2025'!D327:R780,15,FALSE)/1000</f>
        <v>1857.5328726780999</v>
      </c>
      <c r="G317" s="191">
        <f t="shared" si="8"/>
        <v>-586.70934944689998</v>
      </c>
      <c r="H317" s="206">
        <f t="shared" si="9"/>
        <v>-0.24003731877965054</v>
      </c>
    </row>
    <row r="318" spans="1:9" hidden="1" x14ac:dyDescent="0.3">
      <c r="A318" s="177" t="s">
        <v>162</v>
      </c>
      <c r="B318" s="177" t="s">
        <v>163</v>
      </c>
      <c r="C318" s="201" t="s">
        <v>794</v>
      </c>
      <c r="D318" s="88" t="s">
        <v>795</v>
      </c>
      <c r="E318" s="178">
        <f>VLOOKUP(C318,'FERC TB 2024'!D328:S781,16,FALSE)/1000</f>
        <v>5788.8423555917016</v>
      </c>
      <c r="F318" s="178">
        <f>VLOOKUP(C318,'FERC TB 2025'!D328:R781,15,FALSE)/1000</f>
        <v>5603.8821853552008</v>
      </c>
      <c r="G318" s="191">
        <f t="shared" si="8"/>
        <v>-184.96017023650074</v>
      </c>
      <c r="H318" s="206">
        <f t="shared" si="9"/>
        <v>-3.1951149966597286E-2</v>
      </c>
    </row>
    <row r="319" spans="1:9" hidden="1" x14ac:dyDescent="0.3">
      <c r="A319" s="177" t="s">
        <v>162</v>
      </c>
      <c r="B319" s="177" t="s">
        <v>163</v>
      </c>
      <c r="C319" s="201" t="s">
        <v>796</v>
      </c>
      <c r="D319" s="88" t="s">
        <v>797</v>
      </c>
      <c r="E319" s="178">
        <f>VLOOKUP(C319,'FERC TB 2024'!D329:S782,16,FALSE)/1000</f>
        <v>0</v>
      </c>
      <c r="F319" s="178">
        <f>VLOOKUP(C319,'FERC TB 2025'!D329:R782,15,FALSE)/1000</f>
        <v>0</v>
      </c>
      <c r="G319" s="191">
        <f t="shared" si="8"/>
        <v>0</v>
      </c>
      <c r="H319" s="206" t="e">
        <f t="shared" si="9"/>
        <v>#DIV/0!</v>
      </c>
    </row>
    <row r="320" spans="1:9" x14ac:dyDescent="0.3">
      <c r="A320" s="177" t="s">
        <v>162</v>
      </c>
      <c r="B320" s="177" t="s">
        <v>163</v>
      </c>
      <c r="C320" s="201" t="s">
        <v>798</v>
      </c>
      <c r="D320" s="88" t="s">
        <v>799</v>
      </c>
      <c r="E320" s="241">
        <f>VLOOKUP(C320,'FERC TB 2024'!D330:S783,16,FALSE)/1000</f>
        <v>4400.1201995865003</v>
      </c>
      <c r="F320" s="241">
        <f>VLOOKUP(C320,'FERC TB 2025'!D330:R783,15,FALSE)/1000</f>
        <v>12532.888789570899</v>
      </c>
      <c r="G320" s="240">
        <f t="shared" si="8"/>
        <v>8132.7685899843991</v>
      </c>
      <c r="H320" s="206">
        <f t="shared" si="9"/>
        <v>1.8483060055379108</v>
      </c>
      <c r="I320" t="s">
        <v>1585</v>
      </c>
    </row>
    <row r="321" spans="1:9" hidden="1" x14ac:dyDescent="0.3">
      <c r="A321" s="177" t="s">
        <v>162</v>
      </c>
      <c r="B321" s="177" t="s">
        <v>163</v>
      </c>
      <c r="C321" s="201" t="s">
        <v>800</v>
      </c>
      <c r="D321" s="88" t="s">
        <v>801</v>
      </c>
      <c r="E321" s="178">
        <f>VLOOKUP(C321,'FERC TB 2024'!D331:S784,16,FALSE)/1000</f>
        <v>377.00400000000002</v>
      </c>
      <c r="F321" s="178">
        <f>VLOOKUP(C321,'FERC TB 2025'!D331:R784,15,FALSE)/1000</f>
        <v>377.00400000000002</v>
      </c>
      <c r="G321" s="191">
        <f t="shared" si="8"/>
        <v>0</v>
      </c>
      <c r="H321" s="206">
        <f t="shared" si="9"/>
        <v>0</v>
      </c>
    </row>
    <row r="322" spans="1:9" hidden="1" x14ac:dyDescent="0.3">
      <c r="A322" s="177" t="s">
        <v>162</v>
      </c>
      <c r="B322" s="177" t="s">
        <v>163</v>
      </c>
      <c r="C322" s="201" t="s">
        <v>802</v>
      </c>
      <c r="D322" s="88" t="s">
        <v>803</v>
      </c>
      <c r="E322" s="178">
        <f>VLOOKUP(C322,'FERC TB 2024'!D332:S785,16,FALSE)/1000</f>
        <v>0</v>
      </c>
      <c r="F322" s="178">
        <f>VLOOKUP(C322,'FERC TB 2025'!D332:R785,15,FALSE)/1000</f>
        <v>0</v>
      </c>
      <c r="G322" s="191">
        <f t="shared" si="8"/>
        <v>0</v>
      </c>
      <c r="H322" s="206" t="e">
        <f t="shared" si="9"/>
        <v>#DIV/0!</v>
      </c>
    </row>
    <row r="323" spans="1:9" hidden="1" x14ac:dyDescent="0.3">
      <c r="A323" s="177" t="s">
        <v>162</v>
      </c>
      <c r="B323" s="177" t="s">
        <v>163</v>
      </c>
      <c r="C323" s="201" t="s">
        <v>804</v>
      </c>
      <c r="D323" s="88" t="s">
        <v>805</v>
      </c>
      <c r="E323" s="178">
        <f>VLOOKUP(C323,'FERC TB 2024'!D333:S786,16,FALSE)/1000</f>
        <v>456.88331415209996</v>
      </c>
      <c r="F323" s="178">
        <f>VLOOKUP(C323,'FERC TB 2025'!D333:R786,15,FALSE)/1000</f>
        <v>-174.2198142629</v>
      </c>
      <c r="G323" s="191">
        <f t="shared" si="8"/>
        <v>-631.1031284149999</v>
      </c>
      <c r="H323" s="206">
        <f t="shared" si="9"/>
        <v>-1.3813223395698377</v>
      </c>
    </row>
    <row r="324" spans="1:9" hidden="1" x14ac:dyDescent="0.3">
      <c r="A324" s="177" t="s">
        <v>162</v>
      </c>
      <c r="B324" s="177" t="s">
        <v>163</v>
      </c>
      <c r="C324" s="201" t="s">
        <v>806</v>
      </c>
      <c r="D324" s="88" t="s">
        <v>807</v>
      </c>
      <c r="E324" s="178">
        <f>VLOOKUP(C324,'FERC TB 2024'!D334:S787,16,FALSE)/1000</f>
        <v>2792.0256060073998</v>
      </c>
      <c r="F324" s="178">
        <f>VLOOKUP(C324,'FERC TB 2025'!D334:R787,15,FALSE)/1000</f>
        <v>2508.8491595826999</v>
      </c>
      <c r="G324" s="191">
        <f t="shared" ref="G324:G387" si="10">F324-E324</f>
        <v>-283.17644642469986</v>
      </c>
      <c r="H324" s="206">
        <f t="shared" ref="H324:H387" si="11">G324/E324</f>
        <v>-0.10142329848816915</v>
      </c>
    </row>
    <row r="325" spans="1:9" hidden="1" x14ac:dyDescent="0.3">
      <c r="A325" s="177" t="s">
        <v>162</v>
      </c>
      <c r="B325" s="177" t="s">
        <v>163</v>
      </c>
      <c r="C325" s="201" t="s">
        <v>808</v>
      </c>
      <c r="D325" s="88" t="s">
        <v>809</v>
      </c>
      <c r="E325" s="178">
        <f>VLOOKUP(C325,'FERC TB 2024'!D335:S788,16,FALSE)/1000</f>
        <v>0</v>
      </c>
      <c r="F325" s="178">
        <f>VLOOKUP(C325,'FERC TB 2025'!D335:R788,15,FALSE)/1000</f>
        <v>0</v>
      </c>
      <c r="G325" s="191">
        <f t="shared" si="10"/>
        <v>0</v>
      </c>
      <c r="H325" s="206" t="e">
        <f t="shared" si="11"/>
        <v>#DIV/0!</v>
      </c>
    </row>
    <row r="326" spans="1:9" hidden="1" x14ac:dyDescent="0.3">
      <c r="A326" s="177" t="s">
        <v>162</v>
      </c>
      <c r="B326" s="177" t="s">
        <v>163</v>
      </c>
      <c r="C326" s="201" t="s">
        <v>810</v>
      </c>
      <c r="D326" s="88" t="s">
        <v>811</v>
      </c>
      <c r="E326" s="178">
        <f>VLOOKUP(C326,'FERC TB 2024'!D336:S789,16,FALSE)/1000</f>
        <v>40871.183194478392</v>
      </c>
      <c r="F326" s="178">
        <f>VLOOKUP(C326,'FERC TB 2025'!D336:R789,15,FALSE)/1000</f>
        <v>42244.664903738296</v>
      </c>
      <c r="G326" s="191">
        <f t="shared" si="10"/>
        <v>1373.4817092599042</v>
      </c>
      <c r="H326" s="206">
        <f t="shared" si="11"/>
        <v>3.3605136967149472E-2</v>
      </c>
    </row>
    <row r="327" spans="1:9" x14ac:dyDescent="0.3">
      <c r="A327" s="177" t="s">
        <v>162</v>
      </c>
      <c r="B327" s="177" t="s">
        <v>163</v>
      </c>
      <c r="C327" s="201" t="s">
        <v>812</v>
      </c>
      <c r="D327" s="88" t="s">
        <v>813</v>
      </c>
      <c r="E327" s="241">
        <f>VLOOKUP(C327,'FERC TB 2024'!D337:S790,16,FALSE)/1000</f>
        <v>6062.5126919718996</v>
      </c>
      <c r="F327" s="241">
        <f>VLOOKUP(C327,'FERC TB 2025'!D337:R790,15,FALSE)/1000</f>
        <v>4815.7451523291002</v>
      </c>
      <c r="G327" s="240">
        <f t="shared" si="10"/>
        <v>-1246.7675396427994</v>
      </c>
      <c r="H327" s="206">
        <f t="shared" si="11"/>
        <v>-0.20565194713634066</v>
      </c>
      <c r="I327" t="s">
        <v>1585</v>
      </c>
    </row>
    <row r="328" spans="1:9" hidden="1" x14ac:dyDescent="0.3">
      <c r="A328" s="177" t="s">
        <v>162</v>
      </c>
      <c r="B328" s="177" t="s">
        <v>163</v>
      </c>
      <c r="C328" s="201" t="s">
        <v>814</v>
      </c>
      <c r="D328" s="88" t="s">
        <v>815</v>
      </c>
      <c r="E328" s="178">
        <f>VLOOKUP(C328,'FERC TB 2024'!D338:S791,16,FALSE)/1000</f>
        <v>317.66640702159998</v>
      </c>
      <c r="F328" s="178">
        <f>VLOOKUP(C328,'FERC TB 2025'!D338:R791,15,FALSE)/1000</f>
        <v>218.4452418713</v>
      </c>
      <c r="G328" s="191">
        <f t="shared" si="10"/>
        <v>-99.221165150299981</v>
      </c>
      <c r="H328" s="206">
        <f t="shared" si="11"/>
        <v>-0.31234390214749197</v>
      </c>
    </row>
    <row r="329" spans="1:9" hidden="1" x14ac:dyDescent="0.3">
      <c r="A329" s="177" t="s">
        <v>162</v>
      </c>
      <c r="B329" s="177" t="s">
        <v>163</v>
      </c>
      <c r="C329" s="201" t="s">
        <v>816</v>
      </c>
      <c r="D329" s="88" t="s">
        <v>817</v>
      </c>
      <c r="E329" s="178">
        <f>VLOOKUP(C329,'FERC TB 2024'!D339:S792,16,FALSE)/1000</f>
        <v>1415.4065705915996</v>
      </c>
      <c r="F329" s="178">
        <f>VLOOKUP(C329,'FERC TB 2025'!D339:R792,15,FALSE)/1000</f>
        <v>620.65197059160005</v>
      </c>
      <c r="G329" s="191">
        <f t="shared" si="10"/>
        <v>-794.75459999999953</v>
      </c>
      <c r="H329" s="206">
        <f t="shared" si="11"/>
        <v>-0.5615026922390326</v>
      </c>
    </row>
    <row r="330" spans="1:9" hidden="1" x14ac:dyDescent="0.3">
      <c r="A330" s="177" t="s">
        <v>162</v>
      </c>
      <c r="B330" s="177" t="s">
        <v>163</v>
      </c>
      <c r="C330" s="201" t="s">
        <v>818</v>
      </c>
      <c r="D330" s="88" t="s">
        <v>819</v>
      </c>
      <c r="E330" s="178">
        <f>VLOOKUP(C330,'FERC TB 2024'!D340:S793,16,FALSE)/1000</f>
        <v>671.0369356594</v>
      </c>
      <c r="F330" s="178">
        <f>VLOOKUP(C330,'FERC TB 2025'!D340:R793,15,FALSE)/1000</f>
        <v>863.25025187150004</v>
      </c>
      <c r="G330" s="191">
        <f t="shared" si="10"/>
        <v>192.21331621210004</v>
      </c>
      <c r="H330" s="206">
        <f t="shared" si="11"/>
        <v>0.28644222992467627</v>
      </c>
    </row>
    <row r="331" spans="1:9" hidden="1" x14ac:dyDescent="0.3">
      <c r="A331" s="177" t="s">
        <v>162</v>
      </c>
      <c r="B331" s="177" t="s">
        <v>163</v>
      </c>
      <c r="C331" s="201" t="s">
        <v>820</v>
      </c>
      <c r="D331" s="88" t="s">
        <v>821</v>
      </c>
      <c r="E331" s="178">
        <f>VLOOKUP(C331,'FERC TB 2024'!D341:S794,16,FALSE)/1000</f>
        <v>0</v>
      </c>
      <c r="F331" s="178">
        <f>VLOOKUP(C331,'FERC TB 2025'!D341:R794,15,FALSE)/1000</f>
        <v>0</v>
      </c>
      <c r="G331" s="191">
        <f t="shared" si="10"/>
        <v>0</v>
      </c>
      <c r="H331" s="206" t="e">
        <f t="shared" si="11"/>
        <v>#DIV/0!</v>
      </c>
    </row>
    <row r="332" spans="1:9" hidden="1" x14ac:dyDescent="0.3">
      <c r="A332" s="177" t="s">
        <v>162</v>
      </c>
      <c r="B332" s="177" t="s">
        <v>163</v>
      </c>
      <c r="C332" s="201" t="s">
        <v>822</v>
      </c>
      <c r="D332" s="88" t="s">
        <v>823</v>
      </c>
      <c r="E332" s="178">
        <f>VLOOKUP(C332,'FERC TB 2024'!D342:S795,16,FALSE)/1000</f>
        <v>0</v>
      </c>
      <c r="F332" s="178">
        <f>VLOOKUP(C332,'FERC TB 2025'!D342:R795,15,FALSE)/1000</f>
        <v>0</v>
      </c>
      <c r="G332" s="191">
        <f t="shared" si="10"/>
        <v>0</v>
      </c>
      <c r="H332" s="206" t="e">
        <f t="shared" si="11"/>
        <v>#DIV/0!</v>
      </c>
    </row>
    <row r="333" spans="1:9" hidden="1" x14ac:dyDescent="0.3">
      <c r="A333" s="177" t="s">
        <v>162</v>
      </c>
      <c r="B333" s="177" t="s">
        <v>163</v>
      </c>
      <c r="C333" s="201" t="s">
        <v>824</v>
      </c>
      <c r="D333" s="88" t="s">
        <v>825</v>
      </c>
      <c r="E333" s="178">
        <f>VLOOKUP(C333,'FERC TB 2024'!D343:S796,16,FALSE)/1000</f>
        <v>0</v>
      </c>
      <c r="F333" s="178">
        <f>VLOOKUP(C333,'FERC TB 2025'!D343:R796,15,FALSE)/1000</f>
        <v>0</v>
      </c>
      <c r="G333" s="191">
        <f t="shared" si="10"/>
        <v>0</v>
      </c>
      <c r="H333" s="206" t="e">
        <f t="shared" si="11"/>
        <v>#DIV/0!</v>
      </c>
    </row>
    <row r="334" spans="1:9" hidden="1" x14ac:dyDescent="0.3">
      <c r="A334" s="177" t="s">
        <v>162</v>
      </c>
      <c r="B334" s="177" t="s">
        <v>163</v>
      </c>
      <c r="C334" s="201" t="s">
        <v>826</v>
      </c>
      <c r="D334" s="88" t="s">
        <v>827</v>
      </c>
      <c r="E334" s="178">
        <f>VLOOKUP(C334,'FERC TB 2024'!D344:S797,16,FALSE)/1000</f>
        <v>0</v>
      </c>
      <c r="F334" s="178">
        <f>VLOOKUP(C334,'FERC TB 2025'!D344:R797,15,FALSE)/1000</f>
        <v>0</v>
      </c>
      <c r="G334" s="191">
        <f t="shared" si="10"/>
        <v>0</v>
      </c>
      <c r="H334" s="206" t="e">
        <f t="shared" si="11"/>
        <v>#DIV/0!</v>
      </c>
    </row>
    <row r="335" spans="1:9" hidden="1" x14ac:dyDescent="0.3">
      <c r="A335" s="177" t="s">
        <v>162</v>
      </c>
      <c r="B335" s="177" t="s">
        <v>163</v>
      </c>
      <c r="C335" s="201" t="s">
        <v>828</v>
      </c>
      <c r="D335" s="88" t="s">
        <v>829</v>
      </c>
      <c r="E335" s="178">
        <f>VLOOKUP(C335,'FERC TB 2024'!D345:S798,16,FALSE)/1000</f>
        <v>0</v>
      </c>
      <c r="F335" s="178">
        <f>VLOOKUP(C335,'FERC TB 2025'!D345:R798,15,FALSE)/1000</f>
        <v>0</v>
      </c>
      <c r="G335" s="191">
        <f t="shared" si="10"/>
        <v>0</v>
      </c>
      <c r="H335" s="206" t="e">
        <f t="shared" si="11"/>
        <v>#DIV/0!</v>
      </c>
    </row>
    <row r="336" spans="1:9" hidden="1" x14ac:dyDescent="0.3">
      <c r="A336" s="177" t="s">
        <v>162</v>
      </c>
      <c r="B336" s="177" t="s">
        <v>163</v>
      </c>
      <c r="C336" s="201" t="s">
        <v>830</v>
      </c>
      <c r="D336" s="88" t="s">
        <v>831</v>
      </c>
      <c r="E336" s="178">
        <f>VLOOKUP(C336,'FERC TB 2024'!D346:S799,16,FALSE)/1000</f>
        <v>0</v>
      </c>
      <c r="F336" s="178">
        <f>VLOOKUP(C336,'FERC TB 2025'!D346:R799,15,FALSE)/1000</f>
        <v>0</v>
      </c>
      <c r="G336" s="191">
        <f t="shared" si="10"/>
        <v>0</v>
      </c>
      <c r="H336" s="206" t="e">
        <f t="shared" si="11"/>
        <v>#DIV/0!</v>
      </c>
    </row>
    <row r="337" spans="1:8" hidden="1" x14ac:dyDescent="0.3">
      <c r="A337" s="177" t="s">
        <v>162</v>
      </c>
      <c r="B337" s="177" t="s">
        <v>163</v>
      </c>
      <c r="C337" s="201" t="s">
        <v>832</v>
      </c>
      <c r="D337" s="88" t="s">
        <v>833</v>
      </c>
      <c r="E337" s="178">
        <f>VLOOKUP(C337,'FERC TB 2024'!D347:S800,16,FALSE)/1000</f>
        <v>0</v>
      </c>
      <c r="F337" s="178">
        <f>VLOOKUP(C337,'FERC TB 2025'!D347:R800,15,FALSE)/1000</f>
        <v>0</v>
      </c>
      <c r="G337" s="191">
        <f t="shared" si="10"/>
        <v>0</v>
      </c>
      <c r="H337" s="206" t="e">
        <f t="shared" si="11"/>
        <v>#DIV/0!</v>
      </c>
    </row>
    <row r="338" spans="1:8" hidden="1" x14ac:dyDescent="0.3">
      <c r="A338" s="177" t="s">
        <v>162</v>
      </c>
      <c r="B338" s="177" t="s">
        <v>163</v>
      </c>
      <c r="C338" s="201" t="s">
        <v>834</v>
      </c>
      <c r="D338" s="88" t="s">
        <v>835</v>
      </c>
      <c r="E338" s="178">
        <f>VLOOKUP(C338,'FERC TB 2024'!D348:S801,16,FALSE)/1000</f>
        <v>0</v>
      </c>
      <c r="F338" s="178">
        <f>VLOOKUP(C338,'FERC TB 2025'!D348:R801,15,FALSE)/1000</f>
        <v>0</v>
      </c>
      <c r="G338" s="191">
        <f t="shared" si="10"/>
        <v>0</v>
      </c>
      <c r="H338" s="206" t="e">
        <f t="shared" si="11"/>
        <v>#DIV/0!</v>
      </c>
    </row>
    <row r="339" spans="1:8" hidden="1" x14ac:dyDescent="0.3">
      <c r="A339" s="177" t="s">
        <v>162</v>
      </c>
      <c r="B339" s="177" t="s">
        <v>163</v>
      </c>
      <c r="C339" s="201" t="s">
        <v>836</v>
      </c>
      <c r="D339" s="88" t="s">
        <v>837</v>
      </c>
      <c r="E339" s="178">
        <f>VLOOKUP(C339,'FERC TB 2024'!D349:S802,16,FALSE)/1000</f>
        <v>0</v>
      </c>
      <c r="F339" s="178">
        <f>VLOOKUP(C339,'FERC TB 2025'!D349:R802,15,FALSE)/1000</f>
        <v>0</v>
      </c>
      <c r="G339" s="191">
        <f t="shared" si="10"/>
        <v>0</v>
      </c>
      <c r="H339" s="206" t="e">
        <f t="shared" si="11"/>
        <v>#DIV/0!</v>
      </c>
    </row>
    <row r="340" spans="1:8" hidden="1" x14ac:dyDescent="0.3">
      <c r="A340" s="177" t="s">
        <v>162</v>
      </c>
      <c r="B340" s="177" t="s">
        <v>163</v>
      </c>
      <c r="C340" s="201" t="s">
        <v>838</v>
      </c>
      <c r="D340" s="88" t="s">
        <v>839</v>
      </c>
      <c r="E340" s="178">
        <f>VLOOKUP(C340,'FERC TB 2024'!D350:S803,16,FALSE)/1000</f>
        <v>0</v>
      </c>
      <c r="F340" s="178">
        <f>VLOOKUP(C340,'FERC TB 2025'!D350:R803,15,FALSE)/1000</f>
        <v>0</v>
      </c>
      <c r="G340" s="191">
        <f t="shared" si="10"/>
        <v>0</v>
      </c>
      <c r="H340" s="206" t="e">
        <f t="shared" si="11"/>
        <v>#DIV/0!</v>
      </c>
    </row>
    <row r="341" spans="1:8" hidden="1" x14ac:dyDescent="0.3">
      <c r="A341" s="177" t="s">
        <v>162</v>
      </c>
      <c r="B341" s="177" t="s">
        <v>163</v>
      </c>
      <c r="C341" s="201" t="s">
        <v>840</v>
      </c>
      <c r="D341" s="88" t="s">
        <v>841</v>
      </c>
      <c r="E341" s="178">
        <f>VLOOKUP(C341,'FERC TB 2024'!D351:S804,16,FALSE)/1000</f>
        <v>0</v>
      </c>
      <c r="F341" s="178">
        <f>VLOOKUP(C341,'FERC TB 2025'!D351:R804,15,FALSE)/1000</f>
        <v>0</v>
      </c>
      <c r="G341" s="191">
        <f t="shared" si="10"/>
        <v>0</v>
      </c>
      <c r="H341" s="206" t="e">
        <f t="shared" si="11"/>
        <v>#DIV/0!</v>
      </c>
    </row>
    <row r="342" spans="1:8" hidden="1" x14ac:dyDescent="0.3">
      <c r="A342" s="177" t="s">
        <v>162</v>
      </c>
      <c r="B342" s="177" t="s">
        <v>163</v>
      </c>
      <c r="C342" s="201" t="s">
        <v>842</v>
      </c>
      <c r="D342" s="88" t="s">
        <v>843</v>
      </c>
      <c r="E342" s="178">
        <f>VLOOKUP(C342,'FERC TB 2024'!D352:S805,16,FALSE)/1000</f>
        <v>0</v>
      </c>
      <c r="F342" s="178">
        <f>VLOOKUP(C342,'FERC TB 2025'!D352:R805,15,FALSE)/1000</f>
        <v>0</v>
      </c>
      <c r="G342" s="191">
        <f t="shared" si="10"/>
        <v>0</v>
      </c>
      <c r="H342" s="206" t="e">
        <f t="shared" si="11"/>
        <v>#DIV/0!</v>
      </c>
    </row>
    <row r="343" spans="1:8" hidden="1" x14ac:dyDescent="0.3">
      <c r="A343" s="177" t="s">
        <v>162</v>
      </c>
      <c r="B343" s="177" t="s">
        <v>163</v>
      </c>
      <c r="C343" s="201" t="s">
        <v>844</v>
      </c>
      <c r="D343" s="88" t="s">
        <v>845</v>
      </c>
      <c r="E343" s="178">
        <f>VLOOKUP(C343,'FERC TB 2024'!D353:S806,16,FALSE)/1000</f>
        <v>0</v>
      </c>
      <c r="F343" s="178">
        <f>VLOOKUP(C343,'FERC TB 2025'!D353:R806,15,FALSE)/1000</f>
        <v>0</v>
      </c>
      <c r="G343" s="191">
        <f t="shared" si="10"/>
        <v>0</v>
      </c>
      <c r="H343" s="206" t="e">
        <f t="shared" si="11"/>
        <v>#DIV/0!</v>
      </c>
    </row>
    <row r="344" spans="1:8" hidden="1" x14ac:dyDescent="0.3">
      <c r="A344" s="177" t="s">
        <v>162</v>
      </c>
      <c r="B344" s="177" t="s">
        <v>163</v>
      </c>
      <c r="C344" s="201" t="s">
        <v>846</v>
      </c>
      <c r="D344" s="88" t="s">
        <v>847</v>
      </c>
      <c r="E344" s="178">
        <f>VLOOKUP(C344,'FERC TB 2024'!D354:S807,16,FALSE)/1000</f>
        <v>0</v>
      </c>
      <c r="F344" s="178">
        <f>VLOOKUP(C344,'FERC TB 2025'!D354:R807,15,FALSE)/1000</f>
        <v>0</v>
      </c>
      <c r="G344" s="191">
        <f t="shared" si="10"/>
        <v>0</v>
      </c>
      <c r="H344" s="206" t="e">
        <f t="shared" si="11"/>
        <v>#DIV/0!</v>
      </c>
    </row>
    <row r="345" spans="1:8" hidden="1" x14ac:dyDescent="0.3">
      <c r="A345" s="177" t="s">
        <v>162</v>
      </c>
      <c r="B345" s="177" t="s">
        <v>163</v>
      </c>
      <c r="C345" s="201" t="s">
        <v>848</v>
      </c>
      <c r="D345" s="88" t="s">
        <v>849</v>
      </c>
      <c r="E345" s="178">
        <f>VLOOKUP(C345,'FERC TB 2024'!D355:S808,16,FALSE)/1000</f>
        <v>0</v>
      </c>
      <c r="F345" s="178">
        <f>VLOOKUP(C345,'FERC TB 2025'!D355:R808,15,FALSE)/1000</f>
        <v>0</v>
      </c>
      <c r="G345" s="191">
        <f t="shared" si="10"/>
        <v>0</v>
      </c>
      <c r="H345" s="206" t="e">
        <f t="shared" si="11"/>
        <v>#DIV/0!</v>
      </c>
    </row>
    <row r="346" spans="1:8" hidden="1" x14ac:dyDescent="0.3">
      <c r="A346" s="177" t="s">
        <v>162</v>
      </c>
      <c r="B346" s="177" t="s">
        <v>163</v>
      </c>
      <c r="C346" s="201" t="s">
        <v>850</v>
      </c>
      <c r="D346" s="88" t="s">
        <v>851</v>
      </c>
      <c r="E346" s="178">
        <f>VLOOKUP(C346,'FERC TB 2024'!D356:S809,16,FALSE)/1000</f>
        <v>0</v>
      </c>
      <c r="F346" s="178">
        <f>VLOOKUP(C346,'FERC TB 2025'!D356:R809,15,FALSE)/1000</f>
        <v>0</v>
      </c>
      <c r="G346" s="191">
        <f t="shared" si="10"/>
        <v>0</v>
      </c>
      <c r="H346" s="206" t="e">
        <f t="shared" si="11"/>
        <v>#DIV/0!</v>
      </c>
    </row>
    <row r="347" spans="1:8" hidden="1" x14ac:dyDescent="0.3">
      <c r="A347" s="177" t="s">
        <v>162</v>
      </c>
      <c r="B347" s="177" t="s">
        <v>163</v>
      </c>
      <c r="C347" s="201" t="s">
        <v>852</v>
      </c>
      <c r="D347" s="88" t="s">
        <v>853</v>
      </c>
      <c r="E347" s="178">
        <f>VLOOKUP(C347,'FERC TB 2024'!D357:S810,16,FALSE)/1000</f>
        <v>0</v>
      </c>
      <c r="F347" s="178">
        <f>VLOOKUP(C347,'FERC TB 2025'!D357:R810,15,FALSE)/1000</f>
        <v>0</v>
      </c>
      <c r="G347" s="191">
        <f t="shared" si="10"/>
        <v>0</v>
      </c>
      <c r="H347" s="206" t="e">
        <f t="shared" si="11"/>
        <v>#DIV/0!</v>
      </c>
    </row>
    <row r="348" spans="1:8" hidden="1" x14ac:dyDescent="0.3">
      <c r="A348" s="177" t="s">
        <v>162</v>
      </c>
      <c r="B348" s="177" t="s">
        <v>163</v>
      </c>
      <c r="C348" s="201" t="s">
        <v>854</v>
      </c>
      <c r="D348" s="88" t="s">
        <v>855</v>
      </c>
      <c r="E348" s="178">
        <f>VLOOKUP(C348,'FERC TB 2024'!D358:S811,16,FALSE)/1000</f>
        <v>0</v>
      </c>
      <c r="F348" s="178">
        <f>VLOOKUP(C348,'FERC TB 2025'!D358:R811,15,FALSE)/1000</f>
        <v>0</v>
      </c>
      <c r="G348" s="191">
        <f t="shared" si="10"/>
        <v>0</v>
      </c>
      <c r="H348" s="206" t="e">
        <f t="shared" si="11"/>
        <v>#DIV/0!</v>
      </c>
    </row>
    <row r="349" spans="1:8" hidden="1" x14ac:dyDescent="0.3">
      <c r="A349" s="177" t="s">
        <v>162</v>
      </c>
      <c r="B349" s="177" t="s">
        <v>163</v>
      </c>
      <c r="C349" s="201" t="s">
        <v>856</v>
      </c>
      <c r="D349" s="88" t="s">
        <v>857</v>
      </c>
      <c r="E349" s="178">
        <f>VLOOKUP(C349,'FERC TB 2024'!D359:S812,16,FALSE)/1000</f>
        <v>0</v>
      </c>
      <c r="F349" s="178">
        <f>VLOOKUP(C349,'FERC TB 2025'!D359:R812,15,FALSE)/1000</f>
        <v>0</v>
      </c>
      <c r="G349" s="191">
        <f t="shared" si="10"/>
        <v>0</v>
      </c>
      <c r="H349" s="206" t="e">
        <f t="shared" si="11"/>
        <v>#DIV/0!</v>
      </c>
    </row>
    <row r="350" spans="1:8" hidden="1" x14ac:dyDescent="0.3">
      <c r="A350" s="177" t="s">
        <v>162</v>
      </c>
      <c r="B350" s="177" t="s">
        <v>163</v>
      </c>
      <c r="C350" s="201" t="s">
        <v>858</v>
      </c>
      <c r="D350" s="88" t="s">
        <v>859</v>
      </c>
      <c r="E350" s="178">
        <f>VLOOKUP(C350,'FERC TB 2024'!D360:S813,16,FALSE)/1000</f>
        <v>0</v>
      </c>
      <c r="F350" s="178">
        <f>VLOOKUP(C350,'FERC TB 2025'!D360:R813,15,FALSE)/1000</f>
        <v>0</v>
      </c>
      <c r="G350" s="191">
        <f t="shared" si="10"/>
        <v>0</v>
      </c>
      <c r="H350" s="206" t="e">
        <f t="shared" si="11"/>
        <v>#DIV/0!</v>
      </c>
    </row>
    <row r="351" spans="1:8" hidden="1" x14ac:dyDescent="0.3">
      <c r="A351" s="177" t="s">
        <v>162</v>
      </c>
      <c r="B351" s="177" t="s">
        <v>163</v>
      </c>
      <c r="C351" s="201" t="s">
        <v>860</v>
      </c>
      <c r="D351" s="88" t="s">
        <v>861</v>
      </c>
      <c r="E351" s="178">
        <f>VLOOKUP(C351,'FERC TB 2024'!D361:S814,16,FALSE)/1000</f>
        <v>0</v>
      </c>
      <c r="F351" s="178">
        <f>VLOOKUP(C351,'FERC TB 2025'!D361:R814,15,FALSE)/1000</f>
        <v>0</v>
      </c>
      <c r="G351" s="191">
        <f t="shared" si="10"/>
        <v>0</v>
      </c>
      <c r="H351" s="206" t="e">
        <f t="shared" si="11"/>
        <v>#DIV/0!</v>
      </c>
    </row>
    <row r="352" spans="1:8" hidden="1" x14ac:dyDescent="0.3">
      <c r="A352" s="177" t="s">
        <v>162</v>
      </c>
      <c r="B352" s="177" t="s">
        <v>163</v>
      </c>
      <c r="C352" s="201" t="s">
        <v>862</v>
      </c>
      <c r="D352" s="88" t="s">
        <v>863</v>
      </c>
      <c r="E352" s="178">
        <f>VLOOKUP(C352,'FERC TB 2024'!D362:S815,16,FALSE)/1000</f>
        <v>0</v>
      </c>
      <c r="F352" s="178">
        <f>VLOOKUP(C352,'FERC TB 2025'!D362:R815,15,FALSE)/1000</f>
        <v>0</v>
      </c>
      <c r="G352" s="191">
        <f t="shared" si="10"/>
        <v>0</v>
      </c>
      <c r="H352" s="206" t="e">
        <f t="shared" si="11"/>
        <v>#DIV/0!</v>
      </c>
    </row>
    <row r="353" spans="1:8" hidden="1" x14ac:dyDescent="0.3">
      <c r="A353" s="177" t="s">
        <v>162</v>
      </c>
      <c r="B353" s="177" t="s">
        <v>163</v>
      </c>
      <c r="C353" s="201" t="s">
        <v>864</v>
      </c>
      <c r="D353" s="88" t="s">
        <v>865</v>
      </c>
      <c r="E353" s="178">
        <f>VLOOKUP(C353,'FERC TB 2024'!D363:S816,16,FALSE)/1000</f>
        <v>0</v>
      </c>
      <c r="F353" s="178">
        <f>VLOOKUP(C353,'FERC TB 2025'!D363:R816,15,FALSE)/1000</f>
        <v>0</v>
      </c>
      <c r="G353" s="191">
        <f t="shared" si="10"/>
        <v>0</v>
      </c>
      <c r="H353" s="206" t="e">
        <f t="shared" si="11"/>
        <v>#DIV/0!</v>
      </c>
    </row>
    <row r="354" spans="1:8" hidden="1" x14ac:dyDescent="0.3">
      <c r="A354" s="177" t="s">
        <v>162</v>
      </c>
      <c r="B354" s="177" t="s">
        <v>163</v>
      </c>
      <c r="C354" s="201" t="s">
        <v>866</v>
      </c>
      <c r="D354" s="88" t="s">
        <v>867</v>
      </c>
      <c r="E354" s="178">
        <f>VLOOKUP(C354,'FERC TB 2024'!D364:S817,16,FALSE)/1000</f>
        <v>0</v>
      </c>
      <c r="F354" s="178">
        <f>VLOOKUP(C354,'FERC TB 2025'!D364:R817,15,FALSE)/1000</f>
        <v>0</v>
      </c>
      <c r="G354" s="191">
        <f t="shared" si="10"/>
        <v>0</v>
      </c>
      <c r="H354" s="206" t="e">
        <f t="shared" si="11"/>
        <v>#DIV/0!</v>
      </c>
    </row>
    <row r="355" spans="1:8" hidden="1" x14ac:dyDescent="0.3">
      <c r="A355" s="177" t="s">
        <v>162</v>
      </c>
      <c r="B355" s="177" t="s">
        <v>163</v>
      </c>
      <c r="C355" s="201" t="s">
        <v>868</v>
      </c>
      <c r="D355" s="88" t="s">
        <v>869</v>
      </c>
      <c r="E355" s="178">
        <f>VLOOKUP(C355,'FERC TB 2024'!D365:S818,16,FALSE)/1000</f>
        <v>0</v>
      </c>
      <c r="F355" s="178">
        <f>VLOOKUP(C355,'FERC TB 2025'!D365:R818,15,FALSE)/1000</f>
        <v>0</v>
      </c>
      <c r="G355" s="191">
        <f t="shared" si="10"/>
        <v>0</v>
      </c>
      <c r="H355" s="206" t="e">
        <f t="shared" si="11"/>
        <v>#DIV/0!</v>
      </c>
    </row>
    <row r="356" spans="1:8" hidden="1" x14ac:dyDescent="0.3">
      <c r="A356" s="177" t="s">
        <v>162</v>
      </c>
      <c r="B356" s="177" t="s">
        <v>163</v>
      </c>
      <c r="C356" s="201" t="s">
        <v>870</v>
      </c>
      <c r="D356" s="88" t="s">
        <v>871</v>
      </c>
      <c r="E356" s="178">
        <f>VLOOKUP(C356,'FERC TB 2024'!D366:S819,16,FALSE)/1000</f>
        <v>0</v>
      </c>
      <c r="F356" s="178">
        <f>VLOOKUP(C356,'FERC TB 2025'!D366:R819,15,FALSE)/1000</f>
        <v>0</v>
      </c>
      <c r="G356" s="191">
        <f t="shared" si="10"/>
        <v>0</v>
      </c>
      <c r="H356" s="206" t="e">
        <f t="shared" si="11"/>
        <v>#DIV/0!</v>
      </c>
    </row>
    <row r="357" spans="1:8" hidden="1" x14ac:dyDescent="0.3">
      <c r="A357" s="177" t="s">
        <v>162</v>
      </c>
      <c r="B357" s="177" t="s">
        <v>163</v>
      </c>
      <c r="C357" s="201" t="s">
        <v>872</v>
      </c>
      <c r="D357" s="88" t="s">
        <v>873</v>
      </c>
      <c r="E357" s="178">
        <f>VLOOKUP(C357,'FERC TB 2024'!D367:S820,16,FALSE)/1000</f>
        <v>0</v>
      </c>
      <c r="F357" s="178">
        <f>VLOOKUP(C357,'FERC TB 2025'!D367:R820,15,FALSE)/1000</f>
        <v>0</v>
      </c>
      <c r="G357" s="191">
        <f t="shared" si="10"/>
        <v>0</v>
      </c>
      <c r="H357" s="206" t="e">
        <f t="shared" si="11"/>
        <v>#DIV/0!</v>
      </c>
    </row>
    <row r="358" spans="1:8" hidden="1" x14ac:dyDescent="0.3">
      <c r="A358" s="177" t="s">
        <v>162</v>
      </c>
      <c r="B358" s="177" t="s">
        <v>163</v>
      </c>
      <c r="C358" s="201" t="s">
        <v>874</v>
      </c>
      <c r="D358" s="88" t="s">
        <v>875</v>
      </c>
      <c r="E358" s="178">
        <f>VLOOKUP(C358,'FERC TB 2024'!D368:S821,16,FALSE)/1000</f>
        <v>0</v>
      </c>
      <c r="F358" s="178">
        <f>VLOOKUP(C358,'FERC TB 2025'!D368:R821,15,FALSE)/1000</f>
        <v>0</v>
      </c>
      <c r="G358" s="191">
        <f t="shared" si="10"/>
        <v>0</v>
      </c>
      <c r="H358" s="206" t="e">
        <f t="shared" si="11"/>
        <v>#DIV/0!</v>
      </c>
    </row>
    <row r="359" spans="1:8" hidden="1" x14ac:dyDescent="0.3">
      <c r="A359" s="177" t="s">
        <v>162</v>
      </c>
      <c r="B359" s="177" t="s">
        <v>163</v>
      </c>
      <c r="C359" s="201" t="s">
        <v>876</v>
      </c>
      <c r="D359" s="88" t="s">
        <v>877</v>
      </c>
      <c r="E359" s="178">
        <f>VLOOKUP(C359,'FERC TB 2024'!D369:S822,16,FALSE)/1000</f>
        <v>0</v>
      </c>
      <c r="F359" s="178">
        <f>VLOOKUP(C359,'FERC TB 2025'!D369:R822,15,FALSE)/1000</f>
        <v>0</v>
      </c>
      <c r="G359" s="191">
        <f t="shared" si="10"/>
        <v>0</v>
      </c>
      <c r="H359" s="206" t="e">
        <f t="shared" si="11"/>
        <v>#DIV/0!</v>
      </c>
    </row>
    <row r="360" spans="1:8" hidden="1" x14ac:dyDescent="0.3">
      <c r="A360" s="177" t="s">
        <v>162</v>
      </c>
      <c r="B360" s="177" t="s">
        <v>163</v>
      </c>
      <c r="C360" s="201" t="s">
        <v>878</v>
      </c>
      <c r="D360" s="88" t="s">
        <v>879</v>
      </c>
      <c r="E360" s="178">
        <f>VLOOKUP(C360,'FERC TB 2024'!D370:S823,16,FALSE)/1000</f>
        <v>0</v>
      </c>
      <c r="F360" s="178">
        <f>VLOOKUP(C360,'FERC TB 2025'!D370:R823,15,FALSE)/1000</f>
        <v>0</v>
      </c>
      <c r="G360" s="191">
        <f t="shared" si="10"/>
        <v>0</v>
      </c>
      <c r="H360" s="206" t="e">
        <f t="shared" si="11"/>
        <v>#DIV/0!</v>
      </c>
    </row>
    <row r="361" spans="1:8" hidden="1" x14ac:dyDescent="0.3">
      <c r="A361" s="177" t="s">
        <v>162</v>
      </c>
      <c r="B361" s="177" t="s">
        <v>163</v>
      </c>
      <c r="C361" s="201" t="s">
        <v>880</v>
      </c>
      <c r="D361" s="88" t="s">
        <v>881</v>
      </c>
      <c r="E361" s="178">
        <f>VLOOKUP(C361,'FERC TB 2024'!D371:S824,16,FALSE)/1000</f>
        <v>0</v>
      </c>
      <c r="F361" s="178">
        <f>VLOOKUP(C361,'FERC TB 2025'!D371:R824,15,FALSE)/1000</f>
        <v>0</v>
      </c>
      <c r="G361" s="191">
        <f t="shared" si="10"/>
        <v>0</v>
      </c>
      <c r="H361" s="206" t="e">
        <f t="shared" si="11"/>
        <v>#DIV/0!</v>
      </c>
    </row>
    <row r="362" spans="1:8" hidden="1" x14ac:dyDescent="0.3">
      <c r="A362" s="177" t="s">
        <v>162</v>
      </c>
      <c r="B362" s="177" t="s">
        <v>163</v>
      </c>
      <c r="C362" s="201" t="s">
        <v>882</v>
      </c>
      <c r="D362" s="88" t="s">
        <v>883</v>
      </c>
      <c r="E362" s="178">
        <f>VLOOKUP(C362,'FERC TB 2024'!D372:S825,16,FALSE)/1000</f>
        <v>0</v>
      </c>
      <c r="F362" s="178">
        <f>VLOOKUP(C362,'FERC TB 2025'!D372:R825,15,FALSE)/1000</f>
        <v>0</v>
      </c>
      <c r="G362" s="191">
        <f t="shared" si="10"/>
        <v>0</v>
      </c>
      <c r="H362" s="206" t="e">
        <f t="shared" si="11"/>
        <v>#DIV/0!</v>
      </c>
    </row>
    <row r="363" spans="1:8" hidden="1" x14ac:dyDescent="0.3">
      <c r="A363" s="177" t="s">
        <v>162</v>
      </c>
      <c r="B363" s="177" t="s">
        <v>163</v>
      </c>
      <c r="C363" s="201" t="s">
        <v>884</v>
      </c>
      <c r="D363" s="88" t="s">
        <v>885</v>
      </c>
      <c r="E363" s="178">
        <f>VLOOKUP(C363,'FERC TB 2024'!D373:S826,16,FALSE)/1000</f>
        <v>0</v>
      </c>
      <c r="F363" s="178">
        <f>VLOOKUP(C363,'FERC TB 2025'!D373:R826,15,FALSE)/1000</f>
        <v>0</v>
      </c>
      <c r="G363" s="191">
        <f t="shared" si="10"/>
        <v>0</v>
      </c>
      <c r="H363" s="206" t="e">
        <f t="shared" si="11"/>
        <v>#DIV/0!</v>
      </c>
    </row>
    <row r="364" spans="1:8" hidden="1" x14ac:dyDescent="0.3">
      <c r="A364" s="177" t="s">
        <v>162</v>
      </c>
      <c r="B364" s="177" t="s">
        <v>163</v>
      </c>
      <c r="C364" s="201" t="s">
        <v>886</v>
      </c>
      <c r="D364" s="88" t="s">
        <v>887</v>
      </c>
      <c r="E364" s="178">
        <f>VLOOKUP(C364,'FERC TB 2024'!D374:S827,16,FALSE)/1000</f>
        <v>0</v>
      </c>
      <c r="F364" s="178">
        <f>VLOOKUP(C364,'FERC TB 2025'!D374:R827,15,FALSE)/1000</f>
        <v>0</v>
      </c>
      <c r="G364" s="191">
        <f t="shared" si="10"/>
        <v>0</v>
      </c>
      <c r="H364" s="206" t="e">
        <f t="shared" si="11"/>
        <v>#DIV/0!</v>
      </c>
    </row>
    <row r="365" spans="1:8" hidden="1" x14ac:dyDescent="0.3">
      <c r="A365" s="177" t="s">
        <v>162</v>
      </c>
      <c r="B365" s="177" t="s">
        <v>163</v>
      </c>
      <c r="C365" s="201" t="s">
        <v>888</v>
      </c>
      <c r="D365" s="88" t="s">
        <v>889</v>
      </c>
      <c r="E365" s="178">
        <f>VLOOKUP(C365,'FERC TB 2024'!D375:S828,16,FALSE)/1000</f>
        <v>0</v>
      </c>
      <c r="F365" s="178">
        <f>VLOOKUP(C365,'FERC TB 2025'!D375:R828,15,FALSE)/1000</f>
        <v>0</v>
      </c>
      <c r="G365" s="191">
        <f t="shared" si="10"/>
        <v>0</v>
      </c>
      <c r="H365" s="206" t="e">
        <f t="shared" si="11"/>
        <v>#DIV/0!</v>
      </c>
    </row>
    <row r="366" spans="1:8" hidden="1" x14ac:dyDescent="0.3">
      <c r="A366" s="177" t="s">
        <v>162</v>
      </c>
      <c r="B366" s="177" t="s">
        <v>163</v>
      </c>
      <c r="C366" s="201" t="s">
        <v>890</v>
      </c>
      <c r="D366" s="88" t="s">
        <v>891</v>
      </c>
      <c r="E366" s="178">
        <f>VLOOKUP(C366,'FERC TB 2024'!D376:S829,16,FALSE)/1000</f>
        <v>0</v>
      </c>
      <c r="F366" s="178">
        <f>VLOOKUP(C366,'FERC TB 2025'!D376:R829,15,FALSE)/1000</f>
        <v>0</v>
      </c>
      <c r="G366" s="191">
        <f t="shared" si="10"/>
        <v>0</v>
      </c>
      <c r="H366" s="206" t="e">
        <f t="shared" si="11"/>
        <v>#DIV/0!</v>
      </c>
    </row>
    <row r="367" spans="1:8" hidden="1" x14ac:dyDescent="0.3">
      <c r="A367" s="177" t="s">
        <v>162</v>
      </c>
      <c r="B367" s="177" t="s">
        <v>163</v>
      </c>
      <c r="C367" s="201" t="s">
        <v>892</v>
      </c>
      <c r="D367" s="88" t="s">
        <v>893</v>
      </c>
      <c r="E367" s="178">
        <f>VLOOKUP(C367,'FERC TB 2024'!D377:S830,16,FALSE)/1000</f>
        <v>0</v>
      </c>
      <c r="F367" s="178">
        <f>VLOOKUP(C367,'FERC TB 2025'!D377:R830,15,FALSE)/1000</f>
        <v>0</v>
      </c>
      <c r="G367" s="191">
        <f t="shared" si="10"/>
        <v>0</v>
      </c>
      <c r="H367" s="206" t="e">
        <f t="shared" si="11"/>
        <v>#DIV/0!</v>
      </c>
    </row>
    <row r="368" spans="1:8" hidden="1" x14ac:dyDescent="0.3">
      <c r="A368" s="177" t="s">
        <v>162</v>
      </c>
      <c r="B368" s="177" t="s">
        <v>163</v>
      </c>
      <c r="C368" s="201" t="s">
        <v>894</v>
      </c>
      <c r="D368" s="88" t="s">
        <v>895</v>
      </c>
      <c r="E368" s="178">
        <f>VLOOKUP(C368,'FERC TB 2024'!D378:S831,16,FALSE)/1000</f>
        <v>0</v>
      </c>
      <c r="F368" s="178">
        <f>VLOOKUP(C368,'FERC TB 2025'!D378:R831,15,FALSE)/1000</f>
        <v>0</v>
      </c>
      <c r="G368" s="191">
        <f t="shared" si="10"/>
        <v>0</v>
      </c>
      <c r="H368" s="206" t="e">
        <f t="shared" si="11"/>
        <v>#DIV/0!</v>
      </c>
    </row>
    <row r="369" spans="1:8" hidden="1" x14ac:dyDescent="0.3">
      <c r="A369" s="177" t="s">
        <v>162</v>
      </c>
      <c r="B369" s="177" t="s">
        <v>163</v>
      </c>
      <c r="C369" s="201" t="s">
        <v>896</v>
      </c>
      <c r="D369" s="88" t="s">
        <v>897</v>
      </c>
      <c r="E369" s="178">
        <f>VLOOKUP(C369,'FERC TB 2024'!D379:S832,16,FALSE)/1000</f>
        <v>0</v>
      </c>
      <c r="F369" s="178">
        <f>VLOOKUP(C369,'FERC TB 2025'!D379:R832,15,FALSE)/1000</f>
        <v>0</v>
      </c>
      <c r="G369" s="191">
        <f t="shared" si="10"/>
        <v>0</v>
      </c>
      <c r="H369" s="206" t="e">
        <f t="shared" si="11"/>
        <v>#DIV/0!</v>
      </c>
    </row>
    <row r="370" spans="1:8" hidden="1" x14ac:dyDescent="0.3">
      <c r="A370" s="177" t="s">
        <v>162</v>
      </c>
      <c r="B370" s="177" t="s">
        <v>163</v>
      </c>
      <c r="C370" s="201" t="s">
        <v>898</v>
      </c>
      <c r="D370" s="88" t="s">
        <v>899</v>
      </c>
      <c r="E370" s="178">
        <f>VLOOKUP(C370,'FERC TB 2024'!D380:S833,16,FALSE)/1000</f>
        <v>0</v>
      </c>
      <c r="F370" s="178">
        <f>VLOOKUP(C370,'FERC TB 2025'!D380:R833,15,FALSE)/1000</f>
        <v>0</v>
      </c>
      <c r="G370" s="191">
        <f t="shared" si="10"/>
        <v>0</v>
      </c>
      <c r="H370" s="206" t="e">
        <f t="shared" si="11"/>
        <v>#DIV/0!</v>
      </c>
    </row>
    <row r="371" spans="1:8" hidden="1" x14ac:dyDescent="0.3">
      <c r="A371" s="177" t="s">
        <v>162</v>
      </c>
      <c r="B371" s="177" t="s">
        <v>163</v>
      </c>
      <c r="C371" s="201" t="s">
        <v>900</v>
      </c>
      <c r="D371" s="88" t="s">
        <v>901</v>
      </c>
      <c r="E371" s="178">
        <f>VLOOKUP(C371,'FERC TB 2024'!D381:S834,16,FALSE)/1000</f>
        <v>0</v>
      </c>
      <c r="F371" s="178">
        <f>VLOOKUP(C371,'FERC TB 2025'!D381:R834,15,FALSE)/1000</f>
        <v>0</v>
      </c>
      <c r="G371" s="191">
        <f t="shared" si="10"/>
        <v>0</v>
      </c>
      <c r="H371" s="206" t="e">
        <f t="shared" si="11"/>
        <v>#DIV/0!</v>
      </c>
    </row>
    <row r="372" spans="1:8" hidden="1" x14ac:dyDescent="0.3">
      <c r="A372" s="177" t="s">
        <v>162</v>
      </c>
      <c r="B372" s="177" t="s">
        <v>163</v>
      </c>
      <c r="C372" s="201" t="s">
        <v>902</v>
      </c>
      <c r="D372" s="88" t="s">
        <v>903</v>
      </c>
      <c r="E372" s="178">
        <f>VLOOKUP(C372,'FERC TB 2024'!D382:S835,16,FALSE)/1000</f>
        <v>0</v>
      </c>
      <c r="F372" s="178">
        <f>VLOOKUP(C372,'FERC TB 2025'!D382:R835,15,FALSE)/1000</f>
        <v>0</v>
      </c>
      <c r="G372" s="191">
        <f t="shared" si="10"/>
        <v>0</v>
      </c>
      <c r="H372" s="206" t="e">
        <f t="shared" si="11"/>
        <v>#DIV/0!</v>
      </c>
    </row>
    <row r="373" spans="1:8" hidden="1" x14ac:dyDescent="0.3">
      <c r="A373" s="177" t="s">
        <v>162</v>
      </c>
      <c r="B373" s="177" t="s">
        <v>163</v>
      </c>
      <c r="C373" s="201" t="s">
        <v>904</v>
      </c>
      <c r="D373" s="88" t="s">
        <v>905</v>
      </c>
      <c r="E373" s="178">
        <f>VLOOKUP(C373,'FERC TB 2024'!D383:S836,16,FALSE)/1000</f>
        <v>0</v>
      </c>
      <c r="F373" s="178">
        <f>VLOOKUP(C373,'FERC TB 2025'!D383:R836,15,FALSE)/1000</f>
        <v>0</v>
      </c>
      <c r="G373" s="191">
        <f t="shared" si="10"/>
        <v>0</v>
      </c>
      <c r="H373" s="206" t="e">
        <f t="shared" si="11"/>
        <v>#DIV/0!</v>
      </c>
    </row>
    <row r="374" spans="1:8" hidden="1" x14ac:dyDescent="0.3">
      <c r="A374" s="177" t="s">
        <v>162</v>
      </c>
      <c r="B374" s="177" t="s">
        <v>163</v>
      </c>
      <c r="C374" s="201" t="s">
        <v>906</v>
      </c>
      <c r="D374" s="88" t="s">
        <v>907</v>
      </c>
      <c r="E374" s="178">
        <f>VLOOKUP(C374,'FERC TB 2024'!D384:S837,16,FALSE)/1000</f>
        <v>0</v>
      </c>
      <c r="F374" s="178">
        <f>VLOOKUP(C374,'FERC TB 2025'!D384:R837,15,FALSE)/1000</f>
        <v>0</v>
      </c>
      <c r="G374" s="191">
        <f t="shared" si="10"/>
        <v>0</v>
      </c>
      <c r="H374" s="206" t="e">
        <f t="shared" si="11"/>
        <v>#DIV/0!</v>
      </c>
    </row>
    <row r="375" spans="1:8" hidden="1" x14ac:dyDescent="0.3">
      <c r="A375" s="177" t="s">
        <v>162</v>
      </c>
      <c r="B375" s="177" t="s">
        <v>163</v>
      </c>
      <c r="C375" s="201" t="s">
        <v>908</v>
      </c>
      <c r="D375" s="88" t="s">
        <v>909</v>
      </c>
      <c r="E375" s="178">
        <f>VLOOKUP(C375,'FERC TB 2024'!D385:S838,16,FALSE)/1000</f>
        <v>0</v>
      </c>
      <c r="F375" s="178">
        <f>VLOOKUP(C375,'FERC TB 2025'!D385:R838,15,FALSE)/1000</f>
        <v>0</v>
      </c>
      <c r="G375" s="191">
        <f t="shared" si="10"/>
        <v>0</v>
      </c>
      <c r="H375" s="206" t="e">
        <f t="shared" si="11"/>
        <v>#DIV/0!</v>
      </c>
    </row>
    <row r="376" spans="1:8" hidden="1" x14ac:dyDescent="0.3">
      <c r="A376" s="177" t="s">
        <v>162</v>
      </c>
      <c r="B376" s="177" t="s">
        <v>163</v>
      </c>
      <c r="C376" s="201" t="s">
        <v>910</v>
      </c>
      <c r="D376" s="88" t="s">
        <v>911</v>
      </c>
      <c r="E376" s="178">
        <f>VLOOKUP(C376,'FERC TB 2024'!D386:S839,16,FALSE)/1000</f>
        <v>0</v>
      </c>
      <c r="F376" s="178">
        <f>VLOOKUP(C376,'FERC TB 2025'!D386:R839,15,FALSE)/1000</f>
        <v>0</v>
      </c>
      <c r="G376" s="191">
        <f t="shared" si="10"/>
        <v>0</v>
      </c>
      <c r="H376" s="206" t="e">
        <f t="shared" si="11"/>
        <v>#DIV/0!</v>
      </c>
    </row>
    <row r="377" spans="1:8" hidden="1" x14ac:dyDescent="0.3">
      <c r="A377" s="177" t="s">
        <v>162</v>
      </c>
      <c r="B377" s="177" t="s">
        <v>163</v>
      </c>
      <c r="C377" s="201" t="s">
        <v>912</v>
      </c>
      <c r="D377" s="88" t="s">
        <v>913</v>
      </c>
      <c r="E377" s="178">
        <f>VLOOKUP(C377,'FERC TB 2024'!D387:S840,16,FALSE)/1000</f>
        <v>0</v>
      </c>
      <c r="F377" s="178">
        <f>VLOOKUP(C377,'FERC TB 2025'!D387:R840,15,FALSE)/1000</f>
        <v>0</v>
      </c>
      <c r="G377" s="191">
        <f t="shared" si="10"/>
        <v>0</v>
      </c>
      <c r="H377" s="206" t="e">
        <f t="shared" si="11"/>
        <v>#DIV/0!</v>
      </c>
    </row>
    <row r="378" spans="1:8" hidden="1" x14ac:dyDescent="0.3">
      <c r="A378" s="177" t="s">
        <v>162</v>
      </c>
      <c r="B378" s="177" t="s">
        <v>163</v>
      </c>
      <c r="C378" s="201" t="s">
        <v>914</v>
      </c>
      <c r="D378" s="88" t="s">
        <v>915</v>
      </c>
      <c r="E378" s="178">
        <f>VLOOKUP(C378,'FERC TB 2024'!D388:S841,16,FALSE)/1000</f>
        <v>0</v>
      </c>
      <c r="F378" s="178">
        <f>VLOOKUP(C378,'FERC TB 2025'!D388:R841,15,FALSE)/1000</f>
        <v>0</v>
      </c>
      <c r="G378" s="191">
        <f t="shared" si="10"/>
        <v>0</v>
      </c>
      <c r="H378" s="206" t="e">
        <f t="shared" si="11"/>
        <v>#DIV/0!</v>
      </c>
    </row>
    <row r="379" spans="1:8" hidden="1" x14ac:dyDescent="0.3">
      <c r="A379" s="177" t="s">
        <v>162</v>
      </c>
      <c r="B379" s="177" t="s">
        <v>163</v>
      </c>
      <c r="C379" s="201" t="s">
        <v>916</v>
      </c>
      <c r="D379" s="88" t="s">
        <v>917</v>
      </c>
      <c r="E379" s="178">
        <f>VLOOKUP(C379,'FERC TB 2024'!D389:S842,16,FALSE)/1000</f>
        <v>0</v>
      </c>
      <c r="F379" s="178">
        <f>VLOOKUP(C379,'FERC TB 2025'!D389:R842,15,FALSE)/1000</f>
        <v>0</v>
      </c>
      <c r="G379" s="191">
        <f t="shared" si="10"/>
        <v>0</v>
      </c>
      <c r="H379" s="206" t="e">
        <f t="shared" si="11"/>
        <v>#DIV/0!</v>
      </c>
    </row>
    <row r="380" spans="1:8" hidden="1" x14ac:dyDescent="0.3">
      <c r="A380" s="177" t="s">
        <v>162</v>
      </c>
      <c r="B380" s="177" t="s">
        <v>163</v>
      </c>
      <c r="C380" s="201" t="s">
        <v>918</v>
      </c>
      <c r="D380" s="88" t="s">
        <v>919</v>
      </c>
      <c r="E380" s="178">
        <f>VLOOKUP(C380,'FERC TB 2024'!D390:S843,16,FALSE)/1000</f>
        <v>0</v>
      </c>
      <c r="F380" s="178">
        <f>VLOOKUP(C380,'FERC TB 2025'!D390:R843,15,FALSE)/1000</f>
        <v>0</v>
      </c>
      <c r="G380" s="191">
        <f t="shared" si="10"/>
        <v>0</v>
      </c>
      <c r="H380" s="206" t="e">
        <f t="shared" si="11"/>
        <v>#DIV/0!</v>
      </c>
    </row>
    <row r="381" spans="1:8" hidden="1" x14ac:dyDescent="0.3">
      <c r="A381" s="177" t="s">
        <v>162</v>
      </c>
      <c r="B381" s="177" t="s">
        <v>163</v>
      </c>
      <c r="C381" s="201" t="s">
        <v>920</v>
      </c>
      <c r="D381" s="88" t="s">
        <v>921</v>
      </c>
      <c r="E381" s="178">
        <f>VLOOKUP(C381,'FERC TB 2024'!D391:S844,16,FALSE)/1000</f>
        <v>0</v>
      </c>
      <c r="F381" s="178">
        <f>VLOOKUP(C381,'FERC TB 2025'!D391:R844,15,FALSE)/1000</f>
        <v>0</v>
      </c>
      <c r="G381" s="191">
        <f t="shared" si="10"/>
        <v>0</v>
      </c>
      <c r="H381" s="206" t="e">
        <f t="shared" si="11"/>
        <v>#DIV/0!</v>
      </c>
    </row>
    <row r="382" spans="1:8" hidden="1" x14ac:dyDescent="0.3">
      <c r="A382" s="177" t="s">
        <v>162</v>
      </c>
      <c r="B382" s="177" t="s">
        <v>163</v>
      </c>
      <c r="C382" s="201" t="s">
        <v>922</v>
      </c>
      <c r="D382" s="88" t="s">
        <v>923</v>
      </c>
      <c r="E382" s="178">
        <f>VLOOKUP(C382,'FERC TB 2024'!D392:S845,16,FALSE)/1000</f>
        <v>0</v>
      </c>
      <c r="F382" s="178">
        <f>VLOOKUP(C382,'FERC TB 2025'!D392:R845,15,FALSE)/1000</f>
        <v>0</v>
      </c>
      <c r="G382" s="191">
        <f t="shared" si="10"/>
        <v>0</v>
      </c>
      <c r="H382" s="206" t="e">
        <f t="shared" si="11"/>
        <v>#DIV/0!</v>
      </c>
    </row>
    <row r="383" spans="1:8" hidden="1" x14ac:dyDescent="0.3">
      <c r="A383" s="177" t="s">
        <v>162</v>
      </c>
      <c r="B383" s="177" t="s">
        <v>163</v>
      </c>
      <c r="C383" s="201" t="s">
        <v>924</v>
      </c>
      <c r="D383" s="88" t="s">
        <v>925</v>
      </c>
      <c r="E383" s="178">
        <f>VLOOKUP(C383,'FERC TB 2024'!D393:S846,16,FALSE)/1000</f>
        <v>0</v>
      </c>
      <c r="F383" s="178">
        <f>VLOOKUP(C383,'FERC TB 2025'!D393:R846,15,FALSE)/1000</f>
        <v>0</v>
      </c>
      <c r="G383" s="191">
        <f t="shared" si="10"/>
        <v>0</v>
      </c>
      <c r="H383" s="206" t="e">
        <f t="shared" si="11"/>
        <v>#DIV/0!</v>
      </c>
    </row>
    <row r="384" spans="1:8" hidden="1" x14ac:dyDescent="0.3">
      <c r="A384" s="177" t="s">
        <v>162</v>
      </c>
      <c r="B384" s="177" t="s">
        <v>163</v>
      </c>
      <c r="C384" s="201" t="s">
        <v>926</v>
      </c>
      <c r="D384" s="88" t="s">
        <v>927</v>
      </c>
      <c r="E384" s="178">
        <f>VLOOKUP(C384,'FERC TB 2024'!D394:S847,16,FALSE)/1000</f>
        <v>0</v>
      </c>
      <c r="F384" s="178">
        <f>VLOOKUP(C384,'FERC TB 2025'!D394:R847,15,FALSE)/1000</f>
        <v>0</v>
      </c>
      <c r="G384" s="191">
        <f t="shared" si="10"/>
        <v>0</v>
      </c>
      <c r="H384" s="206" t="e">
        <f t="shared" si="11"/>
        <v>#DIV/0!</v>
      </c>
    </row>
    <row r="385" spans="1:8" hidden="1" x14ac:dyDescent="0.3">
      <c r="A385" s="177" t="s">
        <v>162</v>
      </c>
      <c r="B385" s="177" t="s">
        <v>163</v>
      </c>
      <c r="C385" s="201" t="s">
        <v>928</v>
      </c>
      <c r="D385" s="88" t="s">
        <v>929</v>
      </c>
      <c r="E385" s="178">
        <f>VLOOKUP(C385,'FERC TB 2024'!D395:S848,16,FALSE)/1000</f>
        <v>0</v>
      </c>
      <c r="F385" s="178">
        <f>VLOOKUP(C385,'FERC TB 2025'!D395:R848,15,FALSE)/1000</f>
        <v>0</v>
      </c>
      <c r="G385" s="191">
        <f t="shared" si="10"/>
        <v>0</v>
      </c>
      <c r="H385" s="206" t="e">
        <f t="shared" si="11"/>
        <v>#DIV/0!</v>
      </c>
    </row>
    <row r="386" spans="1:8" hidden="1" x14ac:dyDescent="0.3">
      <c r="A386" s="177" t="s">
        <v>162</v>
      </c>
      <c r="B386" s="177" t="s">
        <v>163</v>
      </c>
      <c r="C386" s="201" t="s">
        <v>930</v>
      </c>
      <c r="D386" s="88" t="s">
        <v>931</v>
      </c>
      <c r="E386" s="178">
        <f>VLOOKUP(C386,'FERC TB 2024'!D396:S849,16,FALSE)/1000</f>
        <v>0</v>
      </c>
      <c r="F386" s="178">
        <f>VLOOKUP(C386,'FERC TB 2025'!D396:R849,15,FALSE)/1000</f>
        <v>0</v>
      </c>
      <c r="G386" s="191">
        <f t="shared" si="10"/>
        <v>0</v>
      </c>
      <c r="H386" s="206" t="e">
        <f t="shared" si="11"/>
        <v>#DIV/0!</v>
      </c>
    </row>
    <row r="387" spans="1:8" hidden="1" x14ac:dyDescent="0.3">
      <c r="A387" s="177" t="s">
        <v>162</v>
      </c>
      <c r="B387" s="177" t="s">
        <v>163</v>
      </c>
      <c r="C387" s="201" t="s">
        <v>932</v>
      </c>
      <c r="D387" s="88" t="s">
        <v>933</v>
      </c>
      <c r="E387" s="178">
        <f>VLOOKUP(C387,'FERC TB 2024'!D397:S850,16,FALSE)/1000</f>
        <v>0</v>
      </c>
      <c r="F387" s="178">
        <f>VLOOKUP(C387,'FERC TB 2025'!D397:R850,15,FALSE)/1000</f>
        <v>0</v>
      </c>
      <c r="G387" s="191">
        <f t="shared" si="10"/>
        <v>0</v>
      </c>
      <c r="H387" s="206" t="e">
        <f t="shared" si="11"/>
        <v>#DIV/0!</v>
      </c>
    </row>
    <row r="388" spans="1:8" hidden="1" x14ac:dyDescent="0.3">
      <c r="A388" s="177" t="s">
        <v>162</v>
      </c>
      <c r="B388" s="177" t="s">
        <v>163</v>
      </c>
      <c r="C388" s="201" t="s">
        <v>934</v>
      </c>
      <c r="D388" s="88" t="s">
        <v>935</v>
      </c>
      <c r="E388" s="178">
        <f>VLOOKUP(C388,'FERC TB 2024'!D398:S851,16,FALSE)/1000</f>
        <v>0</v>
      </c>
      <c r="F388" s="178">
        <f>VLOOKUP(C388,'FERC TB 2025'!D398:R851,15,FALSE)/1000</f>
        <v>0</v>
      </c>
      <c r="G388" s="191">
        <f t="shared" ref="G388:G423" si="12">F388-E388</f>
        <v>0</v>
      </c>
      <c r="H388" s="206" t="e">
        <f t="shared" ref="H388:H423" si="13">G388/E388</f>
        <v>#DIV/0!</v>
      </c>
    </row>
    <row r="389" spans="1:8" hidden="1" x14ac:dyDescent="0.3">
      <c r="A389" s="177" t="s">
        <v>162</v>
      </c>
      <c r="B389" s="177" t="s">
        <v>163</v>
      </c>
      <c r="C389" s="201" t="s">
        <v>936</v>
      </c>
      <c r="D389" s="88" t="s">
        <v>937</v>
      </c>
      <c r="E389" s="178">
        <f>VLOOKUP(C389,'FERC TB 2024'!D399:S852,16,FALSE)/1000</f>
        <v>0</v>
      </c>
      <c r="F389" s="178">
        <f>VLOOKUP(C389,'FERC TB 2025'!D399:R852,15,FALSE)/1000</f>
        <v>0</v>
      </c>
      <c r="G389" s="191">
        <f t="shared" si="12"/>
        <v>0</v>
      </c>
      <c r="H389" s="206" t="e">
        <f t="shared" si="13"/>
        <v>#DIV/0!</v>
      </c>
    </row>
    <row r="390" spans="1:8" hidden="1" x14ac:dyDescent="0.3">
      <c r="A390" s="177" t="s">
        <v>162</v>
      </c>
      <c r="B390" s="177" t="s">
        <v>163</v>
      </c>
      <c r="C390" s="201" t="s">
        <v>938</v>
      </c>
      <c r="D390" s="88" t="s">
        <v>939</v>
      </c>
      <c r="E390" s="178">
        <f>VLOOKUP(C390,'FERC TB 2024'!D400:S853,16,FALSE)/1000</f>
        <v>0</v>
      </c>
      <c r="F390" s="178">
        <f>VLOOKUP(C390,'FERC TB 2025'!D400:R853,15,FALSE)/1000</f>
        <v>0</v>
      </c>
      <c r="G390" s="191">
        <f t="shared" si="12"/>
        <v>0</v>
      </c>
      <c r="H390" s="206" t="e">
        <f t="shared" si="13"/>
        <v>#DIV/0!</v>
      </c>
    </row>
    <row r="391" spans="1:8" hidden="1" x14ac:dyDescent="0.3">
      <c r="A391" s="177" t="s">
        <v>162</v>
      </c>
      <c r="B391" s="177" t="s">
        <v>163</v>
      </c>
      <c r="C391" s="201" t="s">
        <v>940</v>
      </c>
      <c r="D391" s="88" t="s">
        <v>941</v>
      </c>
      <c r="E391" s="178">
        <f>VLOOKUP(C391,'FERC TB 2024'!D401:S854,16,FALSE)/1000</f>
        <v>0</v>
      </c>
      <c r="F391" s="178">
        <f>VLOOKUP(C391,'FERC TB 2025'!D401:R854,15,FALSE)/1000</f>
        <v>0</v>
      </c>
      <c r="G391" s="191">
        <f t="shared" si="12"/>
        <v>0</v>
      </c>
      <c r="H391" s="206" t="e">
        <f t="shared" si="13"/>
        <v>#DIV/0!</v>
      </c>
    </row>
    <row r="392" spans="1:8" hidden="1" x14ac:dyDescent="0.3">
      <c r="A392" s="177" t="s">
        <v>162</v>
      </c>
      <c r="B392" s="177" t="s">
        <v>163</v>
      </c>
      <c r="C392" s="201" t="s">
        <v>942</v>
      </c>
      <c r="D392" s="88" t="s">
        <v>943</v>
      </c>
      <c r="E392" s="178">
        <f>VLOOKUP(C392,'FERC TB 2024'!D402:S855,16,FALSE)/1000</f>
        <v>0</v>
      </c>
      <c r="F392" s="178">
        <f>VLOOKUP(C392,'FERC TB 2025'!D402:R855,15,FALSE)/1000</f>
        <v>0</v>
      </c>
      <c r="G392" s="191">
        <f t="shared" si="12"/>
        <v>0</v>
      </c>
      <c r="H392" s="206" t="e">
        <f t="shared" si="13"/>
        <v>#DIV/0!</v>
      </c>
    </row>
    <row r="393" spans="1:8" hidden="1" x14ac:dyDescent="0.3">
      <c r="A393" s="177" t="s">
        <v>162</v>
      </c>
      <c r="B393" s="177" t="s">
        <v>163</v>
      </c>
      <c r="C393" s="201" t="s">
        <v>944</v>
      </c>
      <c r="D393" s="88" t="s">
        <v>945</v>
      </c>
      <c r="E393" s="178">
        <f>VLOOKUP(C393,'FERC TB 2024'!D403:S856,16,FALSE)/1000</f>
        <v>0</v>
      </c>
      <c r="F393" s="178">
        <f>VLOOKUP(C393,'FERC TB 2025'!D403:R856,15,FALSE)/1000</f>
        <v>0</v>
      </c>
      <c r="G393" s="191">
        <f t="shared" si="12"/>
        <v>0</v>
      </c>
      <c r="H393" s="206" t="e">
        <f t="shared" si="13"/>
        <v>#DIV/0!</v>
      </c>
    </row>
    <row r="394" spans="1:8" hidden="1" x14ac:dyDescent="0.3">
      <c r="A394" s="177" t="s">
        <v>162</v>
      </c>
      <c r="B394" s="177" t="s">
        <v>163</v>
      </c>
      <c r="C394" s="201" t="s">
        <v>946</v>
      </c>
      <c r="D394" s="88" t="s">
        <v>947</v>
      </c>
      <c r="E394" s="178">
        <f>VLOOKUP(C394,'FERC TB 2024'!D404:S857,16,FALSE)/1000</f>
        <v>0</v>
      </c>
      <c r="F394" s="178">
        <f>VLOOKUP(C394,'FERC TB 2025'!D404:R857,15,FALSE)/1000</f>
        <v>0</v>
      </c>
      <c r="G394" s="191">
        <f t="shared" si="12"/>
        <v>0</v>
      </c>
      <c r="H394" s="206" t="e">
        <f t="shared" si="13"/>
        <v>#DIV/0!</v>
      </c>
    </row>
    <row r="395" spans="1:8" hidden="1" x14ac:dyDescent="0.3">
      <c r="A395" s="177" t="s">
        <v>162</v>
      </c>
      <c r="B395" s="177" t="s">
        <v>163</v>
      </c>
      <c r="C395" s="201" t="s">
        <v>948</v>
      </c>
      <c r="D395" s="88" t="s">
        <v>949</v>
      </c>
      <c r="E395" s="178">
        <f>VLOOKUP(C395,'FERC TB 2024'!D405:S858,16,FALSE)/1000</f>
        <v>0</v>
      </c>
      <c r="F395" s="178">
        <f>VLOOKUP(C395,'FERC TB 2025'!D405:R858,15,FALSE)/1000</f>
        <v>0</v>
      </c>
      <c r="G395" s="191">
        <f t="shared" si="12"/>
        <v>0</v>
      </c>
      <c r="H395" s="206" t="e">
        <f t="shared" si="13"/>
        <v>#DIV/0!</v>
      </c>
    </row>
    <row r="396" spans="1:8" hidden="1" x14ac:dyDescent="0.3">
      <c r="A396" s="177" t="s">
        <v>162</v>
      </c>
      <c r="B396" s="177" t="s">
        <v>163</v>
      </c>
      <c r="C396" s="201" t="s">
        <v>950</v>
      </c>
      <c r="D396" s="88" t="s">
        <v>951</v>
      </c>
      <c r="E396" s="178">
        <f>VLOOKUP(C396,'FERC TB 2024'!D406:S859,16,FALSE)/1000</f>
        <v>0</v>
      </c>
      <c r="F396" s="178">
        <f>VLOOKUP(C396,'FERC TB 2025'!D406:R859,15,FALSE)/1000</f>
        <v>0</v>
      </c>
      <c r="G396" s="191">
        <f t="shared" si="12"/>
        <v>0</v>
      </c>
      <c r="H396" s="206" t="e">
        <f t="shared" si="13"/>
        <v>#DIV/0!</v>
      </c>
    </row>
    <row r="397" spans="1:8" hidden="1" x14ac:dyDescent="0.3">
      <c r="A397" s="177" t="s">
        <v>162</v>
      </c>
      <c r="B397" s="177" t="s">
        <v>163</v>
      </c>
      <c r="C397" s="201" t="s">
        <v>952</v>
      </c>
      <c r="D397" s="88" t="s">
        <v>953</v>
      </c>
      <c r="E397" s="178">
        <f>VLOOKUP(C397,'FERC TB 2024'!D407:S860,16,FALSE)/1000</f>
        <v>4394.4262944155998</v>
      </c>
      <c r="F397" s="178">
        <f>VLOOKUP(C397,'FERC TB 2025'!D407:R860,15,FALSE)/1000</f>
        <v>4394.4262944155998</v>
      </c>
      <c r="G397" s="191">
        <f t="shared" si="12"/>
        <v>0</v>
      </c>
      <c r="H397" s="206">
        <f t="shared" si="13"/>
        <v>0</v>
      </c>
    </row>
    <row r="398" spans="1:8" hidden="1" x14ac:dyDescent="0.3">
      <c r="A398" s="177" t="s">
        <v>162</v>
      </c>
      <c r="B398" s="177" t="s">
        <v>163</v>
      </c>
      <c r="C398" s="201" t="s">
        <v>954</v>
      </c>
      <c r="D398" s="88" t="s">
        <v>955</v>
      </c>
      <c r="E398" s="178">
        <f>VLOOKUP(C398,'FERC TB 2024'!D408:S861,16,FALSE)/1000</f>
        <v>29174.252090180798</v>
      </c>
      <c r="F398" s="178">
        <f>VLOOKUP(C398,'FERC TB 2025'!D408:R861,15,FALSE)/1000</f>
        <v>29376.6058748381</v>
      </c>
      <c r="G398" s="191">
        <f t="shared" si="12"/>
        <v>202.35378465730173</v>
      </c>
      <c r="H398" s="206">
        <f t="shared" si="13"/>
        <v>6.9360401778871348E-3</v>
      </c>
    </row>
    <row r="399" spans="1:8" hidden="1" x14ac:dyDescent="0.3">
      <c r="A399" s="177" t="s">
        <v>162</v>
      </c>
      <c r="B399" s="177" t="s">
        <v>163</v>
      </c>
      <c r="C399" s="201" t="s">
        <v>956</v>
      </c>
      <c r="D399" s="88" t="s">
        <v>957</v>
      </c>
      <c r="E399" s="178">
        <f>VLOOKUP(C399,'FERC TB 2024'!D409:S862,16,FALSE)/1000</f>
        <v>6082.1830672140013</v>
      </c>
      <c r="F399" s="178">
        <f>VLOOKUP(C399,'FERC TB 2025'!D409:R862,15,FALSE)/1000</f>
        <v>5796.7804260915</v>
      </c>
      <c r="G399" s="191">
        <f t="shared" si="12"/>
        <v>-285.40264112250134</v>
      </c>
      <c r="H399" s="206">
        <f t="shared" si="13"/>
        <v>-4.6924375338349131E-2</v>
      </c>
    </row>
    <row r="400" spans="1:8" hidden="1" x14ac:dyDescent="0.3">
      <c r="A400" s="177" t="s">
        <v>162</v>
      </c>
      <c r="B400" s="177" t="s">
        <v>163</v>
      </c>
      <c r="C400" s="201" t="s">
        <v>958</v>
      </c>
      <c r="D400" s="88" t="s">
        <v>959</v>
      </c>
      <c r="E400" s="178">
        <f>VLOOKUP(C400,'FERC TB 2024'!D410:S863,16,FALSE)/1000</f>
        <v>0</v>
      </c>
      <c r="F400" s="178">
        <f>VLOOKUP(C400,'FERC TB 2025'!D410:R863,15,FALSE)/1000</f>
        <v>0</v>
      </c>
      <c r="G400" s="191">
        <f t="shared" si="12"/>
        <v>0</v>
      </c>
      <c r="H400" s="206" t="e">
        <f t="shared" si="13"/>
        <v>#DIV/0!</v>
      </c>
    </row>
    <row r="401" spans="1:10" hidden="1" x14ac:dyDescent="0.3">
      <c r="A401" s="177" t="s">
        <v>162</v>
      </c>
      <c r="B401" s="177" t="s">
        <v>163</v>
      </c>
      <c r="C401" s="201" t="s">
        <v>960</v>
      </c>
      <c r="D401" s="88" t="s">
        <v>961</v>
      </c>
      <c r="E401" s="178">
        <f>VLOOKUP(C401,'FERC TB 2024'!D411:S864,16,FALSE)/1000</f>
        <v>0</v>
      </c>
      <c r="F401" s="178">
        <f>VLOOKUP(C401,'FERC TB 2025'!D411:R864,15,FALSE)/1000</f>
        <v>0</v>
      </c>
      <c r="G401" s="191">
        <f t="shared" si="12"/>
        <v>0</v>
      </c>
      <c r="H401" s="206" t="e">
        <f t="shared" si="13"/>
        <v>#DIV/0!</v>
      </c>
    </row>
    <row r="402" spans="1:10" x14ac:dyDescent="0.3">
      <c r="A402" s="177" t="s">
        <v>162</v>
      </c>
      <c r="B402" s="177" t="s">
        <v>163</v>
      </c>
      <c r="C402" s="201" t="s">
        <v>962</v>
      </c>
      <c r="D402" s="88" t="s">
        <v>93</v>
      </c>
      <c r="E402" s="241">
        <f>VLOOKUP(C402,'FERC TB 2024'!D412:S865,16,FALSE)/1000</f>
        <v>44329.207177010801</v>
      </c>
      <c r="F402" s="241">
        <f>VLOOKUP(C402,'FERC TB 2025'!D412:R865,15,FALSE)/1000</f>
        <v>62700.664669294405</v>
      </c>
      <c r="G402" s="240">
        <f t="shared" si="12"/>
        <v>18371.457492283604</v>
      </c>
      <c r="H402" s="206">
        <f t="shared" si="13"/>
        <v>0.4144323497355728</v>
      </c>
      <c r="I402" t="s">
        <v>1575</v>
      </c>
      <c r="J402" t="s">
        <v>1586</v>
      </c>
    </row>
    <row r="403" spans="1:10" x14ac:dyDescent="0.3">
      <c r="A403" s="177" t="s">
        <v>162</v>
      </c>
      <c r="B403" s="177" t="s">
        <v>163</v>
      </c>
      <c r="C403" s="201" t="s">
        <v>963</v>
      </c>
      <c r="D403" s="88" t="s">
        <v>964</v>
      </c>
      <c r="E403" s="241">
        <f>VLOOKUP(C403,'FERC TB 2024'!D413:S866,16,FALSE)/1000</f>
        <v>4435.3579282233995</v>
      </c>
      <c r="F403" s="241">
        <f>VLOOKUP(C403,'FERC TB 2025'!D413:R866,15,FALSE)/1000</f>
        <v>5484.1589778819998</v>
      </c>
      <c r="G403" s="240">
        <f t="shared" si="12"/>
        <v>1048.8010496586003</v>
      </c>
      <c r="H403" s="206">
        <f t="shared" si="13"/>
        <v>0.23646367815882263</v>
      </c>
      <c r="I403" t="s">
        <v>1587</v>
      </c>
      <c r="J403" t="s">
        <v>1588</v>
      </c>
    </row>
    <row r="404" spans="1:10" hidden="1" x14ac:dyDescent="0.3">
      <c r="A404" s="177" t="s">
        <v>162</v>
      </c>
      <c r="B404" s="177" t="s">
        <v>163</v>
      </c>
      <c r="C404" s="201" t="s">
        <v>965</v>
      </c>
      <c r="D404" s="88" t="s">
        <v>966</v>
      </c>
      <c r="E404" s="178">
        <f>VLOOKUP(C404,'FERC TB 2024'!D414:S867,16,FALSE)/1000</f>
        <v>0</v>
      </c>
      <c r="F404" s="178">
        <f>VLOOKUP(C404,'FERC TB 2025'!D414:R867,15,FALSE)/1000</f>
        <v>0</v>
      </c>
      <c r="G404" s="191">
        <f t="shared" si="12"/>
        <v>0</v>
      </c>
      <c r="H404" s="206" t="e">
        <f t="shared" si="13"/>
        <v>#DIV/0!</v>
      </c>
    </row>
    <row r="405" spans="1:10" hidden="1" x14ac:dyDescent="0.3">
      <c r="A405" s="177" t="s">
        <v>162</v>
      </c>
      <c r="B405" s="177" t="s">
        <v>163</v>
      </c>
      <c r="C405" s="201" t="s">
        <v>967</v>
      </c>
      <c r="D405" s="88" t="s">
        <v>968</v>
      </c>
      <c r="E405" s="178">
        <f>VLOOKUP(C405,'FERC TB 2024'!D415:S868,16,FALSE)/1000</f>
        <v>0</v>
      </c>
      <c r="F405" s="178">
        <f>VLOOKUP(C405,'FERC TB 2025'!D415:R868,15,FALSE)/1000</f>
        <v>0</v>
      </c>
      <c r="G405" s="191">
        <f t="shared" si="12"/>
        <v>0</v>
      </c>
      <c r="H405" s="206" t="e">
        <f t="shared" si="13"/>
        <v>#DIV/0!</v>
      </c>
    </row>
    <row r="406" spans="1:10" hidden="1" x14ac:dyDescent="0.3">
      <c r="A406" s="177" t="s">
        <v>162</v>
      </c>
      <c r="B406" s="177" t="s">
        <v>163</v>
      </c>
      <c r="C406" s="201" t="s">
        <v>969</v>
      </c>
      <c r="D406" s="88" t="s">
        <v>970</v>
      </c>
      <c r="E406" s="178">
        <f>VLOOKUP(C406,'FERC TB 2024'!D416:S869,16,FALSE)/1000</f>
        <v>335.00200000000001</v>
      </c>
      <c r="F406" s="178">
        <f>VLOOKUP(C406,'FERC TB 2025'!D416:R869,15,FALSE)/1000</f>
        <v>335.00200000000001</v>
      </c>
      <c r="G406" s="191">
        <f t="shared" si="12"/>
        <v>0</v>
      </c>
      <c r="H406" s="206">
        <f t="shared" si="13"/>
        <v>0</v>
      </c>
    </row>
    <row r="407" spans="1:10" hidden="1" x14ac:dyDescent="0.3">
      <c r="A407" s="177" t="s">
        <v>162</v>
      </c>
      <c r="B407" s="177" t="s">
        <v>163</v>
      </c>
      <c r="C407" s="201" t="s">
        <v>971</v>
      </c>
      <c r="D407" s="88" t="s">
        <v>972</v>
      </c>
      <c r="E407" s="178">
        <f>VLOOKUP(C407,'FERC TB 2024'!D417:S870,16,FALSE)/1000</f>
        <v>0</v>
      </c>
      <c r="F407" s="178">
        <f>VLOOKUP(C407,'FERC TB 2025'!D417:R870,15,FALSE)/1000</f>
        <v>0</v>
      </c>
      <c r="G407" s="191">
        <f t="shared" si="12"/>
        <v>0</v>
      </c>
      <c r="H407" s="206" t="e">
        <f t="shared" si="13"/>
        <v>#DIV/0!</v>
      </c>
    </row>
    <row r="408" spans="1:10" hidden="1" x14ac:dyDescent="0.3">
      <c r="A408" s="177" t="s">
        <v>162</v>
      </c>
      <c r="B408" s="177" t="s">
        <v>163</v>
      </c>
      <c r="C408" s="201" t="s">
        <v>973</v>
      </c>
      <c r="D408" s="88" t="s">
        <v>974</v>
      </c>
      <c r="E408" s="178">
        <f>VLOOKUP(C408,'FERC TB 2024'!D418:S871,16,FALSE)/1000</f>
        <v>0</v>
      </c>
      <c r="F408" s="178">
        <f>VLOOKUP(C408,'FERC TB 2025'!D418:R871,15,FALSE)/1000</f>
        <v>0</v>
      </c>
      <c r="G408" s="191">
        <f t="shared" si="12"/>
        <v>0</v>
      </c>
      <c r="H408" s="206" t="e">
        <f t="shared" si="13"/>
        <v>#DIV/0!</v>
      </c>
    </row>
    <row r="409" spans="1:10" hidden="1" x14ac:dyDescent="0.3">
      <c r="A409" s="177" t="s">
        <v>162</v>
      </c>
      <c r="B409" s="177" t="s">
        <v>163</v>
      </c>
      <c r="C409" s="201" t="s">
        <v>975</v>
      </c>
      <c r="D409" s="88" t="s">
        <v>976</v>
      </c>
      <c r="E409" s="178">
        <f>VLOOKUP(C409,'FERC TB 2024'!D419:S872,16,FALSE)/1000</f>
        <v>77776.368792358</v>
      </c>
      <c r="F409" s="178">
        <f>VLOOKUP(C409,'FERC TB 2025'!D419:R872,15,FALSE)/1000</f>
        <v>73042.403672304412</v>
      </c>
      <c r="G409" s="191">
        <f t="shared" si="12"/>
        <v>-4733.9651200535882</v>
      </c>
      <c r="H409" s="206">
        <f t="shared" si="13"/>
        <v>-6.0866368455590958E-2</v>
      </c>
    </row>
    <row r="410" spans="1:10" x14ac:dyDescent="0.3">
      <c r="A410" s="177" t="s">
        <v>162</v>
      </c>
      <c r="B410" s="177" t="s">
        <v>163</v>
      </c>
      <c r="C410" s="201" t="s">
        <v>977</v>
      </c>
      <c r="D410" s="88" t="s">
        <v>978</v>
      </c>
      <c r="E410" s="241">
        <f>VLOOKUP(C410,'FERC TB 2024'!D420:S873,16,FALSE)/1000</f>
        <v>6241.312175368399</v>
      </c>
      <c r="F410" s="241">
        <f>VLOOKUP(C410,'FERC TB 2025'!D420:R873,15,FALSE)/1000</f>
        <v>5202.8403527057999</v>
      </c>
      <c r="G410" s="240">
        <f t="shared" si="12"/>
        <v>-1038.4718226625992</v>
      </c>
      <c r="H410" s="206">
        <f t="shared" si="13"/>
        <v>-0.16638677788958736</v>
      </c>
      <c r="I410" t="s">
        <v>1589</v>
      </c>
    </row>
    <row r="411" spans="1:10" hidden="1" x14ac:dyDescent="0.3">
      <c r="A411" s="177" t="s">
        <v>162</v>
      </c>
      <c r="B411" s="177" t="s">
        <v>163</v>
      </c>
      <c r="C411" s="201" t="s">
        <v>979</v>
      </c>
      <c r="D411" s="88" t="s">
        <v>980</v>
      </c>
      <c r="E411" s="178">
        <f>VLOOKUP(C411,'FERC TB 2024'!D421:S874,16,FALSE)/1000</f>
        <v>-58930.99018703671</v>
      </c>
      <c r="F411" s="178">
        <f>VLOOKUP(C411,'FERC TB 2025'!D421:R874,15,FALSE)/1000</f>
        <v>-58310.661032536198</v>
      </c>
      <c r="G411" s="191">
        <f t="shared" si="12"/>
        <v>620.32915450051223</v>
      </c>
      <c r="H411" s="206">
        <f t="shared" si="13"/>
        <v>-1.0526365712364504E-2</v>
      </c>
    </row>
    <row r="412" spans="1:10" hidden="1" x14ac:dyDescent="0.3">
      <c r="A412" s="177" t="s">
        <v>162</v>
      </c>
      <c r="B412" s="177" t="s">
        <v>163</v>
      </c>
      <c r="C412" s="201" t="s">
        <v>981</v>
      </c>
      <c r="D412" s="88" t="s">
        <v>982</v>
      </c>
      <c r="E412" s="178">
        <f>VLOOKUP(C412,'FERC TB 2024'!D422:S875,16,FALSE)/1000</f>
        <v>34025.044924638802</v>
      </c>
      <c r="F412" s="178">
        <f>VLOOKUP(C412,'FERC TB 2025'!D422:R875,15,FALSE)/1000</f>
        <v>35273.257629188796</v>
      </c>
      <c r="G412" s="191">
        <f t="shared" si="12"/>
        <v>1248.2127045499947</v>
      </c>
      <c r="H412" s="206">
        <f t="shared" si="13"/>
        <v>3.6685115546934002E-2</v>
      </c>
    </row>
    <row r="413" spans="1:10" x14ac:dyDescent="0.3">
      <c r="A413" s="177" t="s">
        <v>162</v>
      </c>
      <c r="B413" s="177" t="s">
        <v>163</v>
      </c>
      <c r="C413" s="201" t="s">
        <v>983</v>
      </c>
      <c r="D413" s="88" t="s">
        <v>63</v>
      </c>
      <c r="E413" s="241">
        <f>VLOOKUP(C413,'FERC TB 2024'!D423:S876,16,FALSE)/1000</f>
        <v>45235.351878773901</v>
      </c>
      <c r="F413" s="241">
        <f>VLOOKUP(C413,'FERC TB 2025'!D423:R876,15,FALSE)/1000</f>
        <v>19611.5709332962</v>
      </c>
      <c r="G413" s="240">
        <f t="shared" si="12"/>
        <v>-25623.780945477702</v>
      </c>
      <c r="H413" s="206">
        <f t="shared" si="13"/>
        <v>-0.56645477223537033</v>
      </c>
      <c r="I413" t="s">
        <v>1589</v>
      </c>
      <c r="J413" t="s">
        <v>1590</v>
      </c>
    </row>
    <row r="414" spans="1:10" hidden="1" x14ac:dyDescent="0.3">
      <c r="A414" s="177" t="s">
        <v>162</v>
      </c>
      <c r="B414" s="177" t="s">
        <v>163</v>
      </c>
      <c r="C414" s="201" t="s">
        <v>984</v>
      </c>
      <c r="D414" s="88" t="s">
        <v>985</v>
      </c>
      <c r="E414" s="178">
        <f>VLOOKUP(C414,'FERC TB 2024'!D424:S877,16,FALSE)/1000</f>
        <v>22207.377419737502</v>
      </c>
      <c r="F414" s="178">
        <f>VLOOKUP(C414,'FERC TB 2025'!D424:R877,15,FALSE)/1000</f>
        <v>23695.1047669646</v>
      </c>
      <c r="G414" s="191">
        <f t="shared" si="12"/>
        <v>1487.7273472270972</v>
      </c>
      <c r="H414" s="206">
        <f t="shared" si="13"/>
        <v>6.6992482683021951E-2</v>
      </c>
    </row>
    <row r="415" spans="1:10" hidden="1" x14ac:dyDescent="0.3">
      <c r="A415" s="177" t="s">
        <v>162</v>
      </c>
      <c r="B415" s="177" t="s">
        <v>163</v>
      </c>
      <c r="C415" s="201" t="s">
        <v>986</v>
      </c>
      <c r="D415" s="88" t="s">
        <v>987</v>
      </c>
      <c r="E415" s="178">
        <f>VLOOKUP(C415,'FERC TB 2024'!D425:S878,16,FALSE)/1000</f>
        <v>38729.192992128497</v>
      </c>
      <c r="F415" s="178">
        <f>VLOOKUP(C415,'FERC TB 2025'!D425:R878,15,FALSE)/1000</f>
        <v>42359.1253281112</v>
      </c>
      <c r="G415" s="191">
        <f t="shared" si="12"/>
        <v>3629.9323359827031</v>
      </c>
      <c r="H415" s="206">
        <f t="shared" si="13"/>
        <v>9.3725999834813695E-2</v>
      </c>
    </row>
    <row r="416" spans="1:10" hidden="1" x14ac:dyDescent="0.3">
      <c r="A416" s="177" t="s">
        <v>162</v>
      </c>
      <c r="B416" s="177" t="s">
        <v>163</v>
      </c>
      <c r="C416" s="201" t="s">
        <v>988</v>
      </c>
      <c r="D416" s="88" t="s">
        <v>989</v>
      </c>
      <c r="E416" s="178">
        <f>VLOOKUP(C416,'FERC TB 2024'!D426:S879,16,FALSE)/1000</f>
        <v>0</v>
      </c>
      <c r="F416" s="178">
        <f>VLOOKUP(C416,'FERC TB 2025'!D426:R879,15,FALSE)/1000</f>
        <v>0</v>
      </c>
      <c r="G416" s="191">
        <f t="shared" si="12"/>
        <v>0</v>
      </c>
      <c r="H416" s="206" t="e">
        <f t="shared" si="13"/>
        <v>#DIV/0!</v>
      </c>
    </row>
    <row r="417" spans="1:10" x14ac:dyDescent="0.3">
      <c r="A417" s="177" t="s">
        <v>162</v>
      </c>
      <c r="B417" s="177" t="s">
        <v>163</v>
      </c>
      <c r="C417" s="201" t="s">
        <v>990</v>
      </c>
      <c r="D417" s="88" t="s">
        <v>991</v>
      </c>
      <c r="E417" s="241">
        <f>VLOOKUP(C417,'FERC TB 2024'!D427:S880,16,FALSE)/1000</f>
        <v>941.16722480599992</v>
      </c>
      <c r="F417" s="241">
        <f>VLOOKUP(C417,'FERC TB 2025'!D427:R880,15,FALSE)/1000</f>
        <v>2105.6526666672003</v>
      </c>
      <c r="G417" s="240">
        <f t="shared" si="12"/>
        <v>1164.4854418612003</v>
      </c>
      <c r="H417" s="206">
        <f t="shared" si="13"/>
        <v>1.2372779365550393</v>
      </c>
      <c r="I417" t="s">
        <v>1589</v>
      </c>
      <c r="J417" t="s">
        <v>1591</v>
      </c>
    </row>
    <row r="418" spans="1:10" hidden="1" x14ac:dyDescent="0.3">
      <c r="A418" s="177" t="s">
        <v>162</v>
      </c>
      <c r="B418" s="177" t="s">
        <v>163</v>
      </c>
      <c r="C418" s="201" t="s">
        <v>992</v>
      </c>
      <c r="D418" s="88" t="s">
        <v>993</v>
      </c>
      <c r="E418" s="178">
        <f>VLOOKUP(C418,'FERC TB 2024'!D428:S881,16,FALSE)/1000</f>
        <v>0</v>
      </c>
      <c r="F418" s="178">
        <f>VLOOKUP(C418,'FERC TB 2025'!D428:R881,15,FALSE)/1000</f>
        <v>0</v>
      </c>
      <c r="G418" s="191">
        <f t="shared" si="12"/>
        <v>0</v>
      </c>
      <c r="H418" s="206" t="e">
        <f t="shared" si="13"/>
        <v>#DIV/0!</v>
      </c>
    </row>
    <row r="419" spans="1:10" hidden="1" x14ac:dyDescent="0.3">
      <c r="A419" s="177" t="s">
        <v>162</v>
      </c>
      <c r="B419" s="177" t="s">
        <v>163</v>
      </c>
      <c r="C419" s="201" t="s">
        <v>994</v>
      </c>
      <c r="D419" s="88" t="s">
        <v>995</v>
      </c>
      <c r="E419" s="178">
        <f>VLOOKUP(C419,'FERC TB 2024'!D429:S882,16,FALSE)/1000</f>
        <v>107.99999999960002</v>
      </c>
      <c r="F419" s="178">
        <f>VLOOKUP(C419,'FERC TB 2025'!D429:R882,15,FALSE)/1000</f>
        <v>107.99999999959999</v>
      </c>
      <c r="G419" s="191">
        <f t="shared" si="12"/>
        <v>0</v>
      </c>
      <c r="H419" s="206">
        <f t="shared" si="13"/>
        <v>0</v>
      </c>
    </row>
    <row r="420" spans="1:10" hidden="1" x14ac:dyDescent="0.3">
      <c r="A420" s="177" t="s">
        <v>162</v>
      </c>
      <c r="B420" s="177" t="s">
        <v>163</v>
      </c>
      <c r="C420" s="201" t="s">
        <v>996</v>
      </c>
      <c r="D420" s="88" t="s">
        <v>997</v>
      </c>
      <c r="E420" s="178">
        <f>VLOOKUP(C420,'FERC TB 2024'!D430:S883,16,FALSE)/1000</f>
        <v>18184.542434035004</v>
      </c>
      <c r="F420" s="178">
        <f>VLOOKUP(C420,'FERC TB 2025'!D430:R883,15,FALSE)/1000</f>
        <v>18311.463989593802</v>
      </c>
      <c r="G420" s="191">
        <f t="shared" si="12"/>
        <v>126.92155555879799</v>
      </c>
      <c r="H420" s="206">
        <f t="shared" si="13"/>
        <v>6.9796397692826143E-3</v>
      </c>
    </row>
    <row r="421" spans="1:10" hidden="1" x14ac:dyDescent="0.3">
      <c r="A421" s="177" t="s">
        <v>162</v>
      </c>
      <c r="B421" s="177" t="s">
        <v>163</v>
      </c>
      <c r="C421" s="201" t="s">
        <v>998</v>
      </c>
      <c r="D421" s="88" t="s">
        <v>999</v>
      </c>
      <c r="E421" s="178">
        <f>VLOOKUP(C421,'FERC TB 2024'!D431:S884,16,FALSE)/1000</f>
        <v>1859.0734800000002</v>
      </c>
      <c r="F421" s="178">
        <f>VLOOKUP(C421,'FERC TB 2025'!D431:R884,15,FALSE)/1000</f>
        <v>1860.4143855</v>
      </c>
      <c r="G421" s="191">
        <f t="shared" si="12"/>
        <v>1.3409054999997352</v>
      </c>
      <c r="H421" s="206">
        <f t="shared" si="13"/>
        <v>7.2127622411123583E-4</v>
      </c>
    </row>
    <row r="422" spans="1:10" hidden="1" x14ac:dyDescent="0.3">
      <c r="A422" s="177" t="s">
        <v>162</v>
      </c>
      <c r="B422" s="177" t="s">
        <v>163</v>
      </c>
      <c r="C422" s="201" t="s">
        <v>1000</v>
      </c>
      <c r="D422" s="88" t="s">
        <v>1001</v>
      </c>
      <c r="E422" s="178">
        <f>VLOOKUP(C422,'FERC TB 2024'!D432:S885,16,FALSE)/1000</f>
        <v>0</v>
      </c>
      <c r="F422" s="178">
        <f>VLOOKUP(C422,'FERC TB 2025'!D432:R885,15,FALSE)/1000</f>
        <v>0</v>
      </c>
      <c r="G422" s="191">
        <f t="shared" si="12"/>
        <v>0</v>
      </c>
      <c r="H422" s="206" t="e">
        <f t="shared" si="13"/>
        <v>#DIV/0!</v>
      </c>
    </row>
    <row r="423" spans="1:10" hidden="1" x14ac:dyDescent="0.3">
      <c r="A423" s="177" t="s">
        <v>162</v>
      </c>
      <c r="B423" s="177" t="s">
        <v>163</v>
      </c>
      <c r="C423" s="201" t="s">
        <v>1002</v>
      </c>
      <c r="D423" s="88" t="s">
        <v>1003</v>
      </c>
      <c r="E423" s="178">
        <f>VLOOKUP(C423,'FERC TB 2024'!D433:S886,16,FALSE)/1000</f>
        <v>2054.7995711782996</v>
      </c>
      <c r="F423" s="178">
        <f>VLOOKUP(C423,'FERC TB 2025'!D433:R886,15,FALSE)/1000</f>
        <v>1934.2816321492</v>
      </c>
      <c r="G423" s="191">
        <f t="shared" si="12"/>
        <v>-120.51793902909958</v>
      </c>
      <c r="H423" s="206">
        <f t="shared" si="13"/>
        <v>-5.8651919495968187E-2</v>
      </c>
    </row>
  </sheetData>
  <autoFilter ref="A2:H423" xr:uid="{4F2F3F4C-7EFB-40E4-BB44-04494F0864E0}">
    <filterColumn colId="2">
      <filters>
        <filter val="A_9403000"/>
        <filter val="A_9404000"/>
        <filter val="A_9407000"/>
        <filter val="A_9409100"/>
        <filter val="A_9411100"/>
        <filter val="A_9411400"/>
        <filter val="A_9432000"/>
        <filter val="A_9451000"/>
        <filter val="A_9456000"/>
        <filter val="A_9501000"/>
        <filter val="A_9512000"/>
        <filter val="A_9553000"/>
        <filter val="A_9555000"/>
        <filter val="A_9556000"/>
        <filter val="A_9571000"/>
        <filter val="A_9588000"/>
        <filter val="A_9594000"/>
        <filter val="A_9908000"/>
        <filter val="A_9909000"/>
        <filter val="A_9921000"/>
        <filter val="A_9924000"/>
        <filter val="A_9928000"/>
      </filters>
    </filterColumn>
    <filterColumn colId="6">
      <filters>
        <filter val="(1,024,856.53)"/>
        <filter val="(1,038)"/>
        <filter val="(1,247)"/>
        <filter val="(1,272)"/>
        <filter val="(1,316,664.80)"/>
        <filter val="(1,329,692.61)"/>
        <filter val="(1,497.19)"/>
        <filter val="(1,823.09)"/>
        <filter val="(1,890,546.08)"/>
        <filter val="(102,291.21)"/>
        <filter val="(11,000.00)"/>
        <filter val="(118,343,295.20)"/>
        <filter val="(12,722,235.19)"/>
        <filter val="(134,685.24)"/>
        <filter val="(148,362.62)"/>
        <filter val="(150,993.74)"/>
        <filter val="(16,747,623.32)"/>
        <filter val="(174,917.71)"/>
        <filter val="(183,963.04)"/>
        <filter val="(2,002.95)"/>
        <filter val="(2,055.36)"/>
        <filter val="(2,128,324.97)"/>
        <filter val="(2,153.12)"/>
        <filter val="(2,269.37)"/>
        <filter val="(2,494,169.32)"/>
        <filter val="(2,553,831.14)"/>
        <filter val="(2,723,494.27)"/>
        <filter val="(2,749,201.56)"/>
        <filter val="(22,862,198.75)"/>
        <filter val="(23,360.63)"/>
        <filter val="(241,356.50)"/>
        <filter val="(25,624)"/>
        <filter val="(26,379.70)"/>
        <filter val="(29,985.49)"/>
        <filter val="(3,256)"/>
        <filter val="(30,766.68)"/>
        <filter val="(319,258.51)"/>
        <filter val="(341,355.04)"/>
        <filter val="(35,959)"/>
        <filter val="(360,828.64)"/>
        <filter val="(362,882.35)"/>
        <filter val="(365,729.75)"/>
        <filter val="(376,525.41)"/>
        <filter val="(394,183.00)"/>
        <filter val="(4,245)"/>
        <filter val="(4,568,350.40)"/>
        <filter val="(4,655)"/>
        <filter val="(4,733.97)"/>
        <filter val="(4,793.86)"/>
        <filter val="(431,413.60)"/>
        <filter val="(45,025,000.00)"/>
        <filter val="(5,631,267.32)"/>
        <filter val="(5,808.00)"/>
        <filter val="(5,828,055.90)"/>
        <filter val="(52,344,242.20)"/>
        <filter val="(559,826.55)"/>
        <filter val="(562,661.34)"/>
        <filter val="(58,433.57)"/>
        <filter val="(593,394.22)"/>
        <filter val="(597,636.73)"/>
        <filter val="(695,383.84)"/>
        <filter val="(7,848)"/>
        <filter val="(78,619.59)"/>
        <filter val="(8,062,208.49)"/>
        <filter val="(8,613.00)"/>
        <filter val="(82,333.05)"/>
        <filter val="(87,392.30)"/>
        <filter val="(886,759.83)"/>
        <filter val="1,049"/>
        <filter val="1,164"/>
        <filter val="1,248.21"/>
        <filter val="1,373.48"/>
        <filter val="1,487.73"/>
        <filter val="1,788,646.92"/>
        <filter val="1,945"/>
        <filter val="12,475"/>
        <filter val="14,080.62"/>
        <filter val="142,872.67"/>
        <filter val="18,266.51"/>
        <filter val="18,371"/>
        <filter val="2,417.74"/>
        <filter val="3,241"/>
        <filter val="3,298.54"/>
        <filter val="3,597"/>
        <filter val="3,629.93"/>
        <filter val="39,870,620.38"/>
        <filter val="4,594.26"/>
        <filter val="5,055.71"/>
        <filter val="5,899"/>
        <filter val="51,232.06"/>
        <filter val="7,577.76"/>
        <filter val="7,709.90"/>
        <filter val="74,178.42"/>
        <filter val="8,133"/>
        <filter val="82,340.80"/>
        <filter val="98,761"/>
      </filters>
    </filterColumn>
    <filterColumn colId="7">
      <filters>
        <filter val="10%"/>
        <filter val="-10%"/>
        <filter val="-100%"/>
        <filter val="124%"/>
        <filter val="13%"/>
        <filter val="15%"/>
        <filter val="17%"/>
        <filter val="-17%"/>
        <filter val="185%"/>
        <filter val="19%"/>
        <filter val="-20%"/>
        <filter val="-21%"/>
        <filter val="23%"/>
        <filter val="24%"/>
        <filter val="-26%"/>
        <filter val="-39%"/>
        <filter val="-402%"/>
        <filter val="41%"/>
        <filter val="51%"/>
        <filter val="57%"/>
        <filter val="-57%"/>
        <filter val="-77%"/>
        <filter val="-83%"/>
        <filter val="-85%"/>
        <filter val="-86%"/>
        <filter val="-88%"/>
        <filter val="-89%"/>
        <filter val="-90%"/>
        <filter val="-91%"/>
        <filter val="-92%"/>
        <filter val="-93%"/>
        <filter val="-94%"/>
        <filter val="-95%"/>
        <filter val="-96%"/>
        <filter val="-97%"/>
        <filter val="-98%"/>
        <filter val="-99%"/>
      </filters>
    </filterColumn>
  </autoFilter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5B0FE-6A2C-4226-8E47-5FD933A0A69F}">
  <sheetPr>
    <tabColor rgb="FF92D050"/>
  </sheetPr>
  <dimension ref="A1:S888"/>
  <sheetViews>
    <sheetView workbookViewId="0">
      <selection activeCell="C21" sqref="C21"/>
    </sheetView>
  </sheetViews>
  <sheetFormatPr defaultColWidth="11.44140625" defaultRowHeight="14.4" x14ac:dyDescent="0.3"/>
  <cols>
    <col min="1" max="1" width="13.88671875" customWidth="1"/>
    <col min="2" max="2" width="23.44140625" bestFit="1" customWidth="1"/>
    <col min="3" max="3" width="45.33203125" customWidth="1"/>
    <col min="4" max="4" width="20.5546875" bestFit="1" customWidth="1"/>
    <col min="5" max="5" width="22.109375" customWidth="1"/>
    <col min="6" max="13" width="19.5546875" bestFit="1" customWidth="1"/>
    <col min="14" max="15" width="19.5546875" style="195" bestFit="1" customWidth="1"/>
    <col min="16" max="17" width="19.5546875" bestFit="1" customWidth="1"/>
    <col min="19" max="19" width="11.44140625" style="190"/>
  </cols>
  <sheetData>
    <row r="1" spans="1:17" ht="15" thickBot="1" x14ac:dyDescent="0.35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</row>
    <row r="2" spans="1:17" ht="15" thickBot="1" x14ac:dyDescent="0.35">
      <c r="A2" s="154"/>
      <c r="B2" s="155" t="s">
        <v>1592</v>
      </c>
      <c r="C2" s="203" t="s">
        <v>1593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</row>
    <row r="3" spans="1:17" ht="16.2" thickBot="1" x14ac:dyDescent="0.45">
      <c r="A3" s="154"/>
      <c r="B3" s="157" t="s">
        <v>132</v>
      </c>
      <c r="C3" s="156" t="s">
        <v>133</v>
      </c>
      <c r="D3" s="158" t="s">
        <v>1594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</row>
    <row r="4" spans="1:17" ht="16.2" thickBot="1" x14ac:dyDescent="0.45">
      <c r="A4" s="154"/>
      <c r="B4" s="157" t="s">
        <v>134</v>
      </c>
      <c r="C4" s="156" t="s">
        <v>135</v>
      </c>
      <c r="D4" s="158" t="s">
        <v>1595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</row>
    <row r="5" spans="1:17" ht="16.2" thickBot="1" x14ac:dyDescent="0.45">
      <c r="A5" s="154"/>
      <c r="B5" s="157" t="s">
        <v>136</v>
      </c>
      <c r="C5" s="156" t="s">
        <v>137</v>
      </c>
      <c r="D5" s="158" t="s">
        <v>161</v>
      </c>
      <c r="E5" s="154"/>
      <c r="F5" s="154"/>
      <c r="G5" s="154"/>
      <c r="H5" s="154"/>
      <c r="I5" s="159"/>
      <c r="J5" s="154"/>
      <c r="K5" s="154"/>
      <c r="L5" s="154"/>
      <c r="M5" s="154"/>
      <c r="N5" s="154"/>
      <c r="O5" s="154"/>
      <c r="P5" s="154"/>
      <c r="Q5" s="154"/>
    </row>
    <row r="6" spans="1:17" ht="15" thickBot="1" x14ac:dyDescent="0.35">
      <c r="A6" s="154"/>
      <c r="B6" s="160" t="s">
        <v>1596</v>
      </c>
      <c r="C6" s="204" t="s">
        <v>1597</v>
      </c>
      <c r="D6" s="154"/>
      <c r="E6" s="154"/>
      <c r="F6" s="161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</row>
    <row r="7" spans="1:17" ht="21.6" thickBot="1" x14ac:dyDescent="0.55000000000000004">
      <c r="A7" s="162"/>
      <c r="B7" s="163"/>
      <c r="C7" s="164" t="s">
        <v>1595</v>
      </c>
      <c r="D7" s="162"/>
      <c r="E7" s="162"/>
      <c r="F7" s="165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</row>
    <row r="8" spans="1:17" x14ac:dyDescent="0.3">
      <c r="A8" s="166"/>
      <c r="B8" s="167"/>
      <c r="C8" s="168"/>
      <c r="D8" s="154"/>
      <c r="E8" s="169" t="s">
        <v>1598</v>
      </c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</row>
    <row r="9" spans="1:17" ht="25.2" x14ac:dyDescent="0.4">
      <c r="A9" s="170" t="s">
        <v>1599</v>
      </c>
      <c r="B9" s="171"/>
      <c r="C9" s="172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</row>
    <row r="10" spans="1:17" ht="15" thickBot="1" x14ac:dyDescent="0.35">
      <c r="A10" s="173"/>
      <c r="B10" s="174"/>
      <c r="C10" s="175"/>
      <c r="D10" s="154"/>
      <c r="E10" s="176" t="s">
        <v>1600</v>
      </c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</row>
    <row r="11" spans="1:17" x14ac:dyDescent="0.3">
      <c r="A11" s="154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</row>
    <row r="12" spans="1:17" ht="15" x14ac:dyDescent="0.3">
      <c r="A12" s="71" t="s">
        <v>141</v>
      </c>
      <c r="B12" s="71"/>
      <c r="C12" s="71"/>
      <c r="D12" s="72" t="s">
        <v>1601</v>
      </c>
      <c r="E12" s="73" t="s">
        <v>143</v>
      </c>
      <c r="F12" s="73" t="s">
        <v>143</v>
      </c>
      <c r="G12" s="73" t="s">
        <v>143</v>
      </c>
      <c r="H12" s="73" t="s">
        <v>143</v>
      </c>
      <c r="I12" s="73" t="s">
        <v>143</v>
      </c>
      <c r="J12" s="73" t="s">
        <v>143</v>
      </c>
      <c r="K12" s="73" t="s">
        <v>143</v>
      </c>
      <c r="L12" s="73" t="s">
        <v>143</v>
      </c>
      <c r="M12" s="73" t="s">
        <v>143</v>
      </c>
      <c r="N12" s="73" t="s">
        <v>143</v>
      </c>
      <c r="O12" s="73" t="s">
        <v>143</v>
      </c>
      <c r="P12" s="73" t="s">
        <v>143</v>
      </c>
      <c r="Q12" s="73" t="s">
        <v>143</v>
      </c>
    </row>
    <row r="13" spans="1:17" ht="17.399999999999999" x14ac:dyDescent="0.3">
      <c r="A13" s="74" t="s">
        <v>144</v>
      </c>
      <c r="B13" s="75" t="s">
        <v>146</v>
      </c>
      <c r="C13" s="75" t="s">
        <v>147</v>
      </c>
      <c r="D13" s="76" t="s">
        <v>1602</v>
      </c>
      <c r="E13" s="77" t="s">
        <v>149</v>
      </c>
      <c r="F13" s="77" t="s">
        <v>150</v>
      </c>
      <c r="G13" s="77" t="s">
        <v>151</v>
      </c>
      <c r="H13" s="77" t="s">
        <v>152</v>
      </c>
      <c r="I13" s="77" t="s">
        <v>153</v>
      </c>
      <c r="J13" s="77" t="s">
        <v>154</v>
      </c>
      <c r="K13" s="77" t="s">
        <v>155</v>
      </c>
      <c r="L13" s="77" t="s">
        <v>156</v>
      </c>
      <c r="M13" s="77" t="s">
        <v>157</v>
      </c>
      <c r="N13" s="77" t="s">
        <v>158</v>
      </c>
      <c r="O13" s="77" t="s">
        <v>159</v>
      </c>
      <c r="P13" s="77" t="s">
        <v>160</v>
      </c>
      <c r="Q13" s="77" t="s">
        <v>161</v>
      </c>
    </row>
    <row r="14" spans="1:17" x14ac:dyDescent="0.3">
      <c r="A14" s="177" t="s">
        <v>162</v>
      </c>
      <c r="B14" s="177" t="s">
        <v>1603</v>
      </c>
      <c r="C14" s="78" t="s">
        <v>165</v>
      </c>
      <c r="D14" s="78">
        <v>10414173451.530001</v>
      </c>
      <c r="E14" s="78">
        <v>10489209833.700001</v>
      </c>
      <c r="F14" s="78">
        <v>10590717314.809999</v>
      </c>
      <c r="G14" s="78">
        <v>10727421506.360001</v>
      </c>
      <c r="H14" s="78">
        <v>10805506158.35</v>
      </c>
      <c r="I14" s="78">
        <v>10908822882.139999</v>
      </c>
      <c r="J14" s="78">
        <v>10983505941.58</v>
      </c>
      <c r="K14" s="78">
        <v>11018179664.860001</v>
      </c>
      <c r="L14" s="78">
        <v>11066612281.309999</v>
      </c>
      <c r="M14" s="78">
        <v>11142033320.9</v>
      </c>
      <c r="N14" s="78">
        <v>11190117298.91</v>
      </c>
      <c r="O14" s="78">
        <v>11224551924.290001</v>
      </c>
      <c r="P14" s="78">
        <v>11533012185.780001</v>
      </c>
      <c r="Q14" s="78">
        <f>SUM(E14:P14)</f>
        <v>131679690312.98999</v>
      </c>
    </row>
    <row r="15" spans="1:17" x14ac:dyDescent="0.3">
      <c r="A15" s="177" t="s">
        <v>162</v>
      </c>
      <c r="B15" s="177" t="s">
        <v>1604</v>
      </c>
      <c r="C15" s="78" t="s">
        <v>167</v>
      </c>
      <c r="D15" s="78">
        <v>3480022.03</v>
      </c>
      <c r="E15" s="78">
        <v>3442195.7037575999</v>
      </c>
      <c r="F15" s="78">
        <v>3404369.3773427</v>
      </c>
      <c r="G15" s="78">
        <v>3366543.0509278001</v>
      </c>
      <c r="H15" s="78">
        <v>3328716.7245128001</v>
      </c>
      <c r="I15" s="78">
        <v>3290890.3980979002</v>
      </c>
      <c r="J15" s="78">
        <v>3253064.0716829998</v>
      </c>
      <c r="K15" s="78">
        <v>3215237.7452680999</v>
      </c>
      <c r="L15" s="78">
        <v>3177411.4188532</v>
      </c>
      <c r="M15" s="78">
        <v>3139585.0924382</v>
      </c>
      <c r="N15" s="78">
        <v>3101758.7660233001</v>
      </c>
      <c r="O15" s="78">
        <v>3063932.4396084002</v>
      </c>
      <c r="P15" s="78">
        <v>3026106.1131934999</v>
      </c>
      <c r="Q15" s="78">
        <f t="shared" ref="Q15:Q78" si="0">SUM(E15:P15)</f>
        <v>38809810.901706494</v>
      </c>
    </row>
    <row r="16" spans="1:17" x14ac:dyDescent="0.3">
      <c r="A16" s="177" t="s">
        <v>162</v>
      </c>
      <c r="B16" s="177" t="s">
        <v>1605</v>
      </c>
      <c r="C16" s="78" t="s">
        <v>1606</v>
      </c>
      <c r="D16" s="78">
        <v>20734592.399999999</v>
      </c>
      <c r="E16" s="78">
        <v>31658446.581679601</v>
      </c>
      <c r="F16" s="78">
        <v>31483775.937468499</v>
      </c>
      <c r="G16" s="78">
        <v>31308683.404909901</v>
      </c>
      <c r="H16" s="78">
        <v>31133167.747548699</v>
      </c>
      <c r="I16" s="78">
        <v>30957227.725482099</v>
      </c>
      <c r="J16" s="78">
        <v>30780862.095350001</v>
      </c>
      <c r="K16" s="78">
        <v>30604069.610327099</v>
      </c>
      <c r="L16" s="78">
        <v>30426845.810028698</v>
      </c>
      <c r="M16" s="78">
        <v>30249189.4287409</v>
      </c>
      <c r="N16" s="78">
        <v>30071099.197213601</v>
      </c>
      <c r="O16" s="78">
        <v>29892573.8426513</v>
      </c>
      <c r="P16" s="78">
        <v>29713612.0887044</v>
      </c>
      <c r="Q16" s="78">
        <f t="shared" si="0"/>
        <v>368279553.47010481</v>
      </c>
    </row>
    <row r="17" spans="1:17" x14ac:dyDescent="0.3">
      <c r="A17" s="177">
        <v>2</v>
      </c>
      <c r="B17" s="177" t="s">
        <v>1607</v>
      </c>
      <c r="C17" s="78" t="s">
        <v>169</v>
      </c>
      <c r="D17" s="78">
        <v>411071.06</v>
      </c>
      <c r="E17" s="78">
        <v>411071.06</v>
      </c>
      <c r="F17" s="78">
        <v>411071.06</v>
      </c>
      <c r="G17" s="78">
        <v>411071.06</v>
      </c>
      <c r="H17" s="78">
        <v>411071.06</v>
      </c>
      <c r="I17" s="78">
        <v>411071.06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>
        <v>0</v>
      </c>
      <c r="P17" s="78">
        <v>0</v>
      </c>
      <c r="Q17" s="78">
        <f t="shared" si="0"/>
        <v>2055355.3</v>
      </c>
    </row>
    <row r="18" spans="1:17" x14ac:dyDescent="0.3">
      <c r="A18" s="177" t="s">
        <v>162</v>
      </c>
      <c r="B18" s="177" t="s">
        <v>1608</v>
      </c>
      <c r="C18" s="78" t="s">
        <v>177</v>
      </c>
      <c r="D18" s="78">
        <v>58127610.409999996</v>
      </c>
      <c r="E18" s="78">
        <v>63762399.530000001</v>
      </c>
      <c r="F18" s="78">
        <v>63762399.530000001</v>
      </c>
      <c r="G18" s="78">
        <v>63762399.530000001</v>
      </c>
      <c r="H18" s="78">
        <v>63762399.530000001</v>
      </c>
      <c r="I18" s="78">
        <v>63762399.530000001</v>
      </c>
      <c r="J18" s="78">
        <v>63762399.530000001</v>
      </c>
      <c r="K18" s="78">
        <v>63762399.530000001</v>
      </c>
      <c r="L18" s="78">
        <v>63762399.530000001</v>
      </c>
      <c r="M18" s="78">
        <v>63762399.530000001</v>
      </c>
      <c r="N18" s="78">
        <v>63762399.530000001</v>
      </c>
      <c r="O18" s="78">
        <v>64262399.530000001</v>
      </c>
      <c r="P18" s="78">
        <v>64262399.530000001</v>
      </c>
      <c r="Q18" s="78">
        <f t="shared" si="0"/>
        <v>766148794.35999978</v>
      </c>
    </row>
    <row r="19" spans="1:17" x14ac:dyDescent="0.3">
      <c r="A19" s="177" t="s">
        <v>162</v>
      </c>
      <c r="B19" s="177" t="s">
        <v>1609</v>
      </c>
      <c r="C19" s="78" t="s">
        <v>1610</v>
      </c>
      <c r="D19" s="78">
        <v>2078381704.5999999</v>
      </c>
      <c r="E19" s="78">
        <v>2078381704.5999999</v>
      </c>
      <c r="F19" s="78">
        <v>2078381704.5999999</v>
      </c>
      <c r="G19" s="78">
        <v>2078381704.5999999</v>
      </c>
      <c r="H19" s="78">
        <v>2078381704.5999999</v>
      </c>
      <c r="I19" s="78">
        <v>2078381704.5999999</v>
      </c>
      <c r="J19" s="78">
        <v>2078381704.5999999</v>
      </c>
      <c r="K19" s="78">
        <v>2078381704.5999999</v>
      </c>
      <c r="L19" s="78">
        <v>2078381704.5999999</v>
      </c>
      <c r="M19" s="78">
        <v>2078381704.5999999</v>
      </c>
      <c r="N19" s="78">
        <v>2078381704.5999999</v>
      </c>
      <c r="O19" s="78">
        <v>2078381704.5999999</v>
      </c>
      <c r="P19" s="78">
        <v>2078381704.5999999</v>
      </c>
      <c r="Q19" s="78">
        <f t="shared" si="0"/>
        <v>24940580455.199997</v>
      </c>
    </row>
    <row r="20" spans="1:17" x14ac:dyDescent="0.3">
      <c r="A20" s="177" t="s">
        <v>162</v>
      </c>
      <c r="B20" s="177" t="s">
        <v>1611</v>
      </c>
      <c r="C20" s="78" t="s">
        <v>183</v>
      </c>
      <c r="D20" s="78">
        <v>1093242214.55</v>
      </c>
      <c r="E20" s="78">
        <v>1075851307.02</v>
      </c>
      <c r="F20" s="78">
        <v>1050903351.37</v>
      </c>
      <c r="G20" s="78">
        <v>1007196087.26</v>
      </c>
      <c r="H20" s="78">
        <v>1024366866.27</v>
      </c>
      <c r="I20" s="78">
        <v>1016462767.48</v>
      </c>
      <c r="J20" s="78">
        <v>1077860241.52</v>
      </c>
      <c r="K20" s="78">
        <v>1141812709.1800001</v>
      </c>
      <c r="L20" s="78">
        <v>1191970969.77</v>
      </c>
      <c r="M20" s="78">
        <v>1201453522.54</v>
      </c>
      <c r="N20" s="78">
        <v>1254488098.9400001</v>
      </c>
      <c r="O20" s="78">
        <v>1309546832.8699999</v>
      </c>
      <c r="P20" s="78">
        <v>1082288904.1300001</v>
      </c>
      <c r="Q20" s="78">
        <f t="shared" si="0"/>
        <v>13434201658.350002</v>
      </c>
    </row>
    <row r="21" spans="1:17" x14ac:dyDescent="0.3">
      <c r="A21" s="177" t="s">
        <v>162</v>
      </c>
      <c r="B21" s="177" t="s">
        <v>1612</v>
      </c>
      <c r="C21" s="78" t="s">
        <v>185</v>
      </c>
      <c r="D21" s="78">
        <v>-3619145155.77</v>
      </c>
      <c r="E21" s="78">
        <v>-3642971717.8899999</v>
      </c>
      <c r="F21" s="78">
        <v>-3659021023.6300001</v>
      </c>
      <c r="G21" s="78">
        <v>-3670166896.27</v>
      </c>
      <c r="H21" s="78">
        <v>-3692010947.0500002</v>
      </c>
      <c r="I21" s="78">
        <v>-3699562654.2600002</v>
      </c>
      <c r="J21" s="78">
        <v>-3720147556.5599999</v>
      </c>
      <c r="K21" s="78">
        <v>-3748753152.73</v>
      </c>
      <c r="L21" s="78">
        <v>-3775256425.54</v>
      </c>
      <c r="M21" s="78">
        <v>-3801379776.4200001</v>
      </c>
      <c r="N21" s="78">
        <v>-3829619503.8000002</v>
      </c>
      <c r="O21" s="78">
        <v>-3859236237.77</v>
      </c>
      <c r="P21" s="78">
        <v>-3876777556.48</v>
      </c>
      <c r="Q21" s="78">
        <f t="shared" si="0"/>
        <v>-44974903448.400002</v>
      </c>
    </row>
    <row r="22" spans="1:17" x14ac:dyDescent="0.3">
      <c r="A22" s="177" t="s">
        <v>162</v>
      </c>
      <c r="B22" s="177" t="s">
        <v>1613</v>
      </c>
      <c r="C22" s="78" t="s">
        <v>1614</v>
      </c>
      <c r="D22" s="78">
        <v>80078525.709999993</v>
      </c>
      <c r="E22" s="78">
        <v>80078525.709999993</v>
      </c>
      <c r="F22" s="78">
        <v>80078525.709999993</v>
      </c>
      <c r="G22" s="78">
        <v>80078525.709999993</v>
      </c>
      <c r="H22" s="78">
        <v>80078525.709999993</v>
      </c>
      <c r="I22" s="78">
        <v>80078525.709999993</v>
      </c>
      <c r="J22" s="78">
        <v>80078525.709999993</v>
      </c>
      <c r="K22" s="78">
        <v>80078525.709999993</v>
      </c>
      <c r="L22" s="78">
        <v>80078525.709999993</v>
      </c>
      <c r="M22" s="78">
        <v>80078525.709999993</v>
      </c>
      <c r="N22" s="78">
        <v>80078525.709999993</v>
      </c>
      <c r="O22" s="78">
        <v>80078525.709999993</v>
      </c>
      <c r="P22" s="78">
        <v>80078525.709999993</v>
      </c>
      <c r="Q22" s="78">
        <f t="shared" si="0"/>
        <v>960942308.5200001</v>
      </c>
    </row>
    <row r="23" spans="1:17" x14ac:dyDescent="0.3">
      <c r="A23" s="177" t="s">
        <v>162</v>
      </c>
      <c r="B23" s="177" t="s">
        <v>1615</v>
      </c>
      <c r="C23" s="78" t="s">
        <v>1616</v>
      </c>
      <c r="D23" s="78">
        <v>13555972.890000001</v>
      </c>
      <c r="E23" s="78">
        <v>13533379.6</v>
      </c>
      <c r="F23" s="78">
        <v>13510823.970000001</v>
      </c>
      <c r="G23" s="78">
        <v>13488305.93</v>
      </c>
      <c r="H23" s="78">
        <v>13465825.42</v>
      </c>
      <c r="I23" s="78">
        <v>13443382.380000001</v>
      </c>
      <c r="J23" s="78">
        <v>13420976.74</v>
      </c>
      <c r="K23" s="78">
        <v>13398608.449999999</v>
      </c>
      <c r="L23" s="78">
        <v>13376277.439999999</v>
      </c>
      <c r="M23" s="78">
        <v>13353983.640000001</v>
      </c>
      <c r="N23" s="78">
        <v>13331727</v>
      </c>
      <c r="O23" s="78">
        <v>13309507.460000001</v>
      </c>
      <c r="P23" s="78">
        <v>13287324.949999999</v>
      </c>
      <c r="Q23" s="78">
        <f t="shared" si="0"/>
        <v>160920122.97999999</v>
      </c>
    </row>
    <row r="24" spans="1:17" x14ac:dyDescent="0.3">
      <c r="A24" s="177" t="s">
        <v>162</v>
      </c>
      <c r="B24" s="177" t="s">
        <v>1617</v>
      </c>
      <c r="C24" s="78" t="s">
        <v>1618</v>
      </c>
      <c r="D24" s="78">
        <v>13555972.890000001</v>
      </c>
      <c r="E24" s="78">
        <v>13533379.6</v>
      </c>
      <c r="F24" s="78">
        <v>13510823.970000001</v>
      </c>
      <c r="G24" s="78">
        <v>13488305.93</v>
      </c>
      <c r="H24" s="78">
        <v>13465825.42</v>
      </c>
      <c r="I24" s="78">
        <v>13443382.380000001</v>
      </c>
      <c r="J24" s="78">
        <v>13420976.74</v>
      </c>
      <c r="K24" s="78">
        <v>13398608.449999999</v>
      </c>
      <c r="L24" s="78">
        <v>13376277.439999999</v>
      </c>
      <c r="M24" s="78">
        <v>13353983.640000001</v>
      </c>
      <c r="N24" s="78">
        <v>13331727</v>
      </c>
      <c r="O24" s="78">
        <v>13309507.460000001</v>
      </c>
      <c r="P24" s="78">
        <v>13287324.949999999</v>
      </c>
      <c r="Q24" s="78">
        <f t="shared" si="0"/>
        <v>160920122.97999999</v>
      </c>
    </row>
    <row r="25" spans="1:17" x14ac:dyDescent="0.3">
      <c r="A25" s="177" t="s">
        <v>162</v>
      </c>
      <c r="B25" s="177" t="s">
        <v>1619</v>
      </c>
      <c r="C25" s="78" t="s">
        <v>1620</v>
      </c>
      <c r="D25" s="78">
        <v>257563484.83000001</v>
      </c>
      <c r="E25" s="78">
        <v>257134212.36000001</v>
      </c>
      <c r="F25" s="78">
        <v>256705655.34</v>
      </c>
      <c r="G25" s="78">
        <v>256277812.58000001</v>
      </c>
      <c r="H25" s="78">
        <v>255850682.88999999</v>
      </c>
      <c r="I25" s="78">
        <v>255424265.09</v>
      </c>
      <c r="J25" s="78">
        <v>254998557.97999999</v>
      </c>
      <c r="K25" s="78">
        <v>254573560.38</v>
      </c>
      <c r="L25" s="78">
        <v>254149271.11000001</v>
      </c>
      <c r="M25" s="78">
        <v>253725688.99000001</v>
      </c>
      <c r="N25" s="78">
        <v>253302812.84</v>
      </c>
      <c r="O25" s="78">
        <v>252880641.49000001</v>
      </c>
      <c r="P25" s="78">
        <v>252459173.75</v>
      </c>
      <c r="Q25" s="78">
        <f t="shared" si="0"/>
        <v>3057482334.8000002</v>
      </c>
    </row>
    <row r="26" spans="1:17" x14ac:dyDescent="0.3">
      <c r="A26" s="177" t="s">
        <v>162</v>
      </c>
      <c r="B26" s="177" t="s">
        <v>1621</v>
      </c>
      <c r="C26" s="78" t="s">
        <v>1622</v>
      </c>
      <c r="D26" s="78">
        <v>257563484.83000001</v>
      </c>
      <c r="E26" s="78">
        <v>257134212.36000001</v>
      </c>
      <c r="F26" s="78">
        <v>256705655.34</v>
      </c>
      <c r="G26" s="78">
        <v>256277812.58000001</v>
      </c>
      <c r="H26" s="78">
        <v>255850682.88999999</v>
      </c>
      <c r="I26" s="78">
        <v>255424265.09</v>
      </c>
      <c r="J26" s="78">
        <v>254998557.97999999</v>
      </c>
      <c r="K26" s="78">
        <v>254573560.38</v>
      </c>
      <c r="L26" s="78">
        <v>254149271.11000001</v>
      </c>
      <c r="M26" s="78">
        <v>253725688.99000001</v>
      </c>
      <c r="N26" s="78">
        <v>253302812.84</v>
      </c>
      <c r="O26" s="78">
        <v>252880641.49000001</v>
      </c>
      <c r="P26" s="78">
        <v>252459173.75</v>
      </c>
      <c r="Q26" s="78">
        <f t="shared" si="0"/>
        <v>3057482334.8000002</v>
      </c>
    </row>
    <row r="27" spans="1:17" x14ac:dyDescent="0.3">
      <c r="A27" s="177" t="s">
        <v>162</v>
      </c>
      <c r="B27" s="177" t="s">
        <v>1623</v>
      </c>
      <c r="C27" s="78" t="s">
        <v>187</v>
      </c>
      <c r="D27" s="78">
        <v>-160768005.36000001</v>
      </c>
      <c r="E27" s="78">
        <v>-161005858.44</v>
      </c>
      <c r="F27" s="78">
        <v>-162428948.08000001</v>
      </c>
      <c r="G27" s="78">
        <v>-165435266.02000001</v>
      </c>
      <c r="H27" s="78">
        <v>-167706972.28</v>
      </c>
      <c r="I27" s="78">
        <v>-162130135.06</v>
      </c>
      <c r="J27" s="78">
        <v>-165124607.47</v>
      </c>
      <c r="K27" s="78">
        <v>-163396267.41999999</v>
      </c>
      <c r="L27" s="78">
        <v>-164550868.34999999</v>
      </c>
      <c r="M27" s="78">
        <v>-167544881.46000001</v>
      </c>
      <c r="N27" s="78">
        <v>-170616316.06999999</v>
      </c>
      <c r="O27" s="78">
        <v>-173697848.65000001</v>
      </c>
      <c r="P27" s="78">
        <v>-176791073.28999999</v>
      </c>
      <c r="Q27" s="78">
        <f t="shared" si="0"/>
        <v>-2000429042.5899999</v>
      </c>
    </row>
    <row r="28" spans="1:17" x14ac:dyDescent="0.3">
      <c r="A28" s="177" t="s">
        <v>162</v>
      </c>
      <c r="B28" s="177" t="s">
        <v>1624</v>
      </c>
      <c r="C28" s="78" t="s">
        <v>189</v>
      </c>
      <c r="D28" s="78">
        <v>7484822.7599999998</v>
      </c>
      <c r="E28" s="78">
        <v>7484822.7599999998</v>
      </c>
      <c r="F28" s="78">
        <v>7484822.7599999998</v>
      </c>
      <c r="G28" s="78">
        <v>7484822.7599999998</v>
      </c>
      <c r="H28" s="78">
        <v>7484822.7599999998</v>
      </c>
      <c r="I28" s="78">
        <v>7484822.7599999998</v>
      </c>
      <c r="J28" s="78">
        <v>7484822.7599999998</v>
      </c>
      <c r="K28" s="78">
        <v>7484822.7599999998</v>
      </c>
      <c r="L28" s="78">
        <v>7484822.7599999998</v>
      </c>
      <c r="M28" s="78">
        <v>7484822.7599999998</v>
      </c>
      <c r="N28" s="78">
        <v>7484822.7599999998</v>
      </c>
      <c r="O28" s="78">
        <v>7484822.7599999998</v>
      </c>
      <c r="P28" s="78">
        <v>7484822.7599999998</v>
      </c>
      <c r="Q28" s="78">
        <f t="shared" si="0"/>
        <v>89817873.120000005</v>
      </c>
    </row>
    <row r="29" spans="1:17" x14ac:dyDescent="0.3">
      <c r="A29" s="177" t="s">
        <v>162</v>
      </c>
      <c r="B29" s="177" t="s">
        <v>1625</v>
      </c>
      <c r="C29" s="78" t="s">
        <v>191</v>
      </c>
      <c r="D29" s="78">
        <v>-6646657.4100000001</v>
      </c>
      <c r="E29" s="78">
        <v>-6666383.1399999997</v>
      </c>
      <c r="F29" s="78">
        <v>-6686108.8700000001</v>
      </c>
      <c r="G29" s="78">
        <v>-6705834.5999999996</v>
      </c>
      <c r="H29" s="78">
        <v>-6725560.3300000001</v>
      </c>
      <c r="I29" s="78">
        <v>-6745286.0599999996</v>
      </c>
      <c r="J29" s="78">
        <v>-6765011.79</v>
      </c>
      <c r="K29" s="78">
        <v>-6784737.5199999996</v>
      </c>
      <c r="L29" s="78">
        <v>-6804463.25</v>
      </c>
      <c r="M29" s="78">
        <v>-6824188.9800000004</v>
      </c>
      <c r="N29" s="78">
        <v>-6843914.71</v>
      </c>
      <c r="O29" s="78">
        <v>-6863640.4400000004</v>
      </c>
      <c r="P29" s="78">
        <v>-6883366.1699999999</v>
      </c>
      <c r="Q29" s="78">
        <f t="shared" si="0"/>
        <v>-81298495.859999999</v>
      </c>
    </row>
    <row r="30" spans="1:17" x14ac:dyDescent="0.3">
      <c r="A30" s="177" t="s">
        <v>162</v>
      </c>
      <c r="B30" s="177" t="s">
        <v>1626</v>
      </c>
      <c r="C30" s="78" t="s">
        <v>207</v>
      </c>
      <c r="D30" s="78">
        <v>15957889.1</v>
      </c>
      <c r="E30" s="78">
        <v>16081745.82</v>
      </c>
      <c r="F30" s="78">
        <v>16211280.689999999</v>
      </c>
      <c r="G30" s="78">
        <v>16340815.560000001</v>
      </c>
      <c r="H30" s="78">
        <v>16470350.43</v>
      </c>
      <c r="I30" s="78">
        <v>16534455.279999999</v>
      </c>
      <c r="J30" s="78">
        <v>17452585.469999999</v>
      </c>
      <c r="K30" s="78">
        <v>17724307.34</v>
      </c>
      <c r="L30" s="78">
        <v>18601551.699999999</v>
      </c>
      <c r="M30" s="78">
        <v>18748217.699999999</v>
      </c>
      <c r="N30" s="78">
        <v>18890340.25</v>
      </c>
      <c r="O30" s="78">
        <v>19097008.170000002</v>
      </c>
      <c r="P30" s="78">
        <v>19720467.789999999</v>
      </c>
      <c r="Q30" s="78">
        <f t="shared" si="0"/>
        <v>211873126.19999996</v>
      </c>
    </row>
    <row r="31" spans="1:17" x14ac:dyDescent="0.3">
      <c r="A31" s="177" t="s">
        <v>162</v>
      </c>
      <c r="B31" s="177" t="s">
        <v>1627</v>
      </c>
      <c r="C31" s="78" t="s">
        <v>1628</v>
      </c>
      <c r="D31" s="78">
        <v>249999.9</v>
      </c>
      <c r="E31" s="78">
        <v>249999.9</v>
      </c>
      <c r="F31" s="78">
        <v>249999.9</v>
      </c>
      <c r="G31" s="78">
        <v>249999.9</v>
      </c>
      <c r="H31" s="78">
        <v>249999.9</v>
      </c>
      <c r="I31" s="78">
        <v>249999.9</v>
      </c>
      <c r="J31" s="78">
        <v>249999.9</v>
      </c>
      <c r="K31" s="78">
        <v>249999.9</v>
      </c>
      <c r="L31" s="78">
        <v>249999.9</v>
      </c>
      <c r="M31" s="78">
        <v>249999.9</v>
      </c>
      <c r="N31" s="78">
        <v>249999.9</v>
      </c>
      <c r="O31" s="78">
        <v>249999.9</v>
      </c>
      <c r="P31" s="78">
        <v>249999.9</v>
      </c>
      <c r="Q31" s="78">
        <f t="shared" si="0"/>
        <v>2999998.7999999993</v>
      </c>
    </row>
    <row r="32" spans="1:17" x14ac:dyDescent="0.3">
      <c r="A32" s="177" t="s">
        <v>162</v>
      </c>
      <c r="B32" s="177" t="s">
        <v>1629</v>
      </c>
      <c r="C32" s="78" t="s">
        <v>1630</v>
      </c>
      <c r="D32" s="78">
        <v>4416666.8099999996</v>
      </c>
      <c r="E32" s="78">
        <v>4395833.4800000004</v>
      </c>
      <c r="F32" s="78">
        <v>4375000.1500000004</v>
      </c>
      <c r="G32" s="78">
        <v>4354166.82</v>
      </c>
      <c r="H32" s="78">
        <v>4333333.49</v>
      </c>
      <c r="I32" s="78">
        <v>4312500.16</v>
      </c>
      <c r="J32" s="78">
        <v>4291666.83</v>
      </c>
      <c r="K32" s="78">
        <v>4270833.5</v>
      </c>
      <c r="L32" s="78">
        <v>4250000.17</v>
      </c>
      <c r="M32" s="78">
        <v>4229166.84</v>
      </c>
      <c r="N32" s="78">
        <v>4208333.51</v>
      </c>
      <c r="O32" s="78">
        <v>4187500.18</v>
      </c>
      <c r="P32" s="78">
        <v>4166666.85</v>
      </c>
      <c r="Q32" s="78">
        <f t="shared" si="0"/>
        <v>51375001.979999997</v>
      </c>
    </row>
    <row r="33" spans="1:17" x14ac:dyDescent="0.3">
      <c r="A33" s="177" t="s">
        <v>162</v>
      </c>
      <c r="B33" s="177" t="s">
        <v>1631</v>
      </c>
      <c r="C33" s="78" t="s">
        <v>209</v>
      </c>
      <c r="D33" s="78">
        <v>-7144756.8499999996</v>
      </c>
      <c r="E33" s="78">
        <v>-7221803.46</v>
      </c>
      <c r="F33" s="78">
        <v>-7305219.7599999998</v>
      </c>
      <c r="G33" s="78">
        <v>-7389359.2999999998</v>
      </c>
      <c r="H33" s="78">
        <v>-7474222.0700000003</v>
      </c>
      <c r="I33" s="78">
        <v>-7494378.0599999996</v>
      </c>
      <c r="J33" s="78">
        <v>-7568917.2999999998</v>
      </c>
      <c r="K33" s="78">
        <v>-7599907.79</v>
      </c>
      <c r="L33" s="78">
        <v>-7639047.0099999998</v>
      </c>
      <c r="M33" s="78">
        <v>-7681663.9400000004</v>
      </c>
      <c r="N33" s="78">
        <v>-7720366.7400000002</v>
      </c>
      <c r="O33" s="78">
        <v>-7785255.5499999998</v>
      </c>
      <c r="P33" s="78">
        <v>-7869600.8799999999</v>
      </c>
      <c r="Q33" s="78">
        <f t="shared" si="0"/>
        <v>-90749741.859999985</v>
      </c>
    </row>
    <row r="34" spans="1:17" x14ac:dyDescent="0.3">
      <c r="A34" s="177" t="s">
        <v>162</v>
      </c>
      <c r="B34" s="177" t="s">
        <v>1632</v>
      </c>
      <c r="C34" s="78" t="s">
        <v>1633</v>
      </c>
      <c r="D34" s="78">
        <v>4139812.37</v>
      </c>
      <c r="E34" s="78">
        <v>0</v>
      </c>
      <c r="F34" s="78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f t="shared" si="0"/>
        <v>0</v>
      </c>
    </row>
    <row r="35" spans="1:17" x14ac:dyDescent="0.3">
      <c r="A35" s="177" t="s">
        <v>162</v>
      </c>
      <c r="B35" s="177" t="s">
        <v>1634</v>
      </c>
      <c r="C35" s="78" t="s">
        <v>1635</v>
      </c>
      <c r="D35" s="78">
        <v>-58797.64</v>
      </c>
      <c r="E35" s="78">
        <v>0</v>
      </c>
      <c r="F35" s="78">
        <v>0</v>
      </c>
      <c r="G35" s="78">
        <v>0</v>
      </c>
      <c r="H35" s="78"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78">
        <v>0</v>
      </c>
      <c r="P35" s="78">
        <v>0</v>
      </c>
      <c r="Q35" s="78">
        <f t="shared" si="0"/>
        <v>0</v>
      </c>
    </row>
    <row r="36" spans="1:17" x14ac:dyDescent="0.3">
      <c r="A36" s="177" t="s">
        <v>162</v>
      </c>
      <c r="B36" s="177" t="s">
        <v>1636</v>
      </c>
      <c r="C36" s="78" t="s">
        <v>1637</v>
      </c>
      <c r="D36" s="78">
        <v>-26201815.489999998</v>
      </c>
      <c r="E36" s="78">
        <v>0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f t="shared" si="0"/>
        <v>0</v>
      </c>
    </row>
    <row r="37" spans="1:17" x14ac:dyDescent="0.3">
      <c r="A37" s="177" t="s">
        <v>162</v>
      </c>
      <c r="B37" s="177" t="s">
        <v>1638</v>
      </c>
      <c r="C37" s="78" t="s">
        <v>1639</v>
      </c>
      <c r="D37" s="78">
        <v>157526.94</v>
      </c>
      <c r="E37" s="78">
        <v>0</v>
      </c>
      <c r="F37" s="78">
        <v>0</v>
      </c>
      <c r="G37" s="78">
        <v>0</v>
      </c>
      <c r="H37" s="78">
        <v>0</v>
      </c>
      <c r="I37" s="78">
        <v>0</v>
      </c>
      <c r="J37" s="78">
        <v>0</v>
      </c>
      <c r="K37" s="78">
        <v>0</v>
      </c>
      <c r="L37" s="78">
        <v>0</v>
      </c>
      <c r="M37" s="78">
        <v>0</v>
      </c>
      <c r="N37" s="78">
        <v>0</v>
      </c>
      <c r="O37" s="78">
        <v>0</v>
      </c>
      <c r="P37" s="78">
        <v>0</v>
      </c>
      <c r="Q37" s="78">
        <f t="shared" si="0"/>
        <v>0</v>
      </c>
    </row>
    <row r="38" spans="1:17" x14ac:dyDescent="0.3">
      <c r="A38" s="177" t="s">
        <v>162</v>
      </c>
      <c r="B38" s="177" t="s">
        <v>1640</v>
      </c>
      <c r="C38" s="78" t="s">
        <v>1641</v>
      </c>
      <c r="D38" s="78">
        <v>26730125.23</v>
      </c>
      <c r="E38" s="78">
        <v>1000000</v>
      </c>
      <c r="F38" s="78">
        <v>1000000</v>
      </c>
      <c r="G38" s="78">
        <v>1000000</v>
      </c>
      <c r="H38" s="78">
        <v>1000000</v>
      </c>
      <c r="I38" s="78">
        <v>1000000</v>
      </c>
      <c r="J38" s="78">
        <v>1000000</v>
      </c>
      <c r="K38" s="78">
        <v>1000000</v>
      </c>
      <c r="L38" s="78">
        <v>1000000</v>
      </c>
      <c r="M38" s="78">
        <v>1000000</v>
      </c>
      <c r="N38" s="78">
        <v>1000000</v>
      </c>
      <c r="O38" s="78">
        <v>1000000</v>
      </c>
      <c r="P38" s="78">
        <v>1000000</v>
      </c>
      <c r="Q38" s="78">
        <f t="shared" si="0"/>
        <v>12000000</v>
      </c>
    </row>
    <row r="39" spans="1:17" x14ac:dyDescent="0.3">
      <c r="A39" s="177" t="s">
        <v>162</v>
      </c>
      <c r="B39" s="177" t="s">
        <v>1642</v>
      </c>
      <c r="C39" s="78" t="s">
        <v>1643</v>
      </c>
      <c r="D39" s="78">
        <v>51065.39</v>
      </c>
      <c r="E39" s="78">
        <v>52665.39</v>
      </c>
      <c r="F39" s="78">
        <v>52665.39</v>
      </c>
      <c r="G39" s="78">
        <v>52665.39</v>
      </c>
      <c r="H39" s="78">
        <v>52665.39</v>
      </c>
      <c r="I39" s="78">
        <v>52665.39</v>
      </c>
      <c r="J39" s="78">
        <v>52665.39</v>
      </c>
      <c r="K39" s="78">
        <v>52665.39</v>
      </c>
      <c r="L39" s="78">
        <v>52665.39</v>
      </c>
      <c r="M39" s="78">
        <v>52665.39</v>
      </c>
      <c r="N39" s="78">
        <v>52665.39</v>
      </c>
      <c r="O39" s="78">
        <v>52665.39</v>
      </c>
      <c r="P39" s="78">
        <v>52665.39</v>
      </c>
      <c r="Q39" s="78">
        <f t="shared" si="0"/>
        <v>631984.68000000005</v>
      </c>
    </row>
    <row r="40" spans="1:17" x14ac:dyDescent="0.3">
      <c r="A40" s="177" t="s">
        <v>162</v>
      </c>
      <c r="B40" s="177" t="s">
        <v>1644</v>
      </c>
      <c r="C40" s="78" t="s">
        <v>1645</v>
      </c>
      <c r="D40" s="78">
        <v>213494696.31999999</v>
      </c>
      <c r="E40" s="78">
        <v>167576755.46000001</v>
      </c>
      <c r="F40" s="78">
        <v>159149631.69</v>
      </c>
      <c r="G40" s="78">
        <v>141768649.97</v>
      </c>
      <c r="H40" s="78">
        <v>173957536.74000001</v>
      </c>
      <c r="I40" s="78">
        <v>179130379.63</v>
      </c>
      <c r="J40" s="78">
        <v>198260702.53</v>
      </c>
      <c r="K40" s="78">
        <v>231869039.81</v>
      </c>
      <c r="L40" s="78">
        <v>219665326.53</v>
      </c>
      <c r="M40" s="78">
        <v>248712996.79499999</v>
      </c>
      <c r="N40" s="78">
        <v>209044760.51499999</v>
      </c>
      <c r="O40" s="78">
        <v>190967939.42500001</v>
      </c>
      <c r="P40" s="78">
        <v>188937489.55500001</v>
      </c>
      <c r="Q40" s="78">
        <f t="shared" si="0"/>
        <v>2309041208.6500001</v>
      </c>
    </row>
    <row r="41" spans="1:17" x14ac:dyDescent="0.3">
      <c r="A41" s="177" t="s">
        <v>162</v>
      </c>
      <c r="B41" s="177" t="s">
        <v>1646</v>
      </c>
      <c r="C41" s="78" t="s">
        <v>1647</v>
      </c>
      <c r="D41" s="78">
        <v>-591615.16</v>
      </c>
      <c r="E41" s="78">
        <v>-550000</v>
      </c>
      <c r="F41" s="78">
        <v>-550000</v>
      </c>
      <c r="G41" s="78">
        <v>-550000</v>
      </c>
      <c r="H41" s="78">
        <v>-550000</v>
      </c>
      <c r="I41" s="78">
        <v>-550000</v>
      </c>
      <c r="J41" s="78">
        <v>-550000</v>
      </c>
      <c r="K41" s="78">
        <v>-550000</v>
      </c>
      <c r="L41" s="78">
        <v>-550000</v>
      </c>
      <c r="M41" s="78">
        <v>-550000</v>
      </c>
      <c r="N41" s="78">
        <v>-550000</v>
      </c>
      <c r="O41" s="78">
        <v>-550000</v>
      </c>
      <c r="P41" s="78">
        <v>-550000</v>
      </c>
      <c r="Q41" s="78">
        <f t="shared" si="0"/>
        <v>-6600000</v>
      </c>
    </row>
    <row r="42" spans="1:17" x14ac:dyDescent="0.3">
      <c r="A42" s="177" t="s">
        <v>162</v>
      </c>
      <c r="B42" s="177" t="s">
        <v>1648</v>
      </c>
      <c r="C42" s="78" t="s">
        <v>1649</v>
      </c>
      <c r="D42" s="78">
        <v>5847861.0499999998</v>
      </c>
      <c r="E42" s="78">
        <v>3200000</v>
      </c>
      <c r="F42" s="78">
        <v>3200000</v>
      </c>
      <c r="G42" s="78">
        <v>3200000</v>
      </c>
      <c r="H42" s="78">
        <v>3200000</v>
      </c>
      <c r="I42" s="78">
        <v>3200000</v>
      </c>
      <c r="J42" s="78">
        <v>3200000</v>
      </c>
      <c r="K42" s="78">
        <v>3200000</v>
      </c>
      <c r="L42" s="78">
        <v>3200000</v>
      </c>
      <c r="M42" s="78">
        <v>3200000</v>
      </c>
      <c r="N42" s="78">
        <v>3200000</v>
      </c>
      <c r="O42" s="78">
        <v>3200000</v>
      </c>
      <c r="P42" s="78">
        <v>3200000</v>
      </c>
      <c r="Q42" s="78">
        <f t="shared" si="0"/>
        <v>38400000</v>
      </c>
    </row>
    <row r="43" spans="1:17" x14ac:dyDescent="0.3">
      <c r="A43" s="177" t="s">
        <v>162</v>
      </c>
      <c r="B43" s="177" t="s">
        <v>1650</v>
      </c>
      <c r="C43" s="78" t="s">
        <v>1651</v>
      </c>
      <c r="D43" s="78">
        <v>3811635.15</v>
      </c>
      <c r="E43" s="78">
        <v>4000000</v>
      </c>
      <c r="F43" s="78">
        <v>4000000</v>
      </c>
      <c r="G43" s="78">
        <v>4000000</v>
      </c>
      <c r="H43" s="78">
        <v>3900000</v>
      </c>
      <c r="I43" s="78">
        <v>4000000</v>
      </c>
      <c r="J43" s="78">
        <v>3900000</v>
      </c>
      <c r="K43" s="78">
        <v>3900000</v>
      </c>
      <c r="L43" s="78">
        <v>3900000</v>
      </c>
      <c r="M43" s="78">
        <v>4000000</v>
      </c>
      <c r="N43" s="78">
        <v>4000000</v>
      </c>
      <c r="O43" s="78">
        <v>4000000</v>
      </c>
      <c r="P43" s="78">
        <v>4000000</v>
      </c>
      <c r="Q43" s="78">
        <f t="shared" si="0"/>
        <v>47600000</v>
      </c>
    </row>
    <row r="44" spans="1:17" x14ac:dyDescent="0.3">
      <c r="A44" s="177" t="s">
        <v>162</v>
      </c>
      <c r="B44" s="177" t="s">
        <v>1652</v>
      </c>
      <c r="C44" s="78" t="s">
        <v>1653</v>
      </c>
      <c r="D44" s="78">
        <v>1542765.62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0</v>
      </c>
      <c r="K44" s="78">
        <v>0</v>
      </c>
      <c r="L44" s="78">
        <v>0</v>
      </c>
      <c r="M44" s="78">
        <v>0</v>
      </c>
      <c r="N44" s="78">
        <v>0</v>
      </c>
      <c r="O44" s="78">
        <v>0</v>
      </c>
      <c r="P44" s="78">
        <v>0</v>
      </c>
      <c r="Q44" s="78">
        <f t="shared" si="0"/>
        <v>0</v>
      </c>
    </row>
    <row r="45" spans="1:17" x14ac:dyDescent="0.3">
      <c r="A45" s="177" t="s">
        <v>162</v>
      </c>
      <c r="B45" s="177" t="s">
        <v>1654</v>
      </c>
      <c r="C45" s="78" t="s">
        <v>1655</v>
      </c>
      <c r="D45" s="78">
        <v>159.78</v>
      </c>
      <c r="E45" s="78">
        <v>0</v>
      </c>
      <c r="F45" s="78">
        <v>0</v>
      </c>
      <c r="G45" s="78">
        <v>0</v>
      </c>
      <c r="H45" s="78">
        <v>0</v>
      </c>
      <c r="I45" s="78">
        <v>0</v>
      </c>
      <c r="J45" s="78">
        <v>0</v>
      </c>
      <c r="K45" s="78">
        <v>0</v>
      </c>
      <c r="L45" s="78">
        <v>0</v>
      </c>
      <c r="M45" s="78">
        <v>0</v>
      </c>
      <c r="N45" s="78">
        <v>0</v>
      </c>
      <c r="O45" s="78">
        <v>0</v>
      </c>
      <c r="P45" s="78">
        <v>0</v>
      </c>
      <c r="Q45" s="78">
        <f t="shared" si="0"/>
        <v>0</v>
      </c>
    </row>
    <row r="46" spans="1:17" x14ac:dyDescent="0.3">
      <c r="A46" s="177" t="s">
        <v>162</v>
      </c>
      <c r="B46" s="177" t="s">
        <v>1656</v>
      </c>
      <c r="C46" s="78" t="s">
        <v>1657</v>
      </c>
      <c r="D46" s="78">
        <v>-12920.49</v>
      </c>
      <c r="E46" s="78">
        <v>0</v>
      </c>
      <c r="F46" s="78">
        <v>0</v>
      </c>
      <c r="G46" s="78">
        <v>0</v>
      </c>
      <c r="H46" s="78">
        <v>0</v>
      </c>
      <c r="I46" s="78">
        <v>0</v>
      </c>
      <c r="J46" s="78">
        <v>0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78">
        <v>0</v>
      </c>
      <c r="Q46" s="78">
        <f t="shared" si="0"/>
        <v>0</v>
      </c>
    </row>
    <row r="47" spans="1:17" x14ac:dyDescent="0.3">
      <c r="A47" s="177" t="s">
        <v>162</v>
      </c>
      <c r="B47" s="177" t="s">
        <v>1658</v>
      </c>
      <c r="C47" s="78" t="s">
        <v>1659</v>
      </c>
      <c r="D47" s="78">
        <v>-2574387.85</v>
      </c>
      <c r="E47" s="78">
        <v>-2525555.3889711001</v>
      </c>
      <c r="F47" s="78">
        <v>-2475678.7140825</v>
      </c>
      <c r="G47" s="78">
        <v>-2438913.7673841999</v>
      </c>
      <c r="H47" s="78">
        <v>-2501502.6989273001</v>
      </c>
      <c r="I47" s="78">
        <v>-2560187.5029108999</v>
      </c>
      <c r="J47" s="78">
        <v>-2633872.6063398998</v>
      </c>
      <c r="K47" s="78">
        <v>-2696815.8681910001</v>
      </c>
      <c r="L47" s="78">
        <v>-2676146.6085080002</v>
      </c>
      <c r="M47" s="78">
        <v>-2691178.3987127002</v>
      </c>
      <c r="N47" s="78">
        <v>-2622334.9921821002</v>
      </c>
      <c r="O47" s="78">
        <v>-2535653.2825028999</v>
      </c>
      <c r="P47" s="78">
        <v>-2508719.9172140998</v>
      </c>
      <c r="Q47" s="78">
        <f t="shared" si="0"/>
        <v>-30866559.745926701</v>
      </c>
    </row>
    <row r="48" spans="1:17" x14ac:dyDescent="0.3">
      <c r="A48" s="177" t="s">
        <v>162</v>
      </c>
      <c r="B48" s="177" t="s">
        <v>1660</v>
      </c>
      <c r="C48" s="78" t="s">
        <v>1661</v>
      </c>
      <c r="D48" s="78">
        <v>802507.89</v>
      </c>
      <c r="E48" s="78">
        <v>782922.17058100004</v>
      </c>
      <c r="F48" s="78">
        <v>767460.40136559994</v>
      </c>
      <c r="G48" s="78">
        <v>756063.26788910001</v>
      </c>
      <c r="H48" s="78">
        <v>775465.83666749997</v>
      </c>
      <c r="I48" s="78">
        <v>793658.1259024</v>
      </c>
      <c r="J48" s="78">
        <v>816500.5079654</v>
      </c>
      <c r="K48" s="78">
        <v>836012.91913920001</v>
      </c>
      <c r="L48" s="78">
        <v>829605.44863750006</v>
      </c>
      <c r="M48" s="78">
        <v>834265.30360089999</v>
      </c>
      <c r="N48" s="78">
        <v>812923.84757640003</v>
      </c>
      <c r="O48" s="78">
        <v>786052.51757589995</v>
      </c>
      <c r="P48" s="78">
        <v>777703.1743364</v>
      </c>
      <c r="Q48" s="78">
        <f t="shared" si="0"/>
        <v>9568633.5212373007</v>
      </c>
    </row>
    <row r="49" spans="1:17" x14ac:dyDescent="0.3">
      <c r="A49" s="177" t="s">
        <v>162</v>
      </c>
      <c r="B49" s="177" t="s">
        <v>1662</v>
      </c>
      <c r="C49" s="78" t="s">
        <v>1663</v>
      </c>
      <c r="D49" s="78">
        <v>768279.67</v>
      </c>
      <c r="E49" s="78">
        <v>757666.61669129995</v>
      </c>
      <c r="F49" s="78">
        <v>742703.61422480003</v>
      </c>
      <c r="G49" s="78">
        <v>731674.13021520001</v>
      </c>
      <c r="H49" s="78">
        <v>750450.80967820005</v>
      </c>
      <c r="I49" s="78">
        <v>768056.25087330001</v>
      </c>
      <c r="J49" s="78">
        <v>790161.78190199996</v>
      </c>
      <c r="K49" s="78">
        <v>809044.7604573</v>
      </c>
      <c r="L49" s="78">
        <v>802843.98255239998</v>
      </c>
      <c r="M49" s="78">
        <v>807353.51961379999</v>
      </c>
      <c r="N49" s="78">
        <v>786700.49765459995</v>
      </c>
      <c r="O49" s="78">
        <v>760695.98475089995</v>
      </c>
      <c r="P49" s="78">
        <v>752615.97516419995</v>
      </c>
      <c r="Q49" s="78">
        <f t="shared" si="0"/>
        <v>9259967.9237779994</v>
      </c>
    </row>
    <row r="50" spans="1:17" x14ac:dyDescent="0.3">
      <c r="A50" s="177" t="s">
        <v>162</v>
      </c>
      <c r="B50" s="177" t="s">
        <v>1664</v>
      </c>
      <c r="C50" s="78" t="s">
        <v>1665</v>
      </c>
      <c r="D50" s="78">
        <v>-271989.15999999997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8">
        <v>0</v>
      </c>
      <c r="M50" s="78">
        <v>0</v>
      </c>
      <c r="N50" s="78">
        <v>0</v>
      </c>
      <c r="O50" s="78">
        <v>0</v>
      </c>
      <c r="P50" s="78">
        <v>0</v>
      </c>
      <c r="Q50" s="78">
        <f t="shared" si="0"/>
        <v>0</v>
      </c>
    </row>
    <row r="51" spans="1:17" x14ac:dyDescent="0.3">
      <c r="A51" s="177" t="s">
        <v>162</v>
      </c>
      <c r="B51" s="177" t="s">
        <v>1666</v>
      </c>
      <c r="C51" s="78" t="s">
        <v>1667</v>
      </c>
      <c r="D51" s="78">
        <v>-654517.9</v>
      </c>
      <c r="E51" s="78">
        <v>-654517.9</v>
      </c>
      <c r="F51" s="78">
        <v>-654517.9</v>
      </c>
      <c r="G51" s="78">
        <v>-654517.9</v>
      </c>
      <c r="H51" s="78">
        <v>-654517.9</v>
      </c>
      <c r="I51" s="78">
        <v>-654517.9</v>
      </c>
      <c r="J51" s="78">
        <v>-654517.9</v>
      </c>
      <c r="K51" s="78">
        <v>-654517.9</v>
      </c>
      <c r="L51" s="78">
        <v>-654517.9</v>
      </c>
      <c r="M51" s="78">
        <v>-654517.9</v>
      </c>
      <c r="N51" s="78">
        <v>-654517.9</v>
      </c>
      <c r="O51" s="78">
        <v>-654517.9</v>
      </c>
      <c r="P51" s="78">
        <v>-654517.9</v>
      </c>
      <c r="Q51" s="78">
        <f t="shared" si="0"/>
        <v>-7854214.8000000017</v>
      </c>
    </row>
    <row r="52" spans="1:17" x14ac:dyDescent="0.3">
      <c r="A52" s="177" t="s">
        <v>162</v>
      </c>
      <c r="B52" s="177" t="s">
        <v>1668</v>
      </c>
      <c r="C52" s="78" t="s">
        <v>1669</v>
      </c>
      <c r="D52" s="78">
        <v>11789078.439999999</v>
      </c>
      <c r="E52" s="78">
        <v>8765225.1964478996</v>
      </c>
      <c r="F52" s="78">
        <v>8780527.0174313001</v>
      </c>
      <c r="G52" s="78">
        <v>8792636.8000000007</v>
      </c>
      <c r="H52" s="78">
        <v>8797295.0600000005</v>
      </c>
      <c r="I52" s="78">
        <v>8653558.6600000001</v>
      </c>
      <c r="J52" s="78">
        <v>8572355.5800000001</v>
      </c>
      <c r="K52" s="78">
        <v>8636640.2799999993</v>
      </c>
      <c r="L52" s="78">
        <v>8783661.3699999992</v>
      </c>
      <c r="M52" s="78">
        <v>8978926.4199999999</v>
      </c>
      <c r="N52" s="78">
        <v>8903659.2100000009</v>
      </c>
      <c r="O52" s="78">
        <v>9015585.9199999999</v>
      </c>
      <c r="P52" s="78">
        <v>9002110.3499999996</v>
      </c>
      <c r="Q52" s="78">
        <f t="shared" si="0"/>
        <v>105682181.86387919</v>
      </c>
    </row>
    <row r="53" spans="1:17" x14ac:dyDescent="0.3">
      <c r="A53" s="177" t="s">
        <v>162</v>
      </c>
      <c r="B53" s="177" t="s">
        <v>1670</v>
      </c>
      <c r="C53" s="78" t="s">
        <v>1671</v>
      </c>
      <c r="D53" s="78">
        <v>69950.91</v>
      </c>
      <c r="E53" s="78">
        <v>22194.865451599999</v>
      </c>
      <c r="F53" s="78">
        <v>18422.407956300001</v>
      </c>
      <c r="G53" s="78">
        <v>14878.5954606</v>
      </c>
      <c r="H53" s="78">
        <v>11543.2336294</v>
      </c>
      <c r="I53" s="78">
        <v>8398.4669715</v>
      </c>
      <c r="J53" s="78">
        <v>5428.4095723</v>
      </c>
      <c r="K53" s="78">
        <v>4686.1710475999998</v>
      </c>
      <c r="L53" s="78">
        <v>3829.1644313000002</v>
      </c>
      <c r="M53" s="78">
        <v>4265.8470138000002</v>
      </c>
      <c r="N53" s="78">
        <v>4607.1012816000002</v>
      </c>
      <c r="O53" s="78">
        <v>4858.3802809999997</v>
      </c>
      <c r="P53" s="78">
        <v>5024.6826382999998</v>
      </c>
      <c r="Q53" s="78">
        <f t="shared" si="0"/>
        <v>108137.32573530002</v>
      </c>
    </row>
    <row r="54" spans="1:17" x14ac:dyDescent="0.3">
      <c r="A54" s="177" t="s">
        <v>162</v>
      </c>
      <c r="B54" s="177" t="s">
        <v>1672</v>
      </c>
      <c r="C54" s="78" t="s">
        <v>1673</v>
      </c>
      <c r="D54" s="78">
        <v>-360.24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8">
        <v>0</v>
      </c>
      <c r="L54" s="78">
        <v>0</v>
      </c>
      <c r="M54" s="78">
        <v>0</v>
      </c>
      <c r="N54" s="78">
        <v>0</v>
      </c>
      <c r="O54" s="78">
        <v>0</v>
      </c>
      <c r="P54" s="78">
        <v>0</v>
      </c>
      <c r="Q54" s="78">
        <f t="shared" si="0"/>
        <v>0</v>
      </c>
    </row>
    <row r="55" spans="1:17" x14ac:dyDescent="0.3">
      <c r="A55" s="177" t="s">
        <v>162</v>
      </c>
      <c r="B55" s="177" t="s">
        <v>1674</v>
      </c>
      <c r="C55" s="78" t="s">
        <v>1675</v>
      </c>
      <c r="D55" s="78">
        <v>249277.74</v>
      </c>
      <c r="E55" s="78">
        <v>230475.14</v>
      </c>
      <c r="F55" s="78">
        <v>230475.14</v>
      </c>
      <c r="G55" s="78">
        <v>230475.14</v>
      </c>
      <c r="H55" s="78">
        <v>230475.14</v>
      </c>
      <c r="I55" s="78">
        <v>230475.14</v>
      </c>
      <c r="J55" s="78">
        <v>230475.14</v>
      </c>
      <c r="K55" s="78">
        <v>230475.14</v>
      </c>
      <c r="L55" s="78">
        <v>230475.14</v>
      </c>
      <c r="M55" s="78">
        <v>230475.14</v>
      </c>
      <c r="N55" s="78">
        <v>230475.14</v>
      </c>
      <c r="O55" s="78">
        <v>230475.14</v>
      </c>
      <c r="P55" s="78">
        <v>230475.14</v>
      </c>
      <c r="Q55" s="78">
        <f t="shared" si="0"/>
        <v>2765701.6800000011</v>
      </c>
    </row>
    <row r="56" spans="1:17" x14ac:dyDescent="0.3">
      <c r="A56" s="177" t="s">
        <v>162</v>
      </c>
      <c r="B56" s="177" t="s">
        <v>1676</v>
      </c>
      <c r="C56" s="78" t="s">
        <v>1677</v>
      </c>
      <c r="D56" s="78">
        <v>61207.03</v>
      </c>
      <c r="E56" s="78">
        <v>24529.75</v>
      </c>
      <c r="F56" s="78">
        <v>13187.89</v>
      </c>
      <c r="G56" s="78">
        <v>13187.89</v>
      </c>
      <c r="H56" s="78">
        <v>13187.89</v>
      </c>
      <c r="I56" s="78">
        <v>13187.89</v>
      </c>
      <c r="J56" s="78">
        <v>13187.89</v>
      </c>
      <c r="K56" s="78">
        <v>13187.89</v>
      </c>
      <c r="L56" s="78">
        <v>13187.89</v>
      </c>
      <c r="M56" s="78">
        <v>13187.89</v>
      </c>
      <c r="N56" s="78">
        <v>13187.89</v>
      </c>
      <c r="O56" s="78">
        <v>13187.89</v>
      </c>
      <c r="P56" s="78">
        <v>13187.89</v>
      </c>
      <c r="Q56" s="78">
        <f t="shared" si="0"/>
        <v>169596.54000000004</v>
      </c>
    </row>
    <row r="57" spans="1:17" x14ac:dyDescent="0.3">
      <c r="A57" s="177" t="s">
        <v>162</v>
      </c>
      <c r="B57" s="177" t="s">
        <v>1678</v>
      </c>
      <c r="C57" s="78" t="s">
        <v>1679</v>
      </c>
      <c r="D57" s="78">
        <v>23099.11</v>
      </c>
      <c r="E57" s="78">
        <v>20040.93</v>
      </c>
      <c r="F57" s="78">
        <v>20040.93</v>
      </c>
      <c r="G57" s="78">
        <v>20040.93</v>
      </c>
      <c r="H57" s="78">
        <v>20040.93</v>
      </c>
      <c r="I57" s="78">
        <v>20040.93</v>
      </c>
      <c r="J57" s="78">
        <v>20040.93</v>
      </c>
      <c r="K57" s="78">
        <v>20040.93</v>
      </c>
      <c r="L57" s="78">
        <v>20040.93</v>
      </c>
      <c r="M57" s="78">
        <v>20040.93</v>
      </c>
      <c r="N57" s="78">
        <v>20040.93</v>
      </c>
      <c r="O57" s="78">
        <v>20040.93</v>
      </c>
      <c r="P57" s="78">
        <v>20040.93</v>
      </c>
      <c r="Q57" s="78">
        <f t="shared" si="0"/>
        <v>240491.15999999995</v>
      </c>
    </row>
    <row r="58" spans="1:17" x14ac:dyDescent="0.3">
      <c r="A58" s="177" t="s">
        <v>162</v>
      </c>
      <c r="B58" s="177" t="s">
        <v>1680</v>
      </c>
      <c r="C58" s="78" t="s">
        <v>1681</v>
      </c>
      <c r="D58" s="78">
        <v>3181.76</v>
      </c>
      <c r="E58" s="78">
        <v>4704.3</v>
      </c>
      <c r="F58" s="78">
        <v>4704.3</v>
      </c>
      <c r="G58" s="78">
        <v>4704.3</v>
      </c>
      <c r="H58" s="78">
        <v>4704.3</v>
      </c>
      <c r="I58" s="78">
        <v>4704.3</v>
      </c>
      <c r="J58" s="78">
        <v>4704.3</v>
      </c>
      <c r="K58" s="78">
        <v>4704.3</v>
      </c>
      <c r="L58" s="78">
        <v>4704.3</v>
      </c>
      <c r="M58" s="78">
        <v>4704.3</v>
      </c>
      <c r="N58" s="78">
        <v>4704.3</v>
      </c>
      <c r="O58" s="78">
        <v>4704.3</v>
      </c>
      <c r="P58" s="78">
        <v>4704.3</v>
      </c>
      <c r="Q58" s="78">
        <f t="shared" si="0"/>
        <v>56451.600000000013</v>
      </c>
    </row>
    <row r="59" spans="1:17" x14ac:dyDescent="0.3">
      <c r="A59" s="177" t="s">
        <v>162</v>
      </c>
      <c r="B59" s="177" t="s">
        <v>1682</v>
      </c>
      <c r="C59" s="78" t="s">
        <v>1683</v>
      </c>
      <c r="D59" s="78">
        <v>1272.67</v>
      </c>
      <c r="E59" s="78">
        <v>1881.71</v>
      </c>
      <c r="F59" s="78">
        <v>1881.71</v>
      </c>
      <c r="G59" s="78">
        <v>1881.71</v>
      </c>
      <c r="H59" s="78">
        <v>1881.71</v>
      </c>
      <c r="I59" s="78">
        <v>1881.71</v>
      </c>
      <c r="J59" s="78">
        <v>1881.71</v>
      </c>
      <c r="K59" s="78">
        <v>1881.71</v>
      </c>
      <c r="L59" s="78">
        <v>1881.71</v>
      </c>
      <c r="M59" s="78">
        <v>1881.71</v>
      </c>
      <c r="N59" s="78">
        <v>1881.71</v>
      </c>
      <c r="O59" s="78">
        <v>1881.71</v>
      </c>
      <c r="P59" s="78">
        <v>1881.71</v>
      </c>
      <c r="Q59" s="78">
        <f t="shared" si="0"/>
        <v>22580.519999999993</v>
      </c>
    </row>
    <row r="60" spans="1:17" x14ac:dyDescent="0.3">
      <c r="A60" s="177" t="s">
        <v>162</v>
      </c>
      <c r="B60" s="177" t="s">
        <v>1684</v>
      </c>
      <c r="C60" s="78" t="s">
        <v>1685</v>
      </c>
      <c r="D60" s="78">
        <v>161379.64000000001</v>
      </c>
      <c r="E60" s="78">
        <v>159781.01</v>
      </c>
      <c r="F60" s="78">
        <v>159781.01</v>
      </c>
      <c r="G60" s="78">
        <v>159781.01</v>
      </c>
      <c r="H60" s="78">
        <v>159781.01</v>
      </c>
      <c r="I60" s="78">
        <v>159781.01</v>
      </c>
      <c r="J60" s="78">
        <v>159781.01</v>
      </c>
      <c r="K60" s="78">
        <v>159781.01</v>
      </c>
      <c r="L60" s="78">
        <v>159781.01</v>
      </c>
      <c r="M60" s="78">
        <v>159781.01</v>
      </c>
      <c r="N60" s="78">
        <v>159781.01</v>
      </c>
      <c r="O60" s="78">
        <v>159781.01</v>
      </c>
      <c r="P60" s="78">
        <v>159781.01</v>
      </c>
      <c r="Q60" s="78">
        <f t="shared" si="0"/>
        <v>1917372.12</v>
      </c>
    </row>
    <row r="61" spans="1:17" x14ac:dyDescent="0.3">
      <c r="A61" s="177" t="s">
        <v>162</v>
      </c>
      <c r="B61" s="177" t="s">
        <v>1686</v>
      </c>
      <c r="C61" s="78" t="s">
        <v>1687</v>
      </c>
      <c r="D61" s="78">
        <v>1298.9100000000001</v>
      </c>
      <c r="E61" s="78">
        <v>1298.9100000000001</v>
      </c>
      <c r="F61" s="78">
        <v>1298.9100000000001</v>
      </c>
      <c r="G61" s="78">
        <v>1298.9100000000001</v>
      </c>
      <c r="H61" s="78">
        <v>1298.9100000000001</v>
      </c>
      <c r="I61" s="78">
        <v>1298.9100000000001</v>
      </c>
      <c r="J61" s="78">
        <v>1298.9100000000001</v>
      </c>
      <c r="K61" s="78">
        <v>1298.9100000000001</v>
      </c>
      <c r="L61" s="78">
        <v>1298.9100000000001</v>
      </c>
      <c r="M61" s="78">
        <v>1298.9100000000001</v>
      </c>
      <c r="N61" s="78">
        <v>1298.9100000000001</v>
      </c>
      <c r="O61" s="78">
        <v>1298.9100000000001</v>
      </c>
      <c r="P61" s="78">
        <v>1298.9100000000001</v>
      </c>
      <c r="Q61" s="78">
        <f t="shared" si="0"/>
        <v>15586.92</v>
      </c>
    </row>
    <row r="62" spans="1:17" x14ac:dyDescent="0.3">
      <c r="A62" s="177" t="s">
        <v>162</v>
      </c>
      <c r="B62" s="177" t="s">
        <v>1688</v>
      </c>
      <c r="C62" s="78" t="s">
        <v>1689</v>
      </c>
      <c r="D62" s="78">
        <v>4649.79</v>
      </c>
      <c r="E62" s="78">
        <v>15029.43</v>
      </c>
      <c r="F62" s="78">
        <v>15002.52</v>
      </c>
      <c r="G62" s="78">
        <v>14868.29</v>
      </c>
      <c r="H62" s="78">
        <v>14973.53</v>
      </c>
      <c r="I62" s="78">
        <v>14858.99</v>
      </c>
      <c r="J62" s="78">
        <v>14616.17</v>
      </c>
      <c r="K62" s="78">
        <v>14477.78</v>
      </c>
      <c r="L62" s="78">
        <v>14789.83</v>
      </c>
      <c r="M62" s="78">
        <v>14956.43</v>
      </c>
      <c r="N62" s="78">
        <v>14982.1</v>
      </c>
      <c r="O62" s="78">
        <v>14867.19</v>
      </c>
      <c r="P62" s="78">
        <v>15157.8</v>
      </c>
      <c r="Q62" s="78">
        <f t="shared" si="0"/>
        <v>178580.06</v>
      </c>
    </row>
    <row r="63" spans="1:17" x14ac:dyDescent="0.3">
      <c r="A63" s="177" t="s">
        <v>162</v>
      </c>
      <c r="B63" s="177" t="s">
        <v>1690</v>
      </c>
      <c r="C63" s="78" t="s">
        <v>1691</v>
      </c>
      <c r="D63" s="78">
        <v>15913.49</v>
      </c>
      <c r="E63" s="78">
        <v>15913.49</v>
      </c>
      <c r="F63" s="78">
        <v>15913.49</v>
      </c>
      <c r="G63" s="78">
        <v>15913.49</v>
      </c>
      <c r="H63" s="78">
        <v>15913.49</v>
      </c>
      <c r="I63" s="78">
        <v>15913.49</v>
      </c>
      <c r="J63" s="78">
        <v>15913.49</v>
      </c>
      <c r="K63" s="78">
        <v>15913.49</v>
      </c>
      <c r="L63" s="78">
        <v>15913.49</v>
      </c>
      <c r="M63" s="78">
        <v>15913.49</v>
      </c>
      <c r="N63" s="78">
        <v>15913.49</v>
      </c>
      <c r="O63" s="78">
        <v>15913.49</v>
      </c>
      <c r="P63" s="78">
        <v>15913.49</v>
      </c>
      <c r="Q63" s="78">
        <f t="shared" si="0"/>
        <v>190961.87999999998</v>
      </c>
    </row>
    <row r="64" spans="1:17" x14ac:dyDescent="0.3">
      <c r="A64" s="177" t="s">
        <v>162</v>
      </c>
      <c r="B64" s="177" t="s">
        <v>1692</v>
      </c>
      <c r="C64" s="78" t="s">
        <v>1693</v>
      </c>
      <c r="D64" s="78">
        <v>48059.28</v>
      </c>
      <c r="E64" s="78">
        <v>203422.56</v>
      </c>
      <c r="F64" s="78">
        <v>203422.56</v>
      </c>
      <c r="G64" s="78">
        <v>203422.56</v>
      </c>
      <c r="H64" s="78">
        <v>203422.56</v>
      </c>
      <c r="I64" s="78">
        <v>203422.56</v>
      </c>
      <c r="J64" s="78">
        <v>203422.56</v>
      </c>
      <c r="K64" s="78">
        <v>203422.56</v>
      </c>
      <c r="L64" s="78">
        <v>203422.56</v>
      </c>
      <c r="M64" s="78">
        <v>203422.56</v>
      </c>
      <c r="N64" s="78">
        <v>203422.56</v>
      </c>
      <c r="O64" s="78">
        <v>203422.56</v>
      </c>
      <c r="P64" s="78">
        <v>203422.56</v>
      </c>
      <c r="Q64" s="78">
        <f t="shared" si="0"/>
        <v>2441070.7200000002</v>
      </c>
    </row>
    <row r="65" spans="1:17" x14ac:dyDescent="0.3">
      <c r="A65" s="177" t="s">
        <v>162</v>
      </c>
      <c r="B65" s="177" t="s">
        <v>1694</v>
      </c>
      <c r="C65" s="78" t="s">
        <v>1695</v>
      </c>
      <c r="D65" s="78">
        <v>0</v>
      </c>
      <c r="E65" s="78">
        <v>16575.240000000002</v>
      </c>
      <c r="F65" s="78">
        <v>16575.240000000002</v>
      </c>
      <c r="G65" s="78">
        <v>16575.240000000002</v>
      </c>
      <c r="H65" s="78">
        <v>16575.240000000002</v>
      </c>
      <c r="I65" s="78">
        <v>16575.240000000002</v>
      </c>
      <c r="J65" s="78">
        <v>16575.240000000002</v>
      </c>
      <c r="K65" s="78">
        <v>16575.240000000002</v>
      </c>
      <c r="L65" s="78">
        <v>16575.240000000002</v>
      </c>
      <c r="M65" s="78">
        <v>16575.240000000002</v>
      </c>
      <c r="N65" s="78">
        <v>16575.240000000002</v>
      </c>
      <c r="O65" s="78">
        <v>16575.240000000002</v>
      </c>
      <c r="P65" s="78">
        <v>16575.240000000002</v>
      </c>
      <c r="Q65" s="78">
        <f t="shared" si="0"/>
        <v>198902.87999999998</v>
      </c>
    </row>
    <row r="66" spans="1:17" x14ac:dyDescent="0.3">
      <c r="A66" s="177" t="s">
        <v>162</v>
      </c>
      <c r="B66" s="177" t="s">
        <v>1696</v>
      </c>
      <c r="C66" s="78" t="s">
        <v>1697</v>
      </c>
      <c r="D66" s="78">
        <v>20850</v>
      </c>
      <c r="E66" s="78">
        <v>20850</v>
      </c>
      <c r="F66" s="78">
        <v>20850</v>
      </c>
      <c r="G66" s="78">
        <v>20850</v>
      </c>
      <c r="H66" s="78">
        <v>20850</v>
      </c>
      <c r="I66" s="78">
        <v>20850</v>
      </c>
      <c r="J66" s="78">
        <v>20850</v>
      </c>
      <c r="K66" s="78">
        <v>20850</v>
      </c>
      <c r="L66" s="78">
        <v>20850</v>
      </c>
      <c r="M66" s="78">
        <v>20850</v>
      </c>
      <c r="N66" s="78">
        <v>20850</v>
      </c>
      <c r="O66" s="78">
        <v>20850</v>
      </c>
      <c r="P66" s="78">
        <v>20850</v>
      </c>
      <c r="Q66" s="78">
        <f t="shared" si="0"/>
        <v>250200</v>
      </c>
    </row>
    <row r="67" spans="1:17" x14ac:dyDescent="0.3">
      <c r="A67" s="177" t="s">
        <v>162</v>
      </c>
      <c r="B67" s="177" t="s">
        <v>1698</v>
      </c>
      <c r="C67" s="78" t="s">
        <v>1699</v>
      </c>
      <c r="D67" s="78">
        <v>4134341.94</v>
      </c>
      <c r="E67" s="78">
        <v>4249432.41</v>
      </c>
      <c r="F67" s="78">
        <v>4249432.41</v>
      </c>
      <c r="G67" s="78">
        <v>4249432.41</v>
      </c>
      <c r="H67" s="78">
        <v>4249432.41</v>
      </c>
      <c r="I67" s="78">
        <v>4249432.41</v>
      </c>
      <c r="J67" s="78">
        <v>4249432.41</v>
      </c>
      <c r="K67" s="78">
        <v>4249432.41</v>
      </c>
      <c r="L67" s="78">
        <v>4249432.41</v>
      </c>
      <c r="M67" s="78">
        <v>4249432.41</v>
      </c>
      <c r="N67" s="78">
        <v>4249432.41</v>
      </c>
      <c r="O67" s="78">
        <v>4249432.41</v>
      </c>
      <c r="P67" s="78">
        <v>4249432.41</v>
      </c>
      <c r="Q67" s="78">
        <f t="shared" si="0"/>
        <v>50993188.919999987</v>
      </c>
    </row>
    <row r="68" spans="1:17" x14ac:dyDescent="0.3">
      <c r="A68" s="177" t="s">
        <v>162</v>
      </c>
      <c r="B68" s="177" t="s">
        <v>1700</v>
      </c>
      <c r="C68" s="78" t="s">
        <v>1701</v>
      </c>
      <c r="D68" s="78">
        <v>29657130.920000002</v>
      </c>
      <c r="E68" s="78">
        <v>30299000</v>
      </c>
      <c r="F68" s="78">
        <v>32219000</v>
      </c>
      <c r="G68" s="78">
        <v>32864000</v>
      </c>
      <c r="H68" s="78">
        <v>32235000</v>
      </c>
      <c r="I68" s="78">
        <v>32882000</v>
      </c>
      <c r="J68" s="78">
        <v>33530000</v>
      </c>
      <c r="K68" s="78">
        <v>27634000</v>
      </c>
      <c r="L68" s="78">
        <v>25499000</v>
      </c>
      <c r="M68" s="78">
        <v>26149000</v>
      </c>
      <c r="N68" s="78">
        <v>26800000</v>
      </c>
      <c r="O68" s="78">
        <v>28726000</v>
      </c>
      <c r="P68" s="78">
        <v>29309000</v>
      </c>
      <c r="Q68" s="78">
        <f t="shared" si="0"/>
        <v>358146000</v>
      </c>
    </row>
    <row r="69" spans="1:17" x14ac:dyDescent="0.3">
      <c r="A69" s="177" t="s">
        <v>162</v>
      </c>
      <c r="B69" s="177" t="s">
        <v>1702</v>
      </c>
      <c r="C69" s="78" t="s">
        <v>1703</v>
      </c>
      <c r="D69" s="78">
        <v>5116109.9000000004</v>
      </c>
      <c r="E69" s="78">
        <v>5005000</v>
      </c>
      <c r="F69" s="78">
        <v>4936000</v>
      </c>
      <c r="G69" s="78">
        <v>5397000</v>
      </c>
      <c r="H69" s="78">
        <v>5330000</v>
      </c>
      <c r="I69" s="78">
        <v>5263000</v>
      </c>
      <c r="J69" s="78">
        <v>5196000</v>
      </c>
      <c r="K69" s="78">
        <v>5128000</v>
      </c>
      <c r="L69" s="78">
        <v>5061000</v>
      </c>
      <c r="M69" s="78">
        <v>5258000</v>
      </c>
      <c r="N69" s="78">
        <v>5192000</v>
      </c>
      <c r="O69" s="78">
        <v>5125000</v>
      </c>
      <c r="P69" s="78">
        <v>5059000</v>
      </c>
      <c r="Q69" s="78">
        <f t="shared" si="0"/>
        <v>61950000</v>
      </c>
    </row>
    <row r="70" spans="1:17" x14ac:dyDescent="0.3">
      <c r="A70" s="177" t="s">
        <v>162</v>
      </c>
      <c r="B70" s="177" t="s">
        <v>1704</v>
      </c>
      <c r="C70" s="78" t="s">
        <v>1705</v>
      </c>
      <c r="D70" s="78">
        <v>826769.55</v>
      </c>
      <c r="E70" s="78">
        <v>920000</v>
      </c>
      <c r="F70" s="78">
        <v>902000</v>
      </c>
      <c r="G70" s="78">
        <v>835000</v>
      </c>
      <c r="H70" s="78">
        <v>760000</v>
      </c>
      <c r="I70" s="78">
        <v>756000</v>
      </c>
      <c r="J70" s="78">
        <v>780000</v>
      </c>
      <c r="K70" s="78">
        <v>806000</v>
      </c>
      <c r="L70" s="78">
        <v>815000</v>
      </c>
      <c r="M70" s="78">
        <v>806000</v>
      </c>
      <c r="N70" s="78">
        <v>824000</v>
      </c>
      <c r="O70" s="78">
        <v>911000</v>
      </c>
      <c r="P70" s="78">
        <v>1016000</v>
      </c>
      <c r="Q70" s="78">
        <f t="shared" si="0"/>
        <v>10131000</v>
      </c>
    </row>
    <row r="71" spans="1:17" x14ac:dyDescent="0.3">
      <c r="A71" s="177" t="s">
        <v>162</v>
      </c>
      <c r="B71" s="177" t="s">
        <v>1706</v>
      </c>
      <c r="C71" s="78" t="s">
        <v>1707</v>
      </c>
      <c r="D71" s="78">
        <v>179789092.38999999</v>
      </c>
      <c r="E71" s="78">
        <v>179405887.5</v>
      </c>
      <c r="F71" s="78">
        <v>177898275</v>
      </c>
      <c r="G71" s="78">
        <v>176390662.5</v>
      </c>
      <c r="H71" s="78">
        <v>174883050</v>
      </c>
      <c r="I71" s="78">
        <v>173375437.5</v>
      </c>
      <c r="J71" s="78">
        <v>171867825</v>
      </c>
      <c r="K71" s="78">
        <v>170360212.5</v>
      </c>
      <c r="L71" s="78">
        <v>168852600</v>
      </c>
      <c r="M71" s="78">
        <v>167344987.5</v>
      </c>
      <c r="N71" s="78">
        <v>165837375</v>
      </c>
      <c r="O71" s="78">
        <v>164329762.5</v>
      </c>
      <c r="P71" s="78">
        <v>162822150</v>
      </c>
      <c r="Q71" s="78">
        <f t="shared" si="0"/>
        <v>2053368225</v>
      </c>
    </row>
    <row r="72" spans="1:17" x14ac:dyDescent="0.3">
      <c r="A72" s="177" t="s">
        <v>162</v>
      </c>
      <c r="B72" s="177" t="s">
        <v>1708</v>
      </c>
      <c r="C72" s="78" t="s">
        <v>1709</v>
      </c>
      <c r="D72" s="78">
        <v>1124357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78">
        <v>0</v>
      </c>
      <c r="P72" s="78">
        <v>0</v>
      </c>
      <c r="Q72" s="78">
        <f t="shared" si="0"/>
        <v>0</v>
      </c>
    </row>
    <row r="73" spans="1:17" x14ac:dyDescent="0.3">
      <c r="A73" s="177" t="s">
        <v>162</v>
      </c>
      <c r="B73" s="177" t="s">
        <v>1710</v>
      </c>
      <c r="C73" s="78" t="s">
        <v>1711</v>
      </c>
      <c r="D73" s="78">
        <v>145813.32</v>
      </c>
      <c r="E73" s="78">
        <v>0</v>
      </c>
      <c r="F73" s="78">
        <v>0</v>
      </c>
      <c r="G73" s="78">
        <v>0</v>
      </c>
      <c r="H73" s="78">
        <v>0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78">
        <v>0</v>
      </c>
      <c r="Q73" s="78">
        <f t="shared" si="0"/>
        <v>0</v>
      </c>
    </row>
    <row r="74" spans="1:17" x14ac:dyDescent="0.3">
      <c r="A74" s="177" t="s">
        <v>162</v>
      </c>
      <c r="B74" s="177" t="s">
        <v>1712</v>
      </c>
      <c r="C74" s="78" t="s">
        <v>1713</v>
      </c>
      <c r="D74" s="78">
        <v>2249338.2999999998</v>
      </c>
      <c r="E74" s="78">
        <v>2152704.0299999998</v>
      </c>
      <c r="F74" s="78">
        <v>2056069.76</v>
      </c>
      <c r="G74" s="78">
        <v>1959435.49</v>
      </c>
      <c r="H74" s="78">
        <v>1900673.12</v>
      </c>
      <c r="I74" s="78">
        <v>1841910.75</v>
      </c>
      <c r="J74" s="78">
        <v>1783148.38</v>
      </c>
      <c r="K74" s="78">
        <v>1724386.01</v>
      </c>
      <c r="L74" s="78">
        <v>1665623.64</v>
      </c>
      <c r="M74" s="78">
        <v>1606861.27</v>
      </c>
      <c r="N74" s="78">
        <v>1548098.9</v>
      </c>
      <c r="O74" s="78">
        <v>1489336.53</v>
      </c>
      <c r="P74" s="78">
        <v>1430574.16</v>
      </c>
      <c r="Q74" s="78">
        <f t="shared" si="0"/>
        <v>21158822.040000003</v>
      </c>
    </row>
    <row r="75" spans="1:17" x14ac:dyDescent="0.3">
      <c r="A75" s="177" t="s">
        <v>162</v>
      </c>
      <c r="B75" s="177" t="s">
        <v>1714</v>
      </c>
      <c r="C75" s="78" t="s">
        <v>1715</v>
      </c>
      <c r="D75" s="78">
        <v>2140239.79</v>
      </c>
      <c r="E75" s="78">
        <v>0</v>
      </c>
      <c r="F75" s="78">
        <v>0</v>
      </c>
      <c r="G75" s="78">
        <v>0</v>
      </c>
      <c r="H75" s="78">
        <v>0</v>
      </c>
      <c r="I75" s="78">
        <v>0</v>
      </c>
      <c r="J75" s="78">
        <v>0</v>
      </c>
      <c r="K75" s="78">
        <v>0</v>
      </c>
      <c r="L75" s="78">
        <v>0</v>
      </c>
      <c r="M75" s="78">
        <v>0</v>
      </c>
      <c r="N75" s="78">
        <v>0</v>
      </c>
      <c r="O75" s="78">
        <v>0</v>
      </c>
      <c r="P75" s="78">
        <v>0</v>
      </c>
      <c r="Q75" s="78">
        <f t="shared" si="0"/>
        <v>0</v>
      </c>
    </row>
    <row r="76" spans="1:17" x14ac:dyDescent="0.3">
      <c r="A76" s="177" t="s">
        <v>162</v>
      </c>
      <c r="B76" s="177" t="s">
        <v>1716</v>
      </c>
      <c r="C76" s="78" t="s">
        <v>1717</v>
      </c>
      <c r="D76" s="78">
        <v>1523129.15</v>
      </c>
      <c r="E76" s="78">
        <v>0</v>
      </c>
      <c r="F76" s="78">
        <v>0</v>
      </c>
      <c r="G76" s="78">
        <v>0</v>
      </c>
      <c r="H76" s="78">
        <v>0</v>
      </c>
      <c r="I76" s="78">
        <v>0</v>
      </c>
      <c r="J76" s="78">
        <v>0</v>
      </c>
      <c r="K76" s="78">
        <v>0</v>
      </c>
      <c r="L76" s="78">
        <v>0</v>
      </c>
      <c r="M76" s="78">
        <v>0</v>
      </c>
      <c r="N76" s="78">
        <v>0</v>
      </c>
      <c r="O76" s="78">
        <v>0</v>
      </c>
      <c r="P76" s="78">
        <v>0</v>
      </c>
      <c r="Q76" s="78">
        <f t="shared" si="0"/>
        <v>0</v>
      </c>
    </row>
    <row r="77" spans="1:17" x14ac:dyDescent="0.3">
      <c r="A77" s="177" t="s">
        <v>162</v>
      </c>
      <c r="B77" s="177" t="s">
        <v>1718</v>
      </c>
      <c r="C77" s="78" t="s">
        <v>1719</v>
      </c>
      <c r="D77" s="78">
        <v>2049422.41</v>
      </c>
      <c r="E77" s="78">
        <v>250000</v>
      </c>
      <c r="F77" s="78">
        <v>125000</v>
      </c>
      <c r="G77" s="78">
        <v>0</v>
      </c>
      <c r="H77" s="78">
        <v>250000</v>
      </c>
      <c r="I77" s="78">
        <v>125000</v>
      </c>
      <c r="J77" s="78">
        <v>0</v>
      </c>
      <c r="K77" s="78">
        <v>250000</v>
      </c>
      <c r="L77" s="78">
        <v>125000</v>
      </c>
      <c r="M77" s="78">
        <v>0</v>
      </c>
      <c r="N77" s="78">
        <v>250000</v>
      </c>
      <c r="O77" s="78">
        <v>125000</v>
      </c>
      <c r="P77" s="78">
        <v>0</v>
      </c>
      <c r="Q77" s="78">
        <f t="shared" si="0"/>
        <v>1500000</v>
      </c>
    </row>
    <row r="78" spans="1:17" x14ac:dyDescent="0.3">
      <c r="A78" s="177" t="s">
        <v>162</v>
      </c>
      <c r="B78" s="177" t="s">
        <v>1720</v>
      </c>
      <c r="C78" s="78" t="s">
        <v>1721</v>
      </c>
      <c r="D78" s="78">
        <v>0</v>
      </c>
      <c r="E78" s="78">
        <v>225000</v>
      </c>
      <c r="F78" s="78">
        <v>112500</v>
      </c>
      <c r="G78" s="78">
        <v>0</v>
      </c>
      <c r="H78" s="78">
        <v>225000</v>
      </c>
      <c r="I78" s="78">
        <v>112500</v>
      </c>
      <c r="J78" s="78">
        <v>0</v>
      </c>
      <c r="K78" s="78">
        <v>225000</v>
      </c>
      <c r="L78" s="78">
        <v>112500</v>
      </c>
      <c r="M78" s="78">
        <v>0</v>
      </c>
      <c r="N78" s="78">
        <v>225000</v>
      </c>
      <c r="O78" s="78">
        <v>112500</v>
      </c>
      <c r="P78" s="78">
        <v>0</v>
      </c>
      <c r="Q78" s="78">
        <f t="shared" si="0"/>
        <v>1350000</v>
      </c>
    </row>
    <row r="79" spans="1:17" x14ac:dyDescent="0.3">
      <c r="A79" s="177" t="s">
        <v>162</v>
      </c>
      <c r="B79" s="177" t="s">
        <v>1722</v>
      </c>
      <c r="C79" s="78" t="s">
        <v>1723</v>
      </c>
      <c r="D79" s="78">
        <v>0</v>
      </c>
      <c r="E79" s="78">
        <v>200000</v>
      </c>
      <c r="F79" s="78">
        <v>100000</v>
      </c>
      <c r="G79" s="78">
        <v>0</v>
      </c>
      <c r="H79" s="78">
        <v>200000</v>
      </c>
      <c r="I79" s="78">
        <v>100000</v>
      </c>
      <c r="J79" s="78">
        <v>0</v>
      </c>
      <c r="K79" s="78">
        <v>200000</v>
      </c>
      <c r="L79" s="78">
        <v>100000</v>
      </c>
      <c r="M79" s="78">
        <v>0</v>
      </c>
      <c r="N79" s="78">
        <v>200000</v>
      </c>
      <c r="O79" s="78">
        <v>100000</v>
      </c>
      <c r="P79" s="78">
        <v>0</v>
      </c>
      <c r="Q79" s="78">
        <f t="shared" ref="Q79:Q142" si="1">SUM(E79:P79)</f>
        <v>1200000</v>
      </c>
    </row>
    <row r="80" spans="1:17" x14ac:dyDescent="0.3">
      <c r="A80" s="177" t="s">
        <v>162</v>
      </c>
      <c r="B80" s="177" t="s">
        <v>1724</v>
      </c>
      <c r="C80" s="78" t="s">
        <v>1725</v>
      </c>
      <c r="D80" s="78">
        <v>0</v>
      </c>
      <c r="E80" s="78">
        <v>175000</v>
      </c>
      <c r="F80" s="78">
        <v>87500</v>
      </c>
      <c r="G80" s="78">
        <v>0</v>
      </c>
      <c r="H80" s="78">
        <v>175000</v>
      </c>
      <c r="I80" s="78">
        <v>87500</v>
      </c>
      <c r="J80" s="78">
        <v>0</v>
      </c>
      <c r="K80" s="78">
        <v>175000</v>
      </c>
      <c r="L80" s="78">
        <v>87500</v>
      </c>
      <c r="M80" s="78">
        <v>0</v>
      </c>
      <c r="N80" s="78">
        <v>175000</v>
      </c>
      <c r="O80" s="78">
        <v>87500</v>
      </c>
      <c r="P80" s="78">
        <v>0</v>
      </c>
      <c r="Q80" s="78">
        <f t="shared" si="1"/>
        <v>1050000</v>
      </c>
    </row>
    <row r="81" spans="1:17" x14ac:dyDescent="0.3">
      <c r="A81" s="177" t="s">
        <v>162</v>
      </c>
      <c r="B81" s="177" t="s">
        <v>1726</v>
      </c>
      <c r="C81" s="78" t="s">
        <v>1727</v>
      </c>
      <c r="D81" s="78">
        <v>9674768.5399999991</v>
      </c>
      <c r="E81" s="78">
        <v>7567068.648</v>
      </c>
      <c r="F81" s="78">
        <v>4925743.1279999996</v>
      </c>
      <c r="G81" s="78">
        <v>19318975.8181215</v>
      </c>
      <c r="H81" s="78">
        <v>16364582.5981215</v>
      </c>
      <c r="I81" s="78">
        <v>10429598.458000001</v>
      </c>
      <c r="J81" s="78">
        <v>25602138.287999999</v>
      </c>
      <c r="K81" s="78">
        <v>22557241.598000001</v>
      </c>
      <c r="L81" s="78">
        <v>20102565.267999999</v>
      </c>
      <c r="M81" s="78">
        <v>17053288.697999999</v>
      </c>
      <c r="N81" s="78">
        <v>14004012.128</v>
      </c>
      <c r="O81" s="78">
        <v>10954735.558</v>
      </c>
      <c r="P81" s="78">
        <v>10174467.097999999</v>
      </c>
      <c r="Q81" s="78">
        <f t="shared" si="1"/>
        <v>179054417.28624296</v>
      </c>
    </row>
    <row r="82" spans="1:17" x14ac:dyDescent="0.3">
      <c r="A82" s="177" t="s">
        <v>162</v>
      </c>
      <c r="B82" s="177" t="s">
        <v>1728</v>
      </c>
      <c r="C82" s="78" t="s">
        <v>1729</v>
      </c>
      <c r="D82" s="78">
        <v>9329197.7300000004</v>
      </c>
      <c r="E82" s="78">
        <v>10864496.7481043</v>
      </c>
      <c r="F82" s="78">
        <v>10819570.091246</v>
      </c>
      <c r="G82" s="78">
        <v>9838402.7052967995</v>
      </c>
      <c r="H82" s="78">
        <v>8457313.5093475003</v>
      </c>
      <c r="I82" s="78">
        <v>7634537.3100648997</v>
      </c>
      <c r="J82" s="78">
        <v>7555689.7041324005</v>
      </c>
      <c r="K82" s="78">
        <v>7677873.5281081004</v>
      </c>
      <c r="L82" s="78">
        <v>7509783.2576671997</v>
      </c>
      <c r="M82" s="78">
        <v>7154418.3811657</v>
      </c>
      <c r="N82" s="78">
        <v>7500667.5323309004</v>
      </c>
      <c r="O82" s="78">
        <v>6980641.6458566003</v>
      </c>
      <c r="P82" s="78">
        <v>8269824.7633824004</v>
      </c>
      <c r="Q82" s="78">
        <f t="shared" si="1"/>
        <v>100263219.1767028</v>
      </c>
    </row>
    <row r="83" spans="1:17" x14ac:dyDescent="0.3">
      <c r="A83" s="177" t="s">
        <v>162</v>
      </c>
      <c r="B83" s="177" t="s">
        <v>1730</v>
      </c>
      <c r="C83" s="78" t="s">
        <v>1731</v>
      </c>
      <c r="D83" s="78">
        <v>5374124</v>
      </c>
      <c r="E83" s="78">
        <v>6742820.7740730997</v>
      </c>
      <c r="F83" s="78">
        <v>5295739.7265897002</v>
      </c>
      <c r="G83" s="78">
        <v>4563483.6791064003</v>
      </c>
      <c r="H83" s="78">
        <v>4932113.2236898001</v>
      </c>
      <c r="I83" s="78">
        <v>4913242.7202647002</v>
      </c>
      <c r="J83" s="78">
        <v>4632645.4318730999</v>
      </c>
      <c r="K83" s="78">
        <v>6006434.2107670996</v>
      </c>
      <c r="L83" s="78">
        <v>5279448.8246611999</v>
      </c>
      <c r="M83" s="78">
        <v>4860642.9020218998</v>
      </c>
      <c r="N83" s="78">
        <v>4232369.0541492999</v>
      </c>
      <c r="O83" s="78">
        <v>4712692.8423432996</v>
      </c>
      <c r="P83" s="78">
        <v>3971455.8453374002</v>
      </c>
      <c r="Q83" s="78">
        <f t="shared" si="1"/>
        <v>60143089.234876998</v>
      </c>
    </row>
    <row r="84" spans="1:17" x14ac:dyDescent="0.3">
      <c r="A84" s="177" t="s">
        <v>162</v>
      </c>
      <c r="B84" s="177" t="s">
        <v>1732</v>
      </c>
      <c r="C84" s="78" t="s">
        <v>1733</v>
      </c>
      <c r="D84" s="78">
        <v>63361325</v>
      </c>
      <c r="E84" s="78">
        <v>71079751.560000107</v>
      </c>
      <c r="F84" s="78">
        <v>66032394.3400001</v>
      </c>
      <c r="G84" s="78">
        <v>70703378.190000102</v>
      </c>
      <c r="H84" s="78">
        <v>75099687.950000107</v>
      </c>
      <c r="I84" s="78">
        <v>85408993.080000103</v>
      </c>
      <c r="J84" s="78">
        <v>88965577.760000095</v>
      </c>
      <c r="K84" s="78">
        <v>91406855.650000095</v>
      </c>
      <c r="L84" s="78">
        <v>96000638.670000106</v>
      </c>
      <c r="M84" s="78">
        <v>87003010.560000002</v>
      </c>
      <c r="N84" s="78">
        <v>82052839.860000104</v>
      </c>
      <c r="O84" s="78">
        <v>72936599.240000099</v>
      </c>
      <c r="P84" s="78">
        <v>73385642.000000104</v>
      </c>
      <c r="Q84" s="78">
        <f t="shared" si="1"/>
        <v>960075368.86000109</v>
      </c>
    </row>
    <row r="85" spans="1:17" x14ac:dyDescent="0.3">
      <c r="A85" s="177" t="s">
        <v>162</v>
      </c>
      <c r="B85" s="177" t="s">
        <v>1734</v>
      </c>
      <c r="C85" s="78" t="s">
        <v>1735</v>
      </c>
      <c r="D85" s="78">
        <v>665079.21</v>
      </c>
      <c r="E85" s="78">
        <v>528000</v>
      </c>
      <c r="F85" s="78">
        <v>528000</v>
      </c>
      <c r="G85" s="78">
        <v>528000</v>
      </c>
      <c r="H85" s="78">
        <v>528000</v>
      </c>
      <c r="I85" s="78">
        <v>528000</v>
      </c>
      <c r="J85" s="78">
        <v>528000</v>
      </c>
      <c r="K85" s="78">
        <v>528000</v>
      </c>
      <c r="L85" s="78">
        <v>528000</v>
      </c>
      <c r="M85" s="78">
        <v>528000</v>
      </c>
      <c r="N85" s="78">
        <v>528000</v>
      </c>
      <c r="O85" s="78">
        <v>528000</v>
      </c>
      <c r="P85" s="78">
        <v>528000</v>
      </c>
      <c r="Q85" s="78">
        <f t="shared" si="1"/>
        <v>6336000</v>
      </c>
    </row>
    <row r="86" spans="1:17" x14ac:dyDescent="0.3">
      <c r="A86" s="177" t="s">
        <v>162</v>
      </c>
      <c r="B86" s="177" t="s">
        <v>1736</v>
      </c>
      <c r="C86" s="78" t="s">
        <v>1737</v>
      </c>
      <c r="D86" s="78">
        <v>16641.95</v>
      </c>
      <c r="E86" s="78">
        <v>8320.9699999999993</v>
      </c>
      <c r="F86" s="78">
        <v>0</v>
      </c>
      <c r="G86" s="78">
        <v>0</v>
      </c>
      <c r="H86" s="78">
        <v>0</v>
      </c>
      <c r="I86" s="78">
        <v>0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78">
        <v>0</v>
      </c>
      <c r="P86" s="78">
        <v>0</v>
      </c>
      <c r="Q86" s="78">
        <f t="shared" si="1"/>
        <v>8320.9699999999993</v>
      </c>
    </row>
    <row r="87" spans="1:17" x14ac:dyDescent="0.3">
      <c r="A87" s="177" t="s">
        <v>162</v>
      </c>
      <c r="B87" s="177" t="s">
        <v>1738</v>
      </c>
      <c r="C87" s="78" t="s">
        <v>1739</v>
      </c>
      <c r="D87" s="78">
        <v>28246270.27</v>
      </c>
      <c r="E87" s="78">
        <v>30059413.140000001</v>
      </c>
      <c r="F87" s="78">
        <v>29839222.68</v>
      </c>
      <c r="G87" s="78">
        <v>29619032.219999999</v>
      </c>
      <c r="H87" s="78">
        <v>29398841.760000002</v>
      </c>
      <c r="I87" s="78">
        <v>29178651.300000001</v>
      </c>
      <c r="J87" s="78">
        <v>28958460.84</v>
      </c>
      <c r="K87" s="78">
        <v>28801550.34</v>
      </c>
      <c r="L87" s="78">
        <v>28644639.84</v>
      </c>
      <c r="M87" s="78">
        <v>28487729.34</v>
      </c>
      <c r="N87" s="78">
        <v>28330818.84</v>
      </c>
      <c r="O87" s="78">
        <v>28173908.34</v>
      </c>
      <c r="P87" s="78">
        <v>28016997.84</v>
      </c>
      <c r="Q87" s="78">
        <f t="shared" si="1"/>
        <v>347509266.47999996</v>
      </c>
    </row>
    <row r="88" spans="1:17" x14ac:dyDescent="0.3">
      <c r="A88" s="177" t="s">
        <v>162</v>
      </c>
      <c r="B88" s="177" t="s">
        <v>1740</v>
      </c>
      <c r="C88" s="78" t="s">
        <v>1741</v>
      </c>
      <c r="D88" s="78">
        <v>39024081.829999998</v>
      </c>
      <c r="E88" s="78">
        <v>39701773.829419397</v>
      </c>
      <c r="F88" s="78">
        <v>40021947.412207797</v>
      </c>
      <c r="G88" s="78">
        <v>40340271.6047059</v>
      </c>
      <c r="H88" s="78">
        <v>40624202.613157898</v>
      </c>
      <c r="I88" s="78">
        <v>40873320.895629101</v>
      </c>
      <c r="J88" s="78">
        <v>41120474.673600003</v>
      </c>
      <c r="K88" s="78">
        <v>41393979.509798601</v>
      </c>
      <c r="L88" s="78">
        <v>41626829.007567599</v>
      </c>
      <c r="M88" s="78">
        <v>41866786.115102001</v>
      </c>
      <c r="N88" s="78">
        <v>42119456.882465698</v>
      </c>
      <c r="O88" s="78">
        <v>42374541.038896501</v>
      </c>
      <c r="P88" s="78">
        <v>42800445.116666697</v>
      </c>
      <c r="Q88" s="78">
        <f t="shared" si="1"/>
        <v>494864028.69921714</v>
      </c>
    </row>
    <row r="89" spans="1:17" x14ac:dyDescent="0.3">
      <c r="A89" s="177" t="s">
        <v>162</v>
      </c>
      <c r="B89" s="177" t="s">
        <v>1742</v>
      </c>
      <c r="C89" s="78" t="s">
        <v>1743</v>
      </c>
      <c r="D89" s="78">
        <v>468288982.01999998</v>
      </c>
      <c r="E89" s="78">
        <v>473112804.80058002</v>
      </c>
      <c r="F89" s="78">
        <v>473593044.377792</v>
      </c>
      <c r="G89" s="78">
        <v>473998191.35529399</v>
      </c>
      <c r="H89" s="78">
        <v>473949030.48684198</v>
      </c>
      <c r="I89" s="78">
        <v>473449300.37437099</v>
      </c>
      <c r="J89" s="78">
        <v>472885458.7464</v>
      </c>
      <c r="K89" s="78">
        <v>472581266.07020098</v>
      </c>
      <c r="L89" s="78">
        <v>471770728.75243199</v>
      </c>
      <c r="M89" s="78">
        <v>471001343.79489797</v>
      </c>
      <c r="N89" s="78">
        <v>470333935.18753397</v>
      </c>
      <c r="O89" s="78">
        <v>469651163.18110299</v>
      </c>
      <c r="P89" s="78">
        <v>470804896.283333</v>
      </c>
      <c r="Q89" s="78">
        <f t="shared" si="1"/>
        <v>5667131163.410779</v>
      </c>
    </row>
    <row r="90" spans="1:17" x14ac:dyDescent="0.3">
      <c r="A90" s="177" t="s">
        <v>162</v>
      </c>
      <c r="B90" s="177" t="s">
        <v>1744</v>
      </c>
      <c r="C90" s="78" t="s">
        <v>1745</v>
      </c>
      <c r="D90" s="78">
        <v>82436186.010000005</v>
      </c>
      <c r="E90" s="78">
        <v>77113485.231522202</v>
      </c>
      <c r="F90" s="78">
        <v>69819121.043657497</v>
      </c>
      <c r="G90" s="78">
        <v>64082129.0685995</v>
      </c>
      <c r="H90" s="78">
        <v>53923072.1068919</v>
      </c>
      <c r="I90" s="78">
        <v>46166972.707179703</v>
      </c>
      <c r="J90" s="78">
        <v>32870635.450004902</v>
      </c>
      <c r="K90" s="78">
        <v>19343786.371981099</v>
      </c>
      <c r="L90" s="78">
        <v>6226783.4352954999</v>
      </c>
      <c r="M90" s="78">
        <v>-0.3</v>
      </c>
      <c r="N90" s="78">
        <v>-0.3</v>
      </c>
      <c r="O90" s="78">
        <v>0</v>
      </c>
      <c r="P90" s="78">
        <v>0</v>
      </c>
      <c r="Q90" s="78">
        <f t="shared" si="1"/>
        <v>369545984.81513226</v>
      </c>
    </row>
    <row r="91" spans="1:17" x14ac:dyDescent="0.3">
      <c r="A91" s="177" t="s">
        <v>162</v>
      </c>
      <c r="B91" s="177" t="s">
        <v>1746</v>
      </c>
      <c r="C91" s="78" t="s">
        <v>1747</v>
      </c>
      <c r="D91" s="78">
        <v>9307569.3699999992</v>
      </c>
      <c r="E91" s="78">
        <v>10537553.552002599</v>
      </c>
      <c r="F91" s="78">
        <v>11681014.894396</v>
      </c>
      <c r="G91" s="78">
        <v>10925070.007914299</v>
      </c>
      <c r="H91" s="78">
        <v>10130565.8509873</v>
      </c>
      <c r="I91" s="78">
        <v>9243861.1015268993</v>
      </c>
      <c r="J91" s="78">
        <v>8215878.3104165001</v>
      </c>
      <c r="K91" s="78">
        <v>7130802.7138860002</v>
      </c>
      <c r="L91" s="78">
        <v>6045186.0236630002</v>
      </c>
      <c r="M91" s="78">
        <v>4940105.9976816997</v>
      </c>
      <c r="N91" s="78">
        <v>3931827.9139020001</v>
      </c>
      <c r="O91" s="78">
        <v>3063915.9080662001</v>
      </c>
      <c r="P91" s="78">
        <v>2238308.3407946001</v>
      </c>
      <c r="Q91" s="78">
        <f t="shared" si="1"/>
        <v>88084090.615237087</v>
      </c>
    </row>
    <row r="92" spans="1:17" x14ac:dyDescent="0.3">
      <c r="A92" s="177" t="s">
        <v>162</v>
      </c>
      <c r="B92" s="177" t="s">
        <v>1748</v>
      </c>
      <c r="C92" s="78" t="s">
        <v>1749</v>
      </c>
      <c r="D92" s="78">
        <v>2186556</v>
      </c>
      <c r="E92" s="78">
        <v>1613288</v>
      </c>
      <c r="F92" s="78">
        <v>1712811</v>
      </c>
      <c r="G92" s="78">
        <v>2265591</v>
      </c>
      <c r="H92" s="78">
        <v>2782261</v>
      </c>
      <c r="I92" s="78">
        <v>2645342</v>
      </c>
      <c r="J92" s="78">
        <v>1402573</v>
      </c>
      <c r="K92" s="78">
        <v>0</v>
      </c>
      <c r="L92" s="78">
        <v>0</v>
      </c>
      <c r="M92" s="78">
        <v>0</v>
      </c>
      <c r="N92" s="78">
        <v>0</v>
      </c>
      <c r="O92" s="78">
        <v>0</v>
      </c>
      <c r="P92" s="78">
        <v>0</v>
      </c>
      <c r="Q92" s="78">
        <f t="shared" si="1"/>
        <v>12421866</v>
      </c>
    </row>
    <row r="93" spans="1:17" x14ac:dyDescent="0.3">
      <c r="A93" s="177" t="s">
        <v>162</v>
      </c>
      <c r="B93" s="177" t="s">
        <v>1750</v>
      </c>
      <c r="C93" s="78" t="s">
        <v>1751</v>
      </c>
      <c r="D93" s="78">
        <v>460116</v>
      </c>
      <c r="E93" s="78">
        <v>460116</v>
      </c>
      <c r="F93" s="78">
        <v>460116</v>
      </c>
      <c r="G93" s="78">
        <v>460116</v>
      </c>
      <c r="H93" s="78">
        <v>460116</v>
      </c>
      <c r="I93" s="78">
        <v>460116</v>
      </c>
      <c r="J93" s="78">
        <v>460116</v>
      </c>
      <c r="K93" s="78">
        <v>460116</v>
      </c>
      <c r="L93" s="78">
        <v>460116</v>
      </c>
      <c r="M93" s="78">
        <v>460116</v>
      </c>
      <c r="N93" s="78">
        <v>460116</v>
      </c>
      <c r="O93" s="78">
        <v>460116</v>
      </c>
      <c r="P93" s="78">
        <v>460116</v>
      </c>
      <c r="Q93" s="78">
        <f t="shared" si="1"/>
        <v>5521392</v>
      </c>
    </row>
    <row r="94" spans="1:17" x14ac:dyDescent="0.3">
      <c r="A94" s="177" t="s">
        <v>162</v>
      </c>
      <c r="B94" s="177" t="s">
        <v>1752</v>
      </c>
      <c r="C94" s="78" t="s">
        <v>1753</v>
      </c>
      <c r="D94" s="78">
        <v>0</v>
      </c>
      <c r="E94" s="78">
        <v>0</v>
      </c>
      <c r="F94" s="78">
        <v>0</v>
      </c>
      <c r="G94" s="78">
        <v>1063144.1200000001</v>
      </c>
      <c r="H94" s="78">
        <v>1045425.0513333</v>
      </c>
      <c r="I94" s="78">
        <v>1027705.9826667</v>
      </c>
      <c r="J94" s="78">
        <v>1009986.914</v>
      </c>
      <c r="K94" s="78">
        <v>992267.84533329995</v>
      </c>
      <c r="L94" s="78">
        <v>974548.77666670003</v>
      </c>
      <c r="M94" s="78">
        <v>956829.70799999998</v>
      </c>
      <c r="N94" s="78">
        <v>939110.63933329994</v>
      </c>
      <c r="O94" s="78">
        <v>921391.57066670002</v>
      </c>
      <c r="P94" s="78">
        <v>903672.50199999998</v>
      </c>
      <c r="Q94" s="78">
        <f t="shared" si="1"/>
        <v>9834083.1099999994</v>
      </c>
    </row>
    <row r="95" spans="1:17" x14ac:dyDescent="0.3">
      <c r="A95" s="177" t="s">
        <v>162</v>
      </c>
      <c r="B95" s="177" t="s">
        <v>1754</v>
      </c>
      <c r="C95" s="78" t="s">
        <v>1755</v>
      </c>
      <c r="D95" s="78">
        <v>10384732.960000001</v>
      </c>
      <c r="E95" s="78">
        <v>9563706.8100000005</v>
      </c>
      <c r="F95" s="78">
        <v>8742680.6600000001</v>
      </c>
      <c r="G95" s="78">
        <v>7921654.5099999998</v>
      </c>
      <c r="H95" s="78">
        <v>7100628.3600000003</v>
      </c>
      <c r="I95" s="78">
        <v>6279602.21</v>
      </c>
      <c r="J95" s="78">
        <v>5458576.0599999996</v>
      </c>
      <c r="K95" s="78">
        <v>4637549.91</v>
      </c>
      <c r="L95" s="78">
        <v>3816523.76</v>
      </c>
      <c r="M95" s="78">
        <v>2995497.61</v>
      </c>
      <c r="N95" s="78">
        <v>2174471.46</v>
      </c>
      <c r="O95" s="78">
        <v>1353445.31</v>
      </c>
      <c r="P95" s="78">
        <v>532419.16</v>
      </c>
      <c r="Q95" s="78">
        <f t="shared" si="1"/>
        <v>60576755.819999993</v>
      </c>
    </row>
    <row r="96" spans="1:17" x14ac:dyDescent="0.3">
      <c r="A96" s="177" t="s">
        <v>162</v>
      </c>
      <c r="B96" s="177" t="s">
        <v>1756</v>
      </c>
      <c r="C96" s="78" t="s">
        <v>1757</v>
      </c>
      <c r="D96" s="78">
        <v>6950634.3300000001</v>
      </c>
      <c r="E96" s="78">
        <v>4952293.2633333001</v>
      </c>
      <c r="F96" s="78">
        <v>3136860.4966667001</v>
      </c>
      <c r="G96" s="78">
        <v>1417568.69</v>
      </c>
      <c r="H96" s="78">
        <v>420449.53666669998</v>
      </c>
      <c r="I96" s="78">
        <v>0</v>
      </c>
      <c r="J96" s="78">
        <v>0</v>
      </c>
      <c r="K96" s="78">
        <v>0</v>
      </c>
      <c r="L96" s="78">
        <v>0</v>
      </c>
      <c r="M96" s="78">
        <v>0</v>
      </c>
      <c r="N96" s="78">
        <v>0</v>
      </c>
      <c r="O96" s="78">
        <v>0</v>
      </c>
      <c r="P96" s="78">
        <v>0</v>
      </c>
      <c r="Q96" s="78">
        <f t="shared" si="1"/>
        <v>9927171.9866666999</v>
      </c>
    </row>
    <row r="97" spans="1:17" x14ac:dyDescent="0.3">
      <c r="A97" s="177" t="s">
        <v>162</v>
      </c>
      <c r="B97" s="177" t="s">
        <v>1758</v>
      </c>
      <c r="C97" s="78" t="s">
        <v>1759</v>
      </c>
      <c r="D97" s="78">
        <v>236366507</v>
      </c>
      <c r="E97" s="78">
        <v>236366507</v>
      </c>
      <c r="F97" s="78">
        <v>236366507</v>
      </c>
      <c r="G97" s="78">
        <v>236366507</v>
      </c>
      <c r="H97" s="78">
        <v>236366507</v>
      </c>
      <c r="I97" s="78">
        <v>236366507</v>
      </c>
      <c r="J97" s="78">
        <v>236366507</v>
      </c>
      <c r="K97" s="78">
        <v>236366507</v>
      </c>
      <c r="L97" s="78">
        <v>236366507</v>
      </c>
      <c r="M97" s="78">
        <v>236366507</v>
      </c>
      <c r="N97" s="78">
        <v>236366507</v>
      </c>
      <c r="O97" s="78">
        <v>236366507</v>
      </c>
      <c r="P97" s="78">
        <v>236366507</v>
      </c>
      <c r="Q97" s="78">
        <f t="shared" si="1"/>
        <v>2836398084</v>
      </c>
    </row>
    <row r="98" spans="1:17" x14ac:dyDescent="0.3">
      <c r="A98" s="177" t="s">
        <v>162</v>
      </c>
      <c r="B98" s="177" t="s">
        <v>1760</v>
      </c>
      <c r="C98" s="78" t="s">
        <v>1761</v>
      </c>
      <c r="D98" s="78">
        <v>-103257.22</v>
      </c>
      <c r="E98" s="78">
        <v>-41134.57</v>
      </c>
      <c r="F98" s="78">
        <v>-41134.57</v>
      </c>
      <c r="G98" s="78">
        <v>-41134.57</v>
      </c>
      <c r="H98" s="78">
        <v>-41134.57</v>
      </c>
      <c r="I98" s="78">
        <v>-41134.57</v>
      </c>
      <c r="J98" s="78">
        <v>-41134.57</v>
      </c>
      <c r="K98" s="78">
        <v>-41134.57</v>
      </c>
      <c r="L98" s="78">
        <v>-41134.57</v>
      </c>
      <c r="M98" s="78">
        <v>-41134.57</v>
      </c>
      <c r="N98" s="78">
        <v>-41134.57</v>
      </c>
      <c r="O98" s="78">
        <v>-41134.57</v>
      </c>
      <c r="P98" s="78">
        <v>-41134.57</v>
      </c>
      <c r="Q98" s="78">
        <f t="shared" si="1"/>
        <v>-493614.84</v>
      </c>
    </row>
    <row r="99" spans="1:17" x14ac:dyDescent="0.3">
      <c r="A99" s="177" t="s">
        <v>162</v>
      </c>
      <c r="B99" s="177" t="s">
        <v>1762</v>
      </c>
      <c r="C99" s="78" t="s">
        <v>1763</v>
      </c>
      <c r="D99" s="78">
        <v>460116</v>
      </c>
      <c r="E99" s="78">
        <v>421773</v>
      </c>
      <c r="F99" s="78">
        <v>383430</v>
      </c>
      <c r="G99" s="78">
        <v>345087</v>
      </c>
      <c r="H99" s="78">
        <v>306744</v>
      </c>
      <c r="I99" s="78">
        <v>268401</v>
      </c>
      <c r="J99" s="78">
        <v>230058</v>
      </c>
      <c r="K99" s="78">
        <v>191715</v>
      </c>
      <c r="L99" s="78">
        <v>153372</v>
      </c>
      <c r="M99" s="78">
        <v>115029</v>
      </c>
      <c r="N99" s="78">
        <v>76686</v>
      </c>
      <c r="O99" s="78">
        <v>38343</v>
      </c>
      <c r="P99" s="78">
        <v>0</v>
      </c>
      <c r="Q99" s="78">
        <f t="shared" si="1"/>
        <v>2530638</v>
      </c>
    </row>
    <row r="100" spans="1:17" x14ac:dyDescent="0.3">
      <c r="A100" s="177" t="s">
        <v>162</v>
      </c>
      <c r="B100" s="177" t="s">
        <v>1764</v>
      </c>
      <c r="C100" s="78" t="s">
        <v>1765</v>
      </c>
      <c r="D100" s="78">
        <v>11540127.74</v>
      </c>
      <c r="E100" s="78">
        <v>11731522.32</v>
      </c>
      <c r="F100" s="78">
        <v>11923474.970000001</v>
      </c>
      <c r="G100" s="78">
        <v>12115988.01</v>
      </c>
      <c r="H100" s="78">
        <v>12309063.789999999</v>
      </c>
      <c r="I100" s="78">
        <v>12502704.640000001</v>
      </c>
      <c r="J100" s="78">
        <v>12696912.92</v>
      </c>
      <c r="K100" s="78">
        <v>12891691</v>
      </c>
      <c r="L100" s="78">
        <v>13087041.24</v>
      </c>
      <c r="M100" s="78">
        <v>13282966.039999999</v>
      </c>
      <c r="N100" s="78">
        <v>13479467.779999999</v>
      </c>
      <c r="O100" s="78">
        <v>13676548.869999999</v>
      </c>
      <c r="P100" s="78">
        <v>13874211.73</v>
      </c>
      <c r="Q100" s="78">
        <f t="shared" si="1"/>
        <v>153571593.30999997</v>
      </c>
    </row>
    <row r="101" spans="1:17" x14ac:dyDescent="0.3">
      <c r="A101" s="177" t="s">
        <v>162</v>
      </c>
      <c r="B101" s="177" t="s">
        <v>1766</v>
      </c>
      <c r="C101" s="78" t="s">
        <v>1767</v>
      </c>
      <c r="D101" s="78">
        <v>3122689</v>
      </c>
      <c r="E101" s="78">
        <v>488002.35</v>
      </c>
      <c r="F101" s="78">
        <v>443638.5</v>
      </c>
      <c r="G101" s="78">
        <v>399274.65</v>
      </c>
      <c r="H101" s="78">
        <v>354910.8</v>
      </c>
      <c r="I101" s="78">
        <v>310546.95</v>
      </c>
      <c r="J101" s="78">
        <v>266183.09999999998</v>
      </c>
      <c r="K101" s="78">
        <v>391819.25</v>
      </c>
      <c r="L101" s="78">
        <v>757455.4</v>
      </c>
      <c r="M101" s="78">
        <v>1123091.55</v>
      </c>
      <c r="N101" s="78">
        <v>1488727.7</v>
      </c>
      <c r="O101" s="78">
        <v>1854363.85</v>
      </c>
      <c r="P101" s="78">
        <v>2200000</v>
      </c>
      <c r="Q101" s="78">
        <f t="shared" si="1"/>
        <v>10078014.1</v>
      </c>
    </row>
    <row r="102" spans="1:17" x14ac:dyDescent="0.3">
      <c r="A102" s="177" t="s">
        <v>162</v>
      </c>
      <c r="B102" s="177" t="s">
        <v>1768</v>
      </c>
      <c r="C102" s="78" t="s">
        <v>1769</v>
      </c>
      <c r="D102" s="78">
        <v>1658257.35</v>
      </c>
      <c r="E102" s="78">
        <v>1667387</v>
      </c>
      <c r="F102" s="78">
        <v>1676911</v>
      </c>
      <c r="G102" s="78">
        <v>1686366</v>
      </c>
      <c r="H102" s="78">
        <v>1695786</v>
      </c>
      <c r="I102" s="78">
        <v>1704979</v>
      </c>
      <c r="J102" s="78">
        <v>1713575</v>
      </c>
      <c r="K102" s="78">
        <v>1722330</v>
      </c>
      <c r="L102" s="78">
        <v>1731465</v>
      </c>
      <c r="M102" s="78">
        <v>1740556</v>
      </c>
      <c r="N102" s="78">
        <v>1750368</v>
      </c>
      <c r="O102" s="78">
        <v>1760853</v>
      </c>
      <c r="P102" s="78">
        <v>1771915</v>
      </c>
      <c r="Q102" s="78">
        <f t="shared" si="1"/>
        <v>20622491</v>
      </c>
    </row>
    <row r="103" spans="1:17" x14ac:dyDescent="0.3">
      <c r="A103" s="177" t="s">
        <v>162</v>
      </c>
      <c r="B103" s="177" t="s">
        <v>1770</v>
      </c>
      <c r="C103" s="78" t="s">
        <v>1771</v>
      </c>
      <c r="D103" s="78">
        <v>2206.37</v>
      </c>
      <c r="E103" s="78">
        <v>1872</v>
      </c>
      <c r="F103" s="78">
        <v>1533</v>
      </c>
      <c r="G103" s="78">
        <v>1194</v>
      </c>
      <c r="H103" s="78">
        <v>855</v>
      </c>
      <c r="I103" s="78">
        <v>516</v>
      </c>
      <c r="J103" s="78">
        <v>177</v>
      </c>
      <c r="K103" s="78">
        <v>0</v>
      </c>
      <c r="L103" s="78">
        <v>0</v>
      </c>
      <c r="M103" s="78">
        <v>0</v>
      </c>
      <c r="N103" s="78">
        <v>0</v>
      </c>
      <c r="O103" s="78">
        <v>0</v>
      </c>
      <c r="P103" s="78">
        <v>0</v>
      </c>
      <c r="Q103" s="78">
        <f t="shared" si="1"/>
        <v>6147</v>
      </c>
    </row>
    <row r="104" spans="1:17" x14ac:dyDescent="0.3">
      <c r="A104" s="177" t="s">
        <v>162</v>
      </c>
      <c r="B104" s="177" t="s">
        <v>1772</v>
      </c>
      <c r="C104" s="78" t="s">
        <v>1773</v>
      </c>
      <c r="D104" s="78">
        <v>438852.18</v>
      </c>
      <c r="E104" s="78">
        <v>540016</v>
      </c>
      <c r="F104" s="78">
        <v>639346</v>
      </c>
      <c r="G104" s="78">
        <v>736843</v>
      </c>
      <c r="H104" s="78">
        <v>832507</v>
      </c>
      <c r="I104" s="78">
        <v>926337</v>
      </c>
      <c r="J104" s="78">
        <v>1018334</v>
      </c>
      <c r="K104" s="78">
        <v>1108498</v>
      </c>
      <c r="L104" s="78">
        <v>1196828</v>
      </c>
      <c r="M104" s="78">
        <v>1283325</v>
      </c>
      <c r="N104" s="78">
        <v>1367989</v>
      </c>
      <c r="O104" s="78">
        <v>1450819</v>
      </c>
      <c r="P104" s="78">
        <v>1531816</v>
      </c>
      <c r="Q104" s="78">
        <f t="shared" si="1"/>
        <v>12632658</v>
      </c>
    </row>
    <row r="105" spans="1:17" x14ac:dyDescent="0.3">
      <c r="A105" s="177" t="s">
        <v>162</v>
      </c>
      <c r="B105" s="177" t="s">
        <v>1774</v>
      </c>
      <c r="C105" s="78" t="s">
        <v>1775</v>
      </c>
      <c r="D105" s="78">
        <v>111138803.81</v>
      </c>
      <c r="E105" s="78">
        <v>111306456.08</v>
      </c>
      <c r="F105" s="78">
        <v>111564417.08</v>
      </c>
      <c r="G105" s="78">
        <v>111828622.08</v>
      </c>
      <c r="H105" s="78">
        <v>112156332.08</v>
      </c>
      <c r="I105" s="78">
        <v>112531404.08</v>
      </c>
      <c r="J105" s="78">
        <v>112979008.08</v>
      </c>
      <c r="K105" s="78">
        <v>113520632.08</v>
      </c>
      <c r="L105" s="78">
        <v>114134450.08</v>
      </c>
      <c r="M105" s="78">
        <v>115732968.08</v>
      </c>
      <c r="N105" s="78">
        <v>116449463.08</v>
      </c>
      <c r="O105" s="78">
        <v>117239733.08</v>
      </c>
      <c r="P105" s="78">
        <v>117987584.08</v>
      </c>
      <c r="Q105" s="78">
        <f t="shared" si="1"/>
        <v>1367431069.96</v>
      </c>
    </row>
    <row r="106" spans="1:17" x14ac:dyDescent="0.3">
      <c r="A106" s="177" t="s">
        <v>162</v>
      </c>
      <c r="B106" s="177" t="s">
        <v>1776</v>
      </c>
      <c r="C106" s="78" t="s">
        <v>1777</v>
      </c>
      <c r="D106" s="78">
        <v>1184079.19</v>
      </c>
      <c r="E106" s="78">
        <v>1161838.5900000001</v>
      </c>
      <c r="F106" s="78">
        <v>1139597.5900000001</v>
      </c>
      <c r="G106" s="78">
        <v>1117356.5900000001</v>
      </c>
      <c r="H106" s="78">
        <v>1095115.5900000001</v>
      </c>
      <c r="I106" s="78">
        <v>1072874.5900000001</v>
      </c>
      <c r="J106" s="78">
        <v>1050633.5900000001</v>
      </c>
      <c r="K106" s="78">
        <v>1028392.59</v>
      </c>
      <c r="L106" s="78">
        <v>1006151.59</v>
      </c>
      <c r="M106" s="78">
        <v>983910.59</v>
      </c>
      <c r="N106" s="78">
        <v>961669.59</v>
      </c>
      <c r="O106" s="78">
        <v>961669.59</v>
      </c>
      <c r="P106" s="78">
        <v>961669.59</v>
      </c>
      <c r="Q106" s="78">
        <f t="shared" si="1"/>
        <v>12540880.08</v>
      </c>
    </row>
    <row r="107" spans="1:17" x14ac:dyDescent="0.3">
      <c r="A107" s="177" t="s">
        <v>162</v>
      </c>
      <c r="B107" s="177" t="s">
        <v>1778</v>
      </c>
      <c r="C107" s="78" t="s">
        <v>293</v>
      </c>
      <c r="D107" s="78">
        <v>10078821.82</v>
      </c>
      <c r="E107" s="78">
        <v>11176821.550000001</v>
      </c>
      <c r="F107" s="78">
        <v>12283821.550000001</v>
      </c>
      <c r="G107" s="78">
        <v>13665821.550000001</v>
      </c>
      <c r="H107" s="78">
        <v>14648821.550000001</v>
      </c>
      <c r="I107" s="78">
        <v>15664821.550000001</v>
      </c>
      <c r="J107" s="78">
        <v>16519821.550000001</v>
      </c>
      <c r="K107" s="78">
        <v>16971821.550000001</v>
      </c>
      <c r="L107" s="78">
        <v>17607821.550000001</v>
      </c>
      <c r="M107" s="78">
        <v>17908821.550000001</v>
      </c>
      <c r="N107" s="78">
        <v>18200821.550000001</v>
      </c>
      <c r="O107" s="78">
        <v>18685821.550000001</v>
      </c>
      <c r="P107" s="78">
        <v>14320821.550000001</v>
      </c>
      <c r="Q107" s="78">
        <f t="shared" si="1"/>
        <v>187655858.60000002</v>
      </c>
    </row>
    <row r="108" spans="1:17" x14ac:dyDescent="0.3">
      <c r="A108" s="177" t="s">
        <v>162</v>
      </c>
      <c r="B108" s="177" t="s">
        <v>1779</v>
      </c>
      <c r="C108" s="78" t="s">
        <v>1780</v>
      </c>
      <c r="D108" s="78">
        <v>76622.31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f t="shared" si="1"/>
        <v>0</v>
      </c>
    </row>
    <row r="109" spans="1:17" x14ac:dyDescent="0.3">
      <c r="A109" s="177" t="s">
        <v>162</v>
      </c>
      <c r="B109" s="177" t="s">
        <v>1781</v>
      </c>
      <c r="C109" s="78" t="s">
        <v>1782</v>
      </c>
      <c r="D109" s="78">
        <v>1789470.11</v>
      </c>
      <c r="E109" s="78">
        <v>1893000</v>
      </c>
      <c r="F109" s="78">
        <v>1893000</v>
      </c>
      <c r="G109" s="78">
        <v>1833000</v>
      </c>
      <c r="H109" s="78">
        <v>1833000</v>
      </c>
      <c r="I109" s="78">
        <v>1833000</v>
      </c>
      <c r="J109" s="78">
        <v>1773000</v>
      </c>
      <c r="K109" s="78">
        <v>1773000</v>
      </c>
      <c r="L109" s="78">
        <v>1773000</v>
      </c>
      <c r="M109" s="78">
        <v>1713000</v>
      </c>
      <c r="N109" s="78">
        <v>1713000</v>
      </c>
      <c r="O109" s="78">
        <v>1713000</v>
      </c>
      <c r="P109" s="78">
        <v>1653000</v>
      </c>
      <c r="Q109" s="78">
        <f t="shared" si="1"/>
        <v>21396000</v>
      </c>
    </row>
    <row r="110" spans="1:17" x14ac:dyDescent="0.3">
      <c r="A110" s="177" t="s">
        <v>162</v>
      </c>
      <c r="B110" s="177" t="s">
        <v>1783</v>
      </c>
      <c r="C110" s="78" t="s">
        <v>1784</v>
      </c>
      <c r="D110" s="78">
        <v>7011810.8399999999</v>
      </c>
      <c r="E110" s="78">
        <v>6243913.5733332997</v>
      </c>
      <c r="F110" s="78">
        <v>7664054.3866667002</v>
      </c>
      <c r="G110" s="78">
        <v>6518097.3700000001</v>
      </c>
      <c r="H110" s="78">
        <v>6472272.4833332999</v>
      </c>
      <c r="I110" s="78">
        <v>6312167.6991667002</v>
      </c>
      <c r="J110" s="78">
        <v>6807582.835</v>
      </c>
      <c r="K110" s="78">
        <v>9066521.0408333</v>
      </c>
      <c r="L110" s="78">
        <v>9593579.0766666997</v>
      </c>
      <c r="M110" s="78">
        <v>9505208.5625</v>
      </c>
      <c r="N110" s="78">
        <v>5803328.5650000004</v>
      </c>
      <c r="O110" s="78">
        <v>5804581.2874999996</v>
      </c>
      <c r="P110" s="78">
        <v>4092292.66</v>
      </c>
      <c r="Q110" s="78">
        <f t="shared" si="1"/>
        <v>83883599.539999992</v>
      </c>
    </row>
    <row r="111" spans="1:17" x14ac:dyDescent="0.3">
      <c r="A111" s="177" t="s">
        <v>162</v>
      </c>
      <c r="B111" s="177" t="s">
        <v>1785</v>
      </c>
      <c r="C111" s="78" t="s">
        <v>1786</v>
      </c>
      <c r="D111" s="78">
        <v>382158.84</v>
      </c>
      <c r="E111" s="78">
        <v>382158.84</v>
      </c>
      <c r="F111" s="78">
        <v>382158.84</v>
      </c>
      <c r="G111" s="78">
        <v>382158.84</v>
      </c>
      <c r="H111" s="78">
        <v>382158.84</v>
      </c>
      <c r="I111" s="78">
        <v>382158.84</v>
      </c>
      <c r="J111" s="78">
        <v>382158.84</v>
      </c>
      <c r="K111" s="78">
        <v>382158.84</v>
      </c>
      <c r="L111" s="78">
        <v>382158.84</v>
      </c>
      <c r="M111" s="78">
        <v>376739.57</v>
      </c>
      <c r="N111" s="78">
        <v>371320.3</v>
      </c>
      <c r="O111" s="78">
        <v>365901.03</v>
      </c>
      <c r="P111" s="78">
        <v>360481.76</v>
      </c>
      <c r="Q111" s="78">
        <f t="shared" si="1"/>
        <v>4531713.379999999</v>
      </c>
    </row>
    <row r="112" spans="1:17" x14ac:dyDescent="0.3">
      <c r="A112" s="177" t="s">
        <v>162</v>
      </c>
      <c r="B112" s="177" t="s">
        <v>1787</v>
      </c>
      <c r="C112" s="78" t="s">
        <v>309</v>
      </c>
      <c r="D112" s="78">
        <v>2534873.92</v>
      </c>
      <c r="E112" s="78">
        <v>2503027.35</v>
      </c>
      <c r="F112" s="78">
        <v>2471180.7799999998</v>
      </c>
      <c r="G112" s="78">
        <v>2439334.21</v>
      </c>
      <c r="H112" s="78">
        <v>2407487.64</v>
      </c>
      <c r="I112" s="78">
        <v>2375641.0699999998</v>
      </c>
      <c r="J112" s="78">
        <v>2343794.5</v>
      </c>
      <c r="K112" s="78">
        <v>2311947.9300000002</v>
      </c>
      <c r="L112" s="78">
        <v>2280101.36</v>
      </c>
      <c r="M112" s="78">
        <v>2253674.06</v>
      </c>
      <c r="N112" s="78">
        <v>2227246.7599999998</v>
      </c>
      <c r="O112" s="78">
        <v>2200819.46</v>
      </c>
      <c r="P112" s="78">
        <v>2174392.16</v>
      </c>
      <c r="Q112" s="78">
        <f t="shared" si="1"/>
        <v>27988647.279999997</v>
      </c>
    </row>
    <row r="113" spans="1:17" x14ac:dyDescent="0.3">
      <c r="A113" s="177" t="s">
        <v>162</v>
      </c>
      <c r="B113" s="177" t="s">
        <v>1788</v>
      </c>
      <c r="C113" s="78" t="s">
        <v>1789</v>
      </c>
      <c r="D113" s="78">
        <v>92489258.269999996</v>
      </c>
      <c r="E113" s="78">
        <v>95380153.009999901</v>
      </c>
      <c r="F113" s="78">
        <v>96040153.009999901</v>
      </c>
      <c r="G113" s="78">
        <v>96694857.009999901</v>
      </c>
      <c r="H113" s="78">
        <v>97385830.009999901</v>
      </c>
      <c r="I113" s="78">
        <v>98313880.009999901</v>
      </c>
      <c r="J113" s="78">
        <v>98854206.009999901</v>
      </c>
      <c r="K113" s="78">
        <v>99963594.009999901</v>
      </c>
      <c r="L113" s="78">
        <v>101060159.01000001</v>
      </c>
      <c r="M113" s="78">
        <v>102091641.01000001</v>
      </c>
      <c r="N113" s="78">
        <v>103135258.01000001</v>
      </c>
      <c r="O113" s="78">
        <v>104066357.01000001</v>
      </c>
      <c r="P113" s="78">
        <v>104855044.01000001</v>
      </c>
      <c r="Q113" s="78">
        <f t="shared" si="1"/>
        <v>1197841132.1199992</v>
      </c>
    </row>
    <row r="114" spans="1:17" x14ac:dyDescent="0.3">
      <c r="A114" s="177" t="s">
        <v>162</v>
      </c>
      <c r="B114" s="177" t="s">
        <v>1790</v>
      </c>
      <c r="C114" s="78" t="s">
        <v>1791</v>
      </c>
      <c r="D114" s="78">
        <v>110743462.36</v>
      </c>
      <c r="E114" s="78">
        <v>110743462.34</v>
      </c>
      <c r="F114" s="78">
        <v>110743462.34</v>
      </c>
      <c r="G114" s="78">
        <v>110743462.34</v>
      </c>
      <c r="H114" s="78">
        <v>110743462.34</v>
      </c>
      <c r="I114" s="78">
        <v>110743462.34</v>
      </c>
      <c r="J114" s="78">
        <v>110743462.34</v>
      </c>
      <c r="K114" s="78">
        <v>110743462.34</v>
      </c>
      <c r="L114" s="78">
        <v>110743462.34</v>
      </c>
      <c r="M114" s="78">
        <v>110743462.34</v>
      </c>
      <c r="N114" s="78">
        <v>110743462.34</v>
      </c>
      <c r="O114" s="78">
        <v>110743462.34</v>
      </c>
      <c r="P114" s="78">
        <v>110743462.34</v>
      </c>
      <c r="Q114" s="78">
        <f t="shared" si="1"/>
        <v>1328921548.0799999</v>
      </c>
    </row>
    <row r="115" spans="1:17" x14ac:dyDescent="0.3">
      <c r="A115" s="177" t="s">
        <v>162</v>
      </c>
      <c r="B115" s="177" t="s">
        <v>1792</v>
      </c>
      <c r="C115" s="78" t="s">
        <v>1793</v>
      </c>
      <c r="D115" s="78">
        <v>-18801.22</v>
      </c>
      <c r="E115" s="78">
        <v>-18808.509999999998</v>
      </c>
      <c r="F115" s="78">
        <v>-18808.509999999998</v>
      </c>
      <c r="G115" s="78">
        <v>-18808.509999999998</v>
      </c>
      <c r="H115" s="78">
        <v>-18808.509999999998</v>
      </c>
      <c r="I115" s="78">
        <v>-18808.509999999998</v>
      </c>
      <c r="J115" s="78">
        <v>-18808.509999999998</v>
      </c>
      <c r="K115" s="78">
        <v>-18808.509999999998</v>
      </c>
      <c r="L115" s="78">
        <v>-18808.509999999998</v>
      </c>
      <c r="M115" s="78">
        <v>-18808.509999999998</v>
      </c>
      <c r="N115" s="78">
        <v>-18808.509999999998</v>
      </c>
      <c r="O115" s="78">
        <v>-18808.509999999998</v>
      </c>
      <c r="P115" s="78">
        <v>-18808.509999999998</v>
      </c>
      <c r="Q115" s="78">
        <f t="shared" si="1"/>
        <v>-225702.12000000002</v>
      </c>
    </row>
    <row r="116" spans="1:17" x14ac:dyDescent="0.3">
      <c r="A116" s="177" t="s">
        <v>162</v>
      </c>
      <c r="B116" s="177" t="s">
        <v>1794</v>
      </c>
      <c r="C116" s="78" t="s">
        <v>1795</v>
      </c>
      <c r="D116" s="78">
        <v>1926507.62</v>
      </c>
      <c r="E116" s="78">
        <v>1926508.04</v>
      </c>
      <c r="F116" s="78">
        <v>1926508.04</v>
      </c>
      <c r="G116" s="78">
        <v>1926508.04</v>
      </c>
      <c r="H116" s="78">
        <v>1926508.04</v>
      </c>
      <c r="I116" s="78">
        <v>1926508.04</v>
      </c>
      <c r="J116" s="78">
        <v>1926508.04</v>
      </c>
      <c r="K116" s="78">
        <v>1926508.04</v>
      </c>
      <c r="L116" s="78">
        <v>1926508.04</v>
      </c>
      <c r="M116" s="78">
        <v>1926508.04</v>
      </c>
      <c r="N116" s="78">
        <v>1926508.04</v>
      </c>
      <c r="O116" s="78">
        <v>1926508.04</v>
      </c>
      <c r="P116" s="78">
        <v>1926508.04</v>
      </c>
      <c r="Q116" s="78">
        <f t="shared" si="1"/>
        <v>23118096.479999993</v>
      </c>
    </row>
    <row r="117" spans="1:17" x14ac:dyDescent="0.3">
      <c r="A117" s="177" t="s">
        <v>162</v>
      </c>
      <c r="B117" s="177" t="s">
        <v>1796</v>
      </c>
      <c r="C117" s="78" t="s">
        <v>1797</v>
      </c>
      <c r="D117" s="78">
        <v>1117834.75</v>
      </c>
      <c r="E117" s="78">
        <v>1115664.8500000001</v>
      </c>
      <c r="F117" s="78">
        <v>1113497.8500000001</v>
      </c>
      <c r="G117" s="78">
        <v>1111330.8500000001</v>
      </c>
      <c r="H117" s="78">
        <v>1109163.8500000001</v>
      </c>
      <c r="I117" s="78">
        <v>1106996.8500000001</v>
      </c>
      <c r="J117" s="78">
        <v>1104829.8500000001</v>
      </c>
      <c r="K117" s="78">
        <v>1102662.8500000001</v>
      </c>
      <c r="L117" s="78">
        <v>1100495.8500000001</v>
      </c>
      <c r="M117" s="78">
        <v>1098328.8500000001</v>
      </c>
      <c r="N117" s="78">
        <v>1096161.8500000001</v>
      </c>
      <c r="O117" s="78">
        <v>1093994.8500000001</v>
      </c>
      <c r="P117" s="78">
        <v>1091827.8500000001</v>
      </c>
      <c r="Q117" s="78">
        <f t="shared" si="1"/>
        <v>13244956.199999997</v>
      </c>
    </row>
    <row r="118" spans="1:17" x14ac:dyDescent="0.3">
      <c r="A118" s="177" t="s">
        <v>162</v>
      </c>
      <c r="B118" s="177" t="s">
        <v>1798</v>
      </c>
      <c r="C118" s="78" t="s">
        <v>1799</v>
      </c>
      <c r="D118" s="78">
        <v>79139921.349999994</v>
      </c>
      <c r="E118" s="78">
        <v>79139928.760000005</v>
      </c>
      <c r="F118" s="78">
        <v>79139928.760000005</v>
      </c>
      <c r="G118" s="78">
        <v>79139928.760000005</v>
      </c>
      <c r="H118" s="78">
        <v>79139928.760000005</v>
      </c>
      <c r="I118" s="78">
        <v>79139928.760000005</v>
      </c>
      <c r="J118" s="78">
        <v>79139928.760000005</v>
      </c>
      <c r="K118" s="78">
        <v>79139928.760000005</v>
      </c>
      <c r="L118" s="78">
        <v>79139928.760000005</v>
      </c>
      <c r="M118" s="78">
        <v>79139928.760000005</v>
      </c>
      <c r="N118" s="78">
        <v>79139928.760000005</v>
      </c>
      <c r="O118" s="78">
        <v>79139928.760000005</v>
      </c>
      <c r="P118" s="78">
        <v>79139928.760000005</v>
      </c>
      <c r="Q118" s="78">
        <f t="shared" si="1"/>
        <v>949679145.12</v>
      </c>
    </row>
    <row r="119" spans="1:17" x14ac:dyDescent="0.3">
      <c r="A119" s="177" t="s">
        <v>162</v>
      </c>
      <c r="B119" s="177" t="s">
        <v>1800</v>
      </c>
      <c r="C119" s="78" t="s">
        <v>1801</v>
      </c>
      <c r="D119" s="78">
        <v>292705751.70999998</v>
      </c>
      <c r="E119" s="78">
        <v>292705751.70999998</v>
      </c>
      <c r="F119" s="78">
        <v>292980206.70999998</v>
      </c>
      <c r="G119" s="78">
        <v>293441319.70999998</v>
      </c>
      <c r="H119" s="78">
        <v>293441319.70999998</v>
      </c>
      <c r="I119" s="78">
        <v>293441319.70999998</v>
      </c>
      <c r="J119" s="78">
        <v>293902432.70999998</v>
      </c>
      <c r="K119" s="78">
        <v>293902432.70999998</v>
      </c>
      <c r="L119" s="78">
        <v>293902432.70999998</v>
      </c>
      <c r="M119" s="78">
        <v>299844545.70999998</v>
      </c>
      <c r="N119" s="78">
        <v>299844545.70999998</v>
      </c>
      <c r="O119" s="78">
        <v>299844545.70999998</v>
      </c>
      <c r="P119" s="78">
        <v>300305658.70999998</v>
      </c>
      <c r="Q119" s="78">
        <f t="shared" si="1"/>
        <v>3547556511.52</v>
      </c>
    </row>
    <row r="120" spans="1:17" x14ac:dyDescent="0.3">
      <c r="A120" s="177" t="s">
        <v>162</v>
      </c>
      <c r="B120" s="177" t="s">
        <v>1802</v>
      </c>
      <c r="C120" s="78" t="s">
        <v>1803</v>
      </c>
      <c r="D120" s="78">
        <v>21424135.32</v>
      </c>
      <c r="E120" s="78">
        <v>23109014.32</v>
      </c>
      <c r="F120" s="78">
        <v>25151242.32</v>
      </c>
      <c r="G120" s="78">
        <v>27442018.32</v>
      </c>
      <c r="H120" s="78">
        <v>30451547.32</v>
      </c>
      <c r="I120" s="78">
        <v>33791324.32</v>
      </c>
      <c r="J120" s="78">
        <v>36684730.32</v>
      </c>
      <c r="K120" s="78">
        <v>39436688.32</v>
      </c>
      <c r="L120" s="78">
        <v>42104860.32</v>
      </c>
      <c r="M120" s="78">
        <v>44457695.32</v>
      </c>
      <c r="N120" s="78">
        <v>46747902.32</v>
      </c>
      <c r="O120" s="78">
        <v>48506191.32</v>
      </c>
      <c r="P120" s="78">
        <v>50210370.32</v>
      </c>
      <c r="Q120" s="78">
        <f t="shared" si="1"/>
        <v>448093584.83999997</v>
      </c>
    </row>
    <row r="121" spans="1:17" x14ac:dyDescent="0.3">
      <c r="A121" s="177" t="s">
        <v>162</v>
      </c>
      <c r="B121" s="177" t="s">
        <v>1804</v>
      </c>
      <c r="C121" s="78" t="s">
        <v>1805</v>
      </c>
      <c r="D121" s="78">
        <v>20398660.960000001</v>
      </c>
      <c r="E121" s="78">
        <v>21199864.280000001</v>
      </c>
      <c r="F121" s="78">
        <v>21382783.280000001</v>
      </c>
      <c r="G121" s="78">
        <v>21564234.280000001</v>
      </c>
      <c r="H121" s="78">
        <v>21755736.280000001</v>
      </c>
      <c r="I121" s="78">
        <v>22012944.280000001</v>
      </c>
      <c r="J121" s="78">
        <v>22162695.280000001</v>
      </c>
      <c r="K121" s="78">
        <v>22470160.280000001</v>
      </c>
      <c r="L121" s="78">
        <v>22774071.280000001</v>
      </c>
      <c r="M121" s="78">
        <v>23059944.280000001</v>
      </c>
      <c r="N121" s="78">
        <v>23349180.280000001</v>
      </c>
      <c r="O121" s="78">
        <v>23607232.280000001</v>
      </c>
      <c r="P121" s="78">
        <v>23825815.280000001</v>
      </c>
      <c r="Q121" s="78">
        <f t="shared" si="1"/>
        <v>269164661.36000001</v>
      </c>
    </row>
    <row r="122" spans="1:17" x14ac:dyDescent="0.3">
      <c r="A122" s="177" t="s">
        <v>162</v>
      </c>
      <c r="B122" s="177" t="s">
        <v>1806</v>
      </c>
      <c r="C122" s="78" t="s">
        <v>1807</v>
      </c>
      <c r="D122" s="78">
        <v>16789878.219999999</v>
      </c>
      <c r="E122" s="78">
        <v>16789878.239999998</v>
      </c>
      <c r="F122" s="78">
        <v>16789878.239999998</v>
      </c>
      <c r="G122" s="78">
        <v>16789878.239999998</v>
      </c>
      <c r="H122" s="78">
        <v>16789878.239999998</v>
      </c>
      <c r="I122" s="78">
        <v>16789878.239999998</v>
      </c>
      <c r="J122" s="78">
        <v>16789878.239999998</v>
      </c>
      <c r="K122" s="78">
        <v>16789878.239999998</v>
      </c>
      <c r="L122" s="78">
        <v>16789878.239999998</v>
      </c>
      <c r="M122" s="78">
        <v>16789878.239999998</v>
      </c>
      <c r="N122" s="78">
        <v>16789878.239999998</v>
      </c>
      <c r="O122" s="78">
        <v>16789878.239999998</v>
      </c>
      <c r="P122" s="78">
        <v>16789878.239999998</v>
      </c>
      <c r="Q122" s="78">
        <f t="shared" si="1"/>
        <v>201478538.88000003</v>
      </c>
    </row>
    <row r="123" spans="1:17" x14ac:dyDescent="0.3">
      <c r="A123" s="177" t="s">
        <v>162</v>
      </c>
      <c r="B123" s="177" t="s">
        <v>1808</v>
      </c>
      <c r="C123" s="78" t="s">
        <v>1809</v>
      </c>
      <c r="D123" s="78">
        <v>-5210.78</v>
      </c>
      <c r="E123" s="78">
        <v>-5210.92</v>
      </c>
      <c r="F123" s="78">
        <v>-5210.92</v>
      </c>
      <c r="G123" s="78">
        <v>-5210.92</v>
      </c>
      <c r="H123" s="78">
        <v>-5210.92</v>
      </c>
      <c r="I123" s="78">
        <v>-5210.92</v>
      </c>
      <c r="J123" s="78">
        <v>-5210.92</v>
      </c>
      <c r="K123" s="78">
        <v>-5210.92</v>
      </c>
      <c r="L123" s="78">
        <v>-5210.92</v>
      </c>
      <c r="M123" s="78">
        <v>-5210.92</v>
      </c>
      <c r="N123" s="78">
        <v>-5210.92</v>
      </c>
      <c r="O123" s="78">
        <v>-5210.92</v>
      </c>
      <c r="P123" s="78">
        <v>-5210.92</v>
      </c>
      <c r="Q123" s="78">
        <f t="shared" si="1"/>
        <v>-62531.039999999986</v>
      </c>
    </row>
    <row r="124" spans="1:17" x14ac:dyDescent="0.3">
      <c r="A124" s="177" t="s">
        <v>162</v>
      </c>
      <c r="B124" s="177" t="s">
        <v>1810</v>
      </c>
      <c r="C124" s="78" t="s">
        <v>1811</v>
      </c>
      <c r="D124" s="78">
        <v>0.03</v>
      </c>
      <c r="E124" s="78">
        <v>0.2</v>
      </c>
      <c r="F124" s="78">
        <v>0.2</v>
      </c>
      <c r="G124" s="78">
        <v>0.2</v>
      </c>
      <c r="H124" s="78">
        <v>0.2</v>
      </c>
      <c r="I124" s="78">
        <v>0.2</v>
      </c>
      <c r="J124" s="78">
        <v>0.2</v>
      </c>
      <c r="K124" s="78">
        <v>0.2</v>
      </c>
      <c r="L124" s="78">
        <v>0.2</v>
      </c>
      <c r="M124" s="78">
        <v>0.2</v>
      </c>
      <c r="N124" s="78">
        <v>0.2</v>
      </c>
      <c r="O124" s="78">
        <v>0.2</v>
      </c>
      <c r="P124" s="78">
        <v>0.2</v>
      </c>
      <c r="Q124" s="78">
        <f t="shared" si="1"/>
        <v>2.4</v>
      </c>
    </row>
    <row r="125" spans="1:17" x14ac:dyDescent="0.3">
      <c r="A125" s="177" t="s">
        <v>162</v>
      </c>
      <c r="B125" s="177" t="s">
        <v>1812</v>
      </c>
      <c r="C125" s="78" t="s">
        <v>1813</v>
      </c>
      <c r="D125" s="78">
        <v>143296.67000000001</v>
      </c>
      <c r="E125" s="78">
        <v>142695.1299996</v>
      </c>
      <c r="F125" s="78">
        <v>142095.1299996</v>
      </c>
      <c r="G125" s="78">
        <v>141495.1299996</v>
      </c>
      <c r="H125" s="78">
        <v>140895.1299996</v>
      </c>
      <c r="I125" s="78">
        <v>140295.1299997</v>
      </c>
      <c r="J125" s="78">
        <v>139695.1299997</v>
      </c>
      <c r="K125" s="78">
        <v>139095.1299997</v>
      </c>
      <c r="L125" s="78">
        <v>138495.1299997</v>
      </c>
      <c r="M125" s="78">
        <v>137895.1299997</v>
      </c>
      <c r="N125" s="78">
        <v>137295.1299997</v>
      </c>
      <c r="O125" s="78">
        <v>136695.1299997</v>
      </c>
      <c r="P125" s="78">
        <v>136095.1299997</v>
      </c>
      <c r="Q125" s="78">
        <f t="shared" si="1"/>
        <v>1672741.559996</v>
      </c>
    </row>
    <row r="126" spans="1:17" x14ac:dyDescent="0.3">
      <c r="A126" s="177" t="s">
        <v>162</v>
      </c>
      <c r="B126" s="177" t="s">
        <v>1814</v>
      </c>
      <c r="C126" s="78" t="s">
        <v>1815</v>
      </c>
      <c r="D126" s="78">
        <v>12997895.41</v>
      </c>
      <c r="E126" s="78">
        <v>12997895.699999999</v>
      </c>
      <c r="F126" s="78">
        <v>12997895.699999999</v>
      </c>
      <c r="G126" s="78">
        <v>12997895.699999999</v>
      </c>
      <c r="H126" s="78">
        <v>12997895.699999999</v>
      </c>
      <c r="I126" s="78">
        <v>12997895.699999999</v>
      </c>
      <c r="J126" s="78">
        <v>12997895.699999999</v>
      </c>
      <c r="K126" s="78">
        <v>12997895.699999999</v>
      </c>
      <c r="L126" s="78">
        <v>12997895.699999999</v>
      </c>
      <c r="M126" s="78">
        <v>12997895.699999999</v>
      </c>
      <c r="N126" s="78">
        <v>12997895.699999999</v>
      </c>
      <c r="O126" s="78">
        <v>12997895.699999999</v>
      </c>
      <c r="P126" s="78">
        <v>12997895.699999999</v>
      </c>
      <c r="Q126" s="78">
        <f t="shared" si="1"/>
        <v>155974748.40000001</v>
      </c>
    </row>
    <row r="127" spans="1:17" x14ac:dyDescent="0.3">
      <c r="A127" s="177" t="s">
        <v>162</v>
      </c>
      <c r="B127" s="177" t="s">
        <v>1816</v>
      </c>
      <c r="C127" s="78" t="s">
        <v>1817</v>
      </c>
      <c r="D127" s="78">
        <v>-66709310.520000003</v>
      </c>
      <c r="E127" s="78">
        <v>-66519977.759999998</v>
      </c>
      <c r="F127" s="78">
        <v>-66407846.759999998</v>
      </c>
      <c r="G127" s="78">
        <v>-66218329.759999998</v>
      </c>
      <c r="H127" s="78">
        <v>-66028812.759999998</v>
      </c>
      <c r="I127" s="78">
        <v>-65839295.759999998</v>
      </c>
      <c r="J127" s="78">
        <v>-65649778.759999998</v>
      </c>
      <c r="K127" s="78">
        <v>-65460261.759999998</v>
      </c>
      <c r="L127" s="78">
        <v>-65270744.759999998</v>
      </c>
      <c r="M127" s="78">
        <v>-66622999.759999998</v>
      </c>
      <c r="N127" s="78">
        <v>-66420634.759999998</v>
      </c>
      <c r="O127" s="78">
        <v>-66218269.759999998</v>
      </c>
      <c r="P127" s="78">
        <v>-66015901.759999998</v>
      </c>
      <c r="Q127" s="78">
        <f t="shared" si="1"/>
        <v>-792672854.12</v>
      </c>
    </row>
    <row r="128" spans="1:17" x14ac:dyDescent="0.3">
      <c r="A128" s="177" t="s">
        <v>162</v>
      </c>
      <c r="B128" s="177" t="s">
        <v>1818</v>
      </c>
      <c r="C128" s="78" t="s">
        <v>315</v>
      </c>
      <c r="D128" s="78">
        <v>119696788.17</v>
      </c>
      <c r="E128" s="78">
        <v>119696800</v>
      </c>
      <c r="F128" s="78">
        <v>119696800</v>
      </c>
      <c r="G128" s="78">
        <v>119696800</v>
      </c>
      <c r="H128" s="78">
        <v>119696800</v>
      </c>
      <c r="I128" s="78">
        <v>119696800</v>
      </c>
      <c r="J128" s="78">
        <v>119696800</v>
      </c>
      <c r="K128" s="78">
        <v>119696800</v>
      </c>
      <c r="L128" s="78">
        <v>119696800</v>
      </c>
      <c r="M128" s="78">
        <v>119696800</v>
      </c>
      <c r="N128" s="78">
        <v>119696800</v>
      </c>
      <c r="O128" s="78">
        <v>119696800</v>
      </c>
      <c r="P128" s="78">
        <v>119696800</v>
      </c>
      <c r="Q128" s="78">
        <f t="shared" si="1"/>
        <v>1436361600</v>
      </c>
    </row>
    <row r="129" spans="1:17" x14ac:dyDescent="0.3">
      <c r="A129" s="177" t="s">
        <v>162</v>
      </c>
      <c r="B129" s="177" t="s">
        <v>1819</v>
      </c>
      <c r="C129" s="78" t="s">
        <v>321</v>
      </c>
      <c r="D129" s="78">
        <v>4385840249.4899998</v>
      </c>
      <c r="E129" s="78">
        <v>4385840200</v>
      </c>
      <c r="F129" s="78">
        <v>4685840200</v>
      </c>
      <c r="G129" s="78">
        <v>4685840200</v>
      </c>
      <c r="H129" s="78">
        <v>4685840200</v>
      </c>
      <c r="I129" s="78">
        <v>4880840200</v>
      </c>
      <c r="J129" s="78">
        <v>4880840200</v>
      </c>
      <c r="K129" s="78">
        <v>4880840200</v>
      </c>
      <c r="L129" s="78">
        <v>4950840200</v>
      </c>
      <c r="M129" s="78">
        <v>4950840200</v>
      </c>
      <c r="N129" s="78">
        <v>4950840200</v>
      </c>
      <c r="O129" s="78">
        <v>4985840200</v>
      </c>
      <c r="P129" s="78">
        <v>4985840200</v>
      </c>
      <c r="Q129" s="78">
        <f t="shared" si="1"/>
        <v>57910082400</v>
      </c>
    </row>
    <row r="130" spans="1:17" x14ac:dyDescent="0.3">
      <c r="A130" s="177" t="s">
        <v>162</v>
      </c>
      <c r="B130" s="177" t="s">
        <v>1820</v>
      </c>
      <c r="C130" s="78" t="s">
        <v>323</v>
      </c>
      <c r="D130" s="78">
        <v>-700920.51</v>
      </c>
      <c r="E130" s="78">
        <v>-700900</v>
      </c>
      <c r="F130" s="78">
        <v>-700900</v>
      </c>
      <c r="G130" s="78">
        <v>-700900</v>
      </c>
      <c r="H130" s="78">
        <v>-700900</v>
      </c>
      <c r="I130" s="78">
        <v>-700900</v>
      </c>
      <c r="J130" s="78">
        <v>-700900</v>
      </c>
      <c r="K130" s="78">
        <v>-700900</v>
      </c>
      <c r="L130" s="78">
        <v>-700900</v>
      </c>
      <c r="M130" s="78">
        <v>-700900</v>
      </c>
      <c r="N130" s="78">
        <v>-700900</v>
      </c>
      <c r="O130" s="78">
        <v>-700900</v>
      </c>
      <c r="P130" s="78">
        <v>-700900</v>
      </c>
      <c r="Q130" s="78">
        <f t="shared" si="1"/>
        <v>-8410800</v>
      </c>
    </row>
    <row r="131" spans="1:17" x14ac:dyDescent="0.3">
      <c r="A131" s="177" t="s">
        <v>162</v>
      </c>
      <c r="B131" s="177" t="s">
        <v>1821</v>
      </c>
      <c r="C131" s="78" t="s">
        <v>1822</v>
      </c>
      <c r="D131" s="78">
        <v>218642898.91999999</v>
      </c>
      <c r="E131" s="78">
        <v>246088187.20544299</v>
      </c>
      <c r="F131" s="78">
        <v>182452964.57003099</v>
      </c>
      <c r="G131" s="78">
        <v>199497085.121806</v>
      </c>
      <c r="H131" s="78">
        <v>229809985.85418901</v>
      </c>
      <c r="I131" s="78">
        <v>207289081.951451</v>
      </c>
      <c r="J131" s="78">
        <v>256867939.39724901</v>
      </c>
      <c r="K131" s="78">
        <v>313384967.53623599</v>
      </c>
      <c r="L131" s="78">
        <v>248261035.10493001</v>
      </c>
      <c r="M131" s="78">
        <v>303010905.93296301</v>
      </c>
      <c r="N131" s="78">
        <v>343126930.84127301</v>
      </c>
      <c r="O131" s="78">
        <v>198474812.884215</v>
      </c>
      <c r="P131" s="78">
        <v>220252162.61794201</v>
      </c>
      <c r="Q131" s="78">
        <f t="shared" si="1"/>
        <v>2948516059.0177274</v>
      </c>
    </row>
    <row r="132" spans="1:17" x14ac:dyDescent="0.3">
      <c r="A132" s="177" t="s">
        <v>162</v>
      </c>
      <c r="B132" s="177" t="s">
        <v>1823</v>
      </c>
      <c r="C132" s="78" t="s">
        <v>1824</v>
      </c>
      <c r="D132" s="78">
        <v>-1998919.6799999999</v>
      </c>
      <c r="E132" s="78">
        <v>-1988001.71</v>
      </c>
      <c r="F132" s="78">
        <v>-1977083.74</v>
      </c>
      <c r="G132" s="78">
        <v>-1966165.77</v>
      </c>
      <c r="H132" s="78">
        <v>-1955247.8</v>
      </c>
      <c r="I132" s="78">
        <v>-1944329.83</v>
      </c>
      <c r="J132" s="78">
        <v>-1933411.86</v>
      </c>
      <c r="K132" s="78">
        <v>-1922493.89</v>
      </c>
      <c r="L132" s="78">
        <v>-1911575.92</v>
      </c>
      <c r="M132" s="78">
        <v>-1900657.95</v>
      </c>
      <c r="N132" s="78">
        <v>-1889739.98</v>
      </c>
      <c r="O132" s="78">
        <v>-1878822.01</v>
      </c>
      <c r="P132" s="78">
        <v>-1867904.04</v>
      </c>
      <c r="Q132" s="78">
        <f t="shared" si="1"/>
        <v>-23135434.500000004</v>
      </c>
    </row>
    <row r="133" spans="1:17" x14ac:dyDescent="0.3">
      <c r="A133" s="177" t="s">
        <v>162</v>
      </c>
      <c r="B133" s="177" t="s">
        <v>1825</v>
      </c>
      <c r="C133" s="78" t="s">
        <v>1826</v>
      </c>
      <c r="D133" s="78">
        <v>1261131.42</v>
      </c>
      <c r="E133" s="78">
        <v>1258359.9799996</v>
      </c>
      <c r="F133" s="78">
        <v>1255592.9799996</v>
      </c>
      <c r="G133" s="78">
        <v>1252825.9799996</v>
      </c>
      <c r="H133" s="78">
        <v>1250058.9799996</v>
      </c>
      <c r="I133" s="78">
        <v>1247291.9799997001</v>
      </c>
      <c r="J133" s="78">
        <v>1244524.9799997001</v>
      </c>
      <c r="K133" s="78">
        <v>1241757.9799997001</v>
      </c>
      <c r="L133" s="78">
        <v>1238990.9799997001</v>
      </c>
      <c r="M133" s="78">
        <v>1236223.9799997001</v>
      </c>
      <c r="N133" s="78">
        <v>1233456.9799997001</v>
      </c>
      <c r="O133" s="78">
        <v>1230689.9799997001</v>
      </c>
      <c r="P133" s="78">
        <v>1227922.9799997001</v>
      </c>
      <c r="Q133" s="78">
        <f t="shared" si="1"/>
        <v>14917697.759996004</v>
      </c>
    </row>
    <row r="134" spans="1:17" x14ac:dyDescent="0.3">
      <c r="A134" s="177" t="s">
        <v>162</v>
      </c>
      <c r="B134" s="177" t="s">
        <v>1827</v>
      </c>
      <c r="C134" s="78" t="s">
        <v>1828</v>
      </c>
      <c r="D134" s="78">
        <v>300000000</v>
      </c>
      <c r="E134" s="78">
        <v>300000000</v>
      </c>
      <c r="F134" s="78">
        <v>300000000</v>
      </c>
      <c r="G134" s="78">
        <v>300000000</v>
      </c>
      <c r="H134" s="78">
        <v>300000000</v>
      </c>
      <c r="I134" s="78">
        <v>300000000</v>
      </c>
      <c r="J134" s="78">
        <v>300000000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78">
        <f t="shared" si="1"/>
        <v>1800000000</v>
      </c>
    </row>
    <row r="135" spans="1:17" x14ac:dyDescent="0.3">
      <c r="A135" s="177" t="s">
        <v>162</v>
      </c>
      <c r="B135" s="177" t="s">
        <v>1829</v>
      </c>
      <c r="C135" s="78" t="s">
        <v>1830</v>
      </c>
      <c r="D135" s="78">
        <v>3475000000</v>
      </c>
      <c r="E135" s="78">
        <v>3975000000</v>
      </c>
      <c r="F135" s="78">
        <v>3975000000</v>
      </c>
      <c r="G135" s="78">
        <v>3975000000</v>
      </c>
      <c r="H135" s="78">
        <v>3975000000</v>
      </c>
      <c r="I135" s="78">
        <v>3975000000</v>
      </c>
      <c r="J135" s="78">
        <v>3975000000</v>
      </c>
      <c r="K135" s="78">
        <v>3975000000</v>
      </c>
      <c r="L135" s="78">
        <v>3975000000</v>
      </c>
      <c r="M135" s="78">
        <v>3975000000</v>
      </c>
      <c r="N135" s="78">
        <v>3975000000</v>
      </c>
      <c r="O135" s="78">
        <v>3975000000</v>
      </c>
      <c r="P135" s="78">
        <v>3975000000</v>
      </c>
      <c r="Q135" s="78">
        <f t="shared" si="1"/>
        <v>47700000000</v>
      </c>
    </row>
    <row r="136" spans="1:17" x14ac:dyDescent="0.3">
      <c r="A136" s="177" t="s">
        <v>162</v>
      </c>
      <c r="B136" s="177" t="s">
        <v>1831</v>
      </c>
      <c r="C136" s="78" t="s">
        <v>1832</v>
      </c>
      <c r="D136" s="78">
        <v>-10645719.5</v>
      </c>
      <c r="E136" s="78">
        <v>-13593814.470000001</v>
      </c>
      <c r="F136" s="78">
        <v>-13491909.439999999</v>
      </c>
      <c r="G136" s="78">
        <v>-13390004.41</v>
      </c>
      <c r="H136" s="78">
        <v>-13288099.380000001</v>
      </c>
      <c r="I136" s="78">
        <v>-13186194.35</v>
      </c>
      <c r="J136" s="78">
        <v>-13084289.32</v>
      </c>
      <c r="K136" s="78">
        <v>-12987150.039999999</v>
      </c>
      <c r="L136" s="78">
        <v>-12890010.76</v>
      </c>
      <c r="M136" s="78">
        <v>-12792871.48</v>
      </c>
      <c r="N136" s="78">
        <v>-12695732.199999999</v>
      </c>
      <c r="O136" s="78">
        <v>-12598592.92</v>
      </c>
      <c r="P136" s="78">
        <v>-12501453.640000001</v>
      </c>
      <c r="Q136" s="78">
        <f t="shared" si="1"/>
        <v>-156500122.41000003</v>
      </c>
    </row>
    <row r="137" spans="1:17" x14ac:dyDescent="0.3">
      <c r="A137" s="177" t="s">
        <v>162</v>
      </c>
      <c r="B137" s="177" t="s">
        <v>1833</v>
      </c>
      <c r="C137" s="78" t="s">
        <v>1834</v>
      </c>
      <c r="D137" s="78">
        <v>19789402.699999999</v>
      </c>
      <c r="E137" s="78">
        <v>31115215.300780602</v>
      </c>
      <c r="F137" s="78">
        <v>31115215.300780602</v>
      </c>
      <c r="G137" s="78">
        <v>30672842.062943701</v>
      </c>
      <c r="H137" s="78">
        <v>30672842.062943701</v>
      </c>
      <c r="I137" s="78">
        <v>30672842.062943701</v>
      </c>
      <c r="J137" s="78">
        <v>30226430.478770401</v>
      </c>
      <c r="K137" s="78">
        <v>30226430.478770401</v>
      </c>
      <c r="L137" s="78">
        <v>30226430.478770401</v>
      </c>
      <c r="M137" s="78">
        <v>29773297.0682864</v>
      </c>
      <c r="N137" s="78">
        <v>29773297.0682864</v>
      </c>
      <c r="O137" s="78">
        <v>29773297.0682864</v>
      </c>
      <c r="P137" s="78">
        <v>29817991.602294501</v>
      </c>
      <c r="Q137" s="78">
        <f t="shared" si="1"/>
        <v>364066131.03385729</v>
      </c>
    </row>
    <row r="138" spans="1:17" x14ac:dyDescent="0.3">
      <c r="A138" s="177" t="s">
        <v>162</v>
      </c>
      <c r="B138" s="177" t="s">
        <v>1835</v>
      </c>
      <c r="C138" s="78" t="s">
        <v>1836</v>
      </c>
      <c r="D138" s="78">
        <v>3091181.48</v>
      </c>
      <c r="E138" s="78">
        <v>3048039.0271451999</v>
      </c>
      <c r="F138" s="78">
        <v>3004106.8736860999</v>
      </c>
      <c r="G138" s="78">
        <v>2960112.8557817</v>
      </c>
      <c r="H138" s="78">
        <v>2916056.8877651002</v>
      </c>
      <c r="I138" s="78">
        <v>2871396.2692461</v>
      </c>
      <c r="J138" s="78">
        <v>2826672.7608642001</v>
      </c>
      <c r="K138" s="78">
        <v>2781886.2751388</v>
      </c>
      <c r="L138" s="78">
        <v>2737036.7233866998</v>
      </c>
      <c r="M138" s="78">
        <v>2692124.0168017</v>
      </c>
      <c r="N138" s="78">
        <v>2647148.0664523998</v>
      </c>
      <c r="O138" s="78">
        <v>2602108.7832821999</v>
      </c>
      <c r="P138" s="78">
        <v>2557006.0781089999</v>
      </c>
      <c r="Q138" s="78">
        <f t="shared" si="1"/>
        <v>33643694.617659196</v>
      </c>
    </row>
    <row r="139" spans="1:17" x14ac:dyDescent="0.3">
      <c r="A139" s="177" t="s">
        <v>162</v>
      </c>
      <c r="B139" s="177" t="s">
        <v>1837</v>
      </c>
      <c r="C139" s="78" t="s">
        <v>347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1705238.45</v>
      </c>
      <c r="J139" s="78">
        <v>2586520.1066667</v>
      </c>
      <c r="K139" s="78">
        <v>5364979.0566667002</v>
      </c>
      <c r="L139" s="78">
        <v>8127081.8766666995</v>
      </c>
      <c r="M139" s="78">
        <v>11105409.116666701</v>
      </c>
      <c r="N139" s="78">
        <v>13702134.9166667</v>
      </c>
      <c r="O139" s="78">
        <v>15842203.4966667</v>
      </c>
      <c r="P139" s="78">
        <v>17835455.5666667</v>
      </c>
      <c r="Q139" s="78">
        <f t="shared" si="1"/>
        <v>76269022.586666897</v>
      </c>
    </row>
    <row r="140" spans="1:17" x14ac:dyDescent="0.3">
      <c r="A140" s="177" t="s">
        <v>162</v>
      </c>
      <c r="B140" s="177" t="s">
        <v>1838</v>
      </c>
      <c r="C140" s="78" t="s">
        <v>1839</v>
      </c>
      <c r="D140" s="78">
        <v>6512534</v>
      </c>
      <c r="E140" s="78">
        <v>6515297.0494641997</v>
      </c>
      <c r="F140" s="78">
        <v>6518059.2161307996</v>
      </c>
      <c r="G140" s="78">
        <v>6520821.3827975001</v>
      </c>
      <c r="H140" s="78">
        <v>6523583.5494641997</v>
      </c>
      <c r="I140" s="78">
        <v>6526345.7161307996</v>
      </c>
      <c r="J140" s="78">
        <v>6529107.8827975001</v>
      </c>
      <c r="K140" s="78">
        <v>6531870.0494641997</v>
      </c>
      <c r="L140" s="78">
        <v>6534632.2161307996</v>
      </c>
      <c r="M140" s="78">
        <v>6537394.3827975001</v>
      </c>
      <c r="N140" s="78">
        <v>6540156.5494641997</v>
      </c>
      <c r="O140" s="78">
        <v>6542918.7161307996</v>
      </c>
      <c r="P140" s="78">
        <v>6545680.8827975001</v>
      </c>
      <c r="Q140" s="78">
        <f t="shared" si="1"/>
        <v>78365867.593569979</v>
      </c>
    </row>
    <row r="141" spans="1:17" x14ac:dyDescent="0.3">
      <c r="A141" s="177" t="s">
        <v>162</v>
      </c>
      <c r="B141" s="177" t="s">
        <v>1840</v>
      </c>
      <c r="C141" s="78" t="s">
        <v>1841</v>
      </c>
      <c r="D141" s="78">
        <v>2432456</v>
      </c>
      <c r="E141" s="78">
        <v>2425763.3215779001</v>
      </c>
      <c r="F141" s="78">
        <v>2419070.6549112001</v>
      </c>
      <c r="G141" s="78">
        <v>2412377.9882446001</v>
      </c>
      <c r="H141" s="78">
        <v>2405685.3215779001</v>
      </c>
      <c r="I141" s="78">
        <v>2398992.6549112001</v>
      </c>
      <c r="J141" s="78">
        <v>2392299.9882446001</v>
      </c>
      <c r="K141" s="78">
        <v>2385607.3215779001</v>
      </c>
      <c r="L141" s="78">
        <v>2378914.6549112001</v>
      </c>
      <c r="M141" s="78">
        <v>2372221.9882446001</v>
      </c>
      <c r="N141" s="78">
        <v>2365529.3215779001</v>
      </c>
      <c r="O141" s="78">
        <v>2358836.6549112001</v>
      </c>
      <c r="P141" s="78">
        <v>2352143.9882446001</v>
      </c>
      <c r="Q141" s="78">
        <f t="shared" si="1"/>
        <v>28667443.858934805</v>
      </c>
    </row>
    <row r="142" spans="1:17" x14ac:dyDescent="0.3">
      <c r="A142" s="177" t="s">
        <v>162</v>
      </c>
      <c r="B142" s="177" t="s">
        <v>1842</v>
      </c>
      <c r="C142" s="78" t="s">
        <v>1843</v>
      </c>
      <c r="D142" s="78">
        <v>57289</v>
      </c>
      <c r="E142" s="78">
        <v>57289.24</v>
      </c>
      <c r="F142" s="78">
        <v>57289.24</v>
      </c>
      <c r="G142" s="78">
        <v>57289.24</v>
      </c>
      <c r="H142" s="78">
        <v>57289.24</v>
      </c>
      <c r="I142" s="78">
        <v>57289.24</v>
      </c>
      <c r="J142" s="78">
        <v>57289.24</v>
      </c>
      <c r="K142" s="78">
        <v>57289.24</v>
      </c>
      <c r="L142" s="78">
        <v>57289.24</v>
      </c>
      <c r="M142" s="78">
        <v>57289.24</v>
      </c>
      <c r="N142" s="78">
        <v>57289.24</v>
      </c>
      <c r="O142" s="78">
        <v>57289.24</v>
      </c>
      <c r="P142" s="78">
        <v>57289.24</v>
      </c>
      <c r="Q142" s="78">
        <f t="shared" si="1"/>
        <v>687470.88</v>
      </c>
    </row>
    <row r="143" spans="1:17" x14ac:dyDescent="0.3">
      <c r="A143" s="177" t="s">
        <v>162</v>
      </c>
      <c r="B143" s="177" t="s">
        <v>1844</v>
      </c>
      <c r="C143" s="78" t="s">
        <v>1845</v>
      </c>
      <c r="D143" s="78">
        <v>1027652</v>
      </c>
      <c r="E143" s="78">
        <v>1027652</v>
      </c>
      <c r="F143" s="78">
        <v>1027652</v>
      </c>
      <c r="G143" s="78">
        <v>1027652</v>
      </c>
      <c r="H143" s="78">
        <v>1027652</v>
      </c>
      <c r="I143" s="78">
        <v>1027652</v>
      </c>
      <c r="J143" s="78">
        <v>1027652</v>
      </c>
      <c r="K143" s="78">
        <v>1027652</v>
      </c>
      <c r="L143" s="78">
        <v>1027652</v>
      </c>
      <c r="M143" s="78">
        <v>1027652</v>
      </c>
      <c r="N143" s="78">
        <v>1027652</v>
      </c>
      <c r="O143" s="78">
        <v>1027652</v>
      </c>
      <c r="P143" s="78">
        <v>1027652</v>
      </c>
      <c r="Q143" s="78">
        <f t="shared" ref="Q143:Q206" si="2">SUM(E143:P143)</f>
        <v>12331824</v>
      </c>
    </row>
    <row r="144" spans="1:17" x14ac:dyDescent="0.3">
      <c r="A144" s="177" t="s">
        <v>162</v>
      </c>
      <c r="B144" s="177" t="s">
        <v>1846</v>
      </c>
      <c r="C144" s="78" t="s">
        <v>1847</v>
      </c>
      <c r="D144" s="78">
        <v>216490765.58000001</v>
      </c>
      <c r="E144" s="78">
        <v>218952766</v>
      </c>
      <c r="F144" s="78">
        <v>218952766</v>
      </c>
      <c r="G144" s="78">
        <v>219246549</v>
      </c>
      <c r="H144" s="78">
        <v>221708549</v>
      </c>
      <c r="I144" s="78">
        <v>221708549</v>
      </c>
      <c r="J144" s="78">
        <v>222002332</v>
      </c>
      <c r="K144" s="78">
        <v>224464332</v>
      </c>
      <c r="L144" s="78">
        <v>224464332</v>
      </c>
      <c r="M144" s="78">
        <v>227220115</v>
      </c>
      <c r="N144" s="78">
        <v>227220115</v>
      </c>
      <c r="O144" s="78">
        <v>227220115</v>
      </c>
      <c r="P144" s="78">
        <v>227513898</v>
      </c>
      <c r="Q144" s="78">
        <f t="shared" si="2"/>
        <v>2680674418</v>
      </c>
    </row>
    <row r="145" spans="1:17" x14ac:dyDescent="0.3">
      <c r="A145" s="177" t="s">
        <v>162</v>
      </c>
      <c r="B145" s="177" t="s">
        <v>1848</v>
      </c>
      <c r="C145" s="78" t="s">
        <v>1849</v>
      </c>
      <c r="D145" s="78">
        <v>-206391291</v>
      </c>
      <c r="E145" s="78">
        <v>-206391291</v>
      </c>
      <c r="F145" s="78">
        <v>-206391291</v>
      </c>
      <c r="G145" s="78">
        <v>-206391291</v>
      </c>
      <c r="H145" s="78">
        <v>-206391291</v>
      </c>
      <c r="I145" s="78">
        <v>-206391291</v>
      </c>
      <c r="J145" s="78">
        <v>-206391291</v>
      </c>
      <c r="K145" s="78">
        <v>-206391291</v>
      </c>
      <c r="L145" s="78">
        <v>-206391291</v>
      </c>
      <c r="M145" s="78">
        <v>-206391291</v>
      </c>
      <c r="N145" s="78">
        <v>-206391291</v>
      </c>
      <c r="O145" s="78">
        <v>-206391291</v>
      </c>
      <c r="P145" s="78">
        <v>-206391291</v>
      </c>
      <c r="Q145" s="78">
        <f t="shared" si="2"/>
        <v>-2476695492</v>
      </c>
    </row>
    <row r="146" spans="1:17" x14ac:dyDescent="0.3">
      <c r="A146" s="177" t="s">
        <v>162</v>
      </c>
      <c r="B146" s="177" t="s">
        <v>1850</v>
      </c>
      <c r="C146" s="78" t="s">
        <v>1851</v>
      </c>
      <c r="D146" s="78">
        <v>427605.81</v>
      </c>
      <c r="E146" s="78">
        <v>465807</v>
      </c>
      <c r="F146" s="78">
        <v>465807</v>
      </c>
      <c r="G146" s="78">
        <v>366059</v>
      </c>
      <c r="H146" s="78">
        <v>366059</v>
      </c>
      <c r="I146" s="78">
        <v>366059</v>
      </c>
      <c r="J146" s="78">
        <v>266311</v>
      </c>
      <c r="K146" s="78">
        <v>266311</v>
      </c>
      <c r="L146" s="78">
        <v>266311</v>
      </c>
      <c r="M146" s="78">
        <v>166563</v>
      </c>
      <c r="N146" s="78">
        <v>166563</v>
      </c>
      <c r="O146" s="78">
        <v>166563</v>
      </c>
      <c r="P146" s="78">
        <v>66815</v>
      </c>
      <c r="Q146" s="78">
        <f t="shared" si="2"/>
        <v>3395228</v>
      </c>
    </row>
    <row r="147" spans="1:17" x14ac:dyDescent="0.3">
      <c r="A147" s="177" t="s">
        <v>162</v>
      </c>
      <c r="B147" s="177" t="s">
        <v>1852</v>
      </c>
      <c r="C147" s="78" t="s">
        <v>1853</v>
      </c>
      <c r="D147" s="78">
        <v>75998.429999999993</v>
      </c>
      <c r="E147" s="78">
        <v>75998.429999999993</v>
      </c>
      <c r="F147" s="78">
        <v>75998.429999999993</v>
      </c>
      <c r="G147" s="78">
        <v>75998.429999999993</v>
      </c>
      <c r="H147" s="78">
        <v>75998.429999999993</v>
      </c>
      <c r="I147" s="78">
        <v>75998.429999999993</v>
      </c>
      <c r="J147" s="78">
        <v>75998.429999999993</v>
      </c>
      <c r="K147" s="78">
        <v>75998.429999999993</v>
      </c>
      <c r="L147" s="78">
        <v>75998.429999999993</v>
      </c>
      <c r="M147" s="78">
        <v>75998.429999999993</v>
      </c>
      <c r="N147" s="78">
        <v>75998.429999999993</v>
      </c>
      <c r="O147" s="78">
        <v>75998.429999999993</v>
      </c>
      <c r="P147" s="78">
        <v>75998.429999999993</v>
      </c>
      <c r="Q147" s="78">
        <f t="shared" si="2"/>
        <v>911981.15999999968</v>
      </c>
    </row>
    <row r="148" spans="1:17" x14ac:dyDescent="0.3">
      <c r="A148" s="177" t="s">
        <v>162</v>
      </c>
      <c r="B148" s="177" t="s">
        <v>1854</v>
      </c>
      <c r="C148" s="78" t="s">
        <v>1855</v>
      </c>
      <c r="D148" s="78">
        <v>243145.54</v>
      </c>
      <c r="E148" s="78">
        <v>243146</v>
      </c>
      <c r="F148" s="78">
        <v>243146</v>
      </c>
      <c r="G148" s="78">
        <v>300104</v>
      </c>
      <c r="H148" s="78">
        <v>300104</v>
      </c>
      <c r="I148" s="78">
        <v>300104</v>
      </c>
      <c r="J148" s="78">
        <v>357062</v>
      </c>
      <c r="K148" s="78">
        <v>357062</v>
      </c>
      <c r="L148" s="78">
        <v>357062</v>
      </c>
      <c r="M148" s="78">
        <v>414020</v>
      </c>
      <c r="N148" s="78">
        <v>414020</v>
      </c>
      <c r="O148" s="78">
        <v>414020</v>
      </c>
      <c r="P148" s="78">
        <v>470978</v>
      </c>
      <c r="Q148" s="78">
        <f t="shared" si="2"/>
        <v>4170828</v>
      </c>
    </row>
    <row r="149" spans="1:17" x14ac:dyDescent="0.3">
      <c r="A149" s="177" t="s">
        <v>162</v>
      </c>
      <c r="B149" s="177" t="s">
        <v>1856</v>
      </c>
      <c r="C149" s="78" t="s">
        <v>1857</v>
      </c>
      <c r="D149" s="78">
        <v>365972.77</v>
      </c>
      <c r="E149" s="78">
        <v>365972.77</v>
      </c>
      <c r="F149" s="78">
        <v>365972.77</v>
      </c>
      <c r="G149" s="78">
        <v>365972.77</v>
      </c>
      <c r="H149" s="78">
        <v>365972.77</v>
      </c>
      <c r="I149" s="78">
        <v>365972.77</v>
      </c>
      <c r="J149" s="78">
        <v>365972.77</v>
      </c>
      <c r="K149" s="78">
        <v>365972.77</v>
      </c>
      <c r="L149" s="78">
        <v>365972.77</v>
      </c>
      <c r="M149" s="78">
        <v>365972.77</v>
      </c>
      <c r="N149" s="78">
        <v>365972.77</v>
      </c>
      <c r="O149" s="78">
        <v>365972.77</v>
      </c>
      <c r="P149" s="78">
        <v>365972.77</v>
      </c>
      <c r="Q149" s="78">
        <f t="shared" si="2"/>
        <v>4391673.24</v>
      </c>
    </row>
    <row r="150" spans="1:17" x14ac:dyDescent="0.3">
      <c r="A150" s="177" t="s">
        <v>162</v>
      </c>
      <c r="B150" s="177" t="s">
        <v>1858</v>
      </c>
      <c r="C150" s="78" t="s">
        <v>1859</v>
      </c>
      <c r="D150" s="78">
        <v>19314010</v>
      </c>
      <c r="E150" s="78">
        <v>19314010</v>
      </c>
      <c r="F150" s="78">
        <v>19314010</v>
      </c>
      <c r="G150" s="78">
        <v>19314010</v>
      </c>
      <c r="H150" s="78">
        <v>19314010</v>
      </c>
      <c r="I150" s="78">
        <v>19314010</v>
      </c>
      <c r="J150" s="78">
        <v>19314010</v>
      </c>
      <c r="K150" s="78">
        <v>19314010</v>
      </c>
      <c r="L150" s="78">
        <v>19314010</v>
      </c>
      <c r="M150" s="78">
        <v>19314010</v>
      </c>
      <c r="N150" s="78">
        <v>19314010</v>
      </c>
      <c r="O150" s="78">
        <v>19314010</v>
      </c>
      <c r="P150" s="78">
        <v>19314010</v>
      </c>
      <c r="Q150" s="78">
        <f t="shared" si="2"/>
        <v>231768120</v>
      </c>
    </row>
    <row r="151" spans="1:17" x14ac:dyDescent="0.3">
      <c r="A151" s="177" t="s">
        <v>162</v>
      </c>
      <c r="B151" s="177" t="s">
        <v>1860</v>
      </c>
      <c r="C151" s="78" t="s">
        <v>1861</v>
      </c>
      <c r="D151" s="78">
        <v>79727260.030000001</v>
      </c>
      <c r="E151" s="78">
        <v>78861260.030000001</v>
      </c>
      <c r="F151" s="78">
        <v>77995260.030000001</v>
      </c>
      <c r="G151" s="78">
        <v>78209256.030000001</v>
      </c>
      <c r="H151" s="78">
        <v>77343256.030000001</v>
      </c>
      <c r="I151" s="78">
        <v>76477256.030000001</v>
      </c>
      <c r="J151" s="78">
        <v>76691252.030000001</v>
      </c>
      <c r="K151" s="78">
        <v>75825252.030000001</v>
      </c>
      <c r="L151" s="78">
        <v>74959252.030000001</v>
      </c>
      <c r="M151" s="78">
        <v>75173248.030000001</v>
      </c>
      <c r="N151" s="78">
        <v>74307248.030000001</v>
      </c>
      <c r="O151" s="78">
        <v>73441248.030000001</v>
      </c>
      <c r="P151" s="78">
        <v>73655244.030000001</v>
      </c>
      <c r="Q151" s="78">
        <f t="shared" si="2"/>
        <v>912939032.35999978</v>
      </c>
    </row>
    <row r="152" spans="1:17" x14ac:dyDescent="0.3">
      <c r="A152" s="177" t="s">
        <v>162</v>
      </c>
      <c r="B152" s="177" t="s">
        <v>1862</v>
      </c>
      <c r="C152" s="78" t="s">
        <v>1863</v>
      </c>
      <c r="D152" s="78">
        <v>11952658.859999999</v>
      </c>
      <c r="E152" s="78">
        <v>11794326</v>
      </c>
      <c r="F152" s="78">
        <v>12185992</v>
      </c>
      <c r="G152" s="78">
        <v>12027659</v>
      </c>
      <c r="H152" s="78">
        <v>12069326</v>
      </c>
      <c r="I152" s="78">
        <v>11910992</v>
      </c>
      <c r="J152" s="78">
        <v>11977659</v>
      </c>
      <c r="K152" s="78">
        <v>11819326</v>
      </c>
      <c r="L152" s="78">
        <v>11860992</v>
      </c>
      <c r="M152" s="78">
        <v>11402659</v>
      </c>
      <c r="N152" s="78">
        <v>11469326</v>
      </c>
      <c r="O152" s="78">
        <v>11310992</v>
      </c>
      <c r="P152" s="78">
        <v>11252659</v>
      </c>
      <c r="Q152" s="78">
        <f t="shared" si="2"/>
        <v>141081908</v>
      </c>
    </row>
    <row r="153" spans="1:17" x14ac:dyDescent="0.3">
      <c r="A153" s="177" t="s">
        <v>162</v>
      </c>
      <c r="B153" s="177" t="s">
        <v>1864</v>
      </c>
      <c r="C153" s="78" t="s">
        <v>1865</v>
      </c>
      <c r="D153" s="78">
        <v>782704.03</v>
      </c>
      <c r="E153" s="78">
        <v>783000</v>
      </c>
      <c r="F153" s="78">
        <v>783000</v>
      </c>
      <c r="G153" s="78">
        <v>783000</v>
      </c>
      <c r="H153" s="78">
        <v>783000</v>
      </c>
      <c r="I153" s="78">
        <v>783000</v>
      </c>
      <c r="J153" s="78">
        <v>783000</v>
      </c>
      <c r="K153" s="78">
        <v>783000</v>
      </c>
      <c r="L153" s="78">
        <v>783000</v>
      </c>
      <c r="M153" s="78">
        <v>783000</v>
      </c>
      <c r="N153" s="78">
        <v>783000</v>
      </c>
      <c r="O153" s="78">
        <v>783000</v>
      </c>
      <c r="P153" s="78">
        <v>783000</v>
      </c>
      <c r="Q153" s="78">
        <f t="shared" si="2"/>
        <v>9396000</v>
      </c>
    </row>
    <row r="154" spans="1:17" x14ac:dyDescent="0.3">
      <c r="A154" s="177" t="s">
        <v>162</v>
      </c>
      <c r="B154" s="177" t="s">
        <v>1866</v>
      </c>
      <c r="C154" s="78" t="s">
        <v>1867</v>
      </c>
      <c r="D154" s="78">
        <v>32144872.23</v>
      </c>
      <c r="E154" s="78">
        <v>32278809.199999999</v>
      </c>
      <c r="F154" s="78">
        <v>32413304.239999998</v>
      </c>
      <c r="G154" s="78">
        <v>32548359.670000002</v>
      </c>
      <c r="H154" s="78">
        <v>32683977.84</v>
      </c>
      <c r="I154" s="78">
        <v>32820161.079999998</v>
      </c>
      <c r="J154" s="78">
        <v>32956911.75</v>
      </c>
      <c r="K154" s="78">
        <v>33094232.219999999</v>
      </c>
      <c r="L154" s="78">
        <v>33232124.850000001</v>
      </c>
      <c r="M154" s="78">
        <v>33370592.039999999</v>
      </c>
      <c r="N154" s="78">
        <v>33509636.170000002</v>
      </c>
      <c r="O154" s="78">
        <v>33649259.649999999</v>
      </c>
      <c r="P154" s="78">
        <v>33789464.899999999</v>
      </c>
      <c r="Q154" s="78">
        <f t="shared" si="2"/>
        <v>396346833.60999995</v>
      </c>
    </row>
    <row r="155" spans="1:17" x14ac:dyDescent="0.3">
      <c r="A155" s="177" t="s">
        <v>162</v>
      </c>
      <c r="B155" s="177" t="s">
        <v>1868</v>
      </c>
      <c r="C155" s="78" t="s">
        <v>359</v>
      </c>
      <c r="D155" s="78">
        <v>706000000</v>
      </c>
      <c r="E155" s="78">
        <v>253875217.16501299</v>
      </c>
      <c r="F155" s="78">
        <v>23112680.197484601</v>
      </c>
      <c r="G155" s="78">
        <v>69456980.805116206</v>
      </c>
      <c r="H155" s="78">
        <v>132240944.637391</v>
      </c>
      <c r="I155" s="78">
        <v>3610154.4458916001</v>
      </c>
      <c r="J155" s="78">
        <v>40187817.569180399</v>
      </c>
      <c r="K155" s="78">
        <v>391732415.85794401</v>
      </c>
      <c r="L155" s="78">
        <v>392354481.29398</v>
      </c>
      <c r="M155" s="78">
        <v>424115799.08827001</v>
      </c>
      <c r="N155" s="78">
        <v>348298234.241916</v>
      </c>
      <c r="O155" s="78">
        <v>603052469.14338696</v>
      </c>
      <c r="P155" s="78">
        <v>595364857.17259896</v>
      </c>
      <c r="Q155" s="78">
        <f t="shared" si="2"/>
        <v>3277402051.6181722</v>
      </c>
    </row>
    <row r="156" spans="1:17" x14ac:dyDescent="0.3">
      <c r="A156" s="177" t="s">
        <v>162</v>
      </c>
      <c r="B156" s="177" t="s">
        <v>1869</v>
      </c>
      <c r="C156" s="78" t="s">
        <v>1870</v>
      </c>
      <c r="D156" s="78">
        <v>81790746.659999996</v>
      </c>
      <c r="E156" s="78">
        <v>33338000</v>
      </c>
      <c r="F156" s="78">
        <v>33338000</v>
      </c>
      <c r="G156" s="78">
        <v>33338000</v>
      </c>
      <c r="H156" s="78">
        <v>33338000</v>
      </c>
      <c r="I156" s="78">
        <v>33338000</v>
      </c>
      <c r="J156" s="78">
        <v>33338000</v>
      </c>
      <c r="K156" s="78">
        <v>33338000</v>
      </c>
      <c r="L156" s="78">
        <v>33338000</v>
      </c>
      <c r="M156" s="78">
        <v>33338000</v>
      </c>
      <c r="N156" s="78">
        <v>33338000</v>
      </c>
      <c r="O156" s="78">
        <v>33338000</v>
      </c>
      <c r="P156" s="78">
        <v>33338000</v>
      </c>
      <c r="Q156" s="78">
        <f t="shared" si="2"/>
        <v>400056000</v>
      </c>
    </row>
    <row r="157" spans="1:17" x14ac:dyDescent="0.3">
      <c r="A157" s="177" t="s">
        <v>162</v>
      </c>
      <c r="B157" s="177" t="s">
        <v>1871</v>
      </c>
      <c r="C157" s="78" t="s">
        <v>1872</v>
      </c>
      <c r="D157" s="78">
        <v>146880482.93000001</v>
      </c>
      <c r="E157" s="78">
        <v>82884846.599999994</v>
      </c>
      <c r="F157" s="78">
        <v>89671863.519999996</v>
      </c>
      <c r="G157" s="78">
        <v>115893077.29000001</v>
      </c>
      <c r="H157" s="78">
        <v>107271382.11</v>
      </c>
      <c r="I157" s="78">
        <v>131300585.18000001</v>
      </c>
      <c r="J157" s="78">
        <v>164661783.05999991</v>
      </c>
      <c r="K157" s="78">
        <v>110135849.25</v>
      </c>
      <c r="L157" s="78">
        <v>106741176.90000001</v>
      </c>
      <c r="M157" s="78">
        <v>93343868.349999994</v>
      </c>
      <c r="N157" s="78">
        <v>99459581.709999993</v>
      </c>
      <c r="O157" s="78">
        <v>69124896.200000003</v>
      </c>
      <c r="P157" s="78">
        <v>120140965.39</v>
      </c>
      <c r="Q157" s="78">
        <f t="shared" si="2"/>
        <v>1290629875.5600002</v>
      </c>
    </row>
    <row r="158" spans="1:17" x14ac:dyDescent="0.3">
      <c r="A158" s="177" t="s">
        <v>162</v>
      </c>
      <c r="B158" s="177" t="s">
        <v>1873</v>
      </c>
      <c r="C158" s="78" t="s">
        <v>1874</v>
      </c>
      <c r="D158" s="78">
        <v>15612640.949999999</v>
      </c>
      <c r="E158" s="78">
        <v>15000000</v>
      </c>
      <c r="F158" s="78">
        <v>15000000</v>
      </c>
      <c r="G158" s="78">
        <v>15000000</v>
      </c>
      <c r="H158" s="78">
        <v>15000000</v>
      </c>
      <c r="I158" s="78">
        <v>15000000</v>
      </c>
      <c r="J158" s="78">
        <v>15000000</v>
      </c>
      <c r="K158" s="78">
        <v>15000000</v>
      </c>
      <c r="L158" s="78">
        <v>15000000</v>
      </c>
      <c r="M158" s="78">
        <v>15000000</v>
      </c>
      <c r="N158" s="78">
        <v>15000000</v>
      </c>
      <c r="O158" s="78">
        <v>15000000</v>
      </c>
      <c r="P158" s="78">
        <v>15000000</v>
      </c>
      <c r="Q158" s="78">
        <f t="shared" si="2"/>
        <v>180000000</v>
      </c>
    </row>
    <row r="159" spans="1:17" x14ac:dyDescent="0.3">
      <c r="A159" s="177" t="s">
        <v>162</v>
      </c>
      <c r="B159" s="177" t="s">
        <v>1875</v>
      </c>
      <c r="C159" s="78" t="s">
        <v>1876</v>
      </c>
      <c r="D159" s="78">
        <v>752387.31</v>
      </c>
      <c r="E159" s="78">
        <v>203051.095</v>
      </c>
      <c r="F159" s="78">
        <v>210362.39</v>
      </c>
      <c r="G159" s="78">
        <v>549066.01500000001</v>
      </c>
      <c r="H159" s="78">
        <v>247249.8</v>
      </c>
      <c r="I159" s="78">
        <v>227363.86499999999</v>
      </c>
      <c r="J159" s="78">
        <v>140808.55499999999</v>
      </c>
      <c r="K159" s="78">
        <v>66228.09</v>
      </c>
      <c r="L159" s="78">
        <v>270185.98499999999</v>
      </c>
      <c r="M159" s="78">
        <v>297687.07</v>
      </c>
      <c r="N159" s="78">
        <v>987778.22</v>
      </c>
      <c r="O159" s="78">
        <v>257547.47</v>
      </c>
      <c r="P159" s="78">
        <v>579894.89500000002</v>
      </c>
      <c r="Q159" s="78">
        <f t="shared" si="2"/>
        <v>4037223.45</v>
      </c>
    </row>
    <row r="160" spans="1:17" x14ac:dyDescent="0.3">
      <c r="A160" s="177" t="s">
        <v>162</v>
      </c>
      <c r="B160" s="177" t="s">
        <v>1877</v>
      </c>
      <c r="C160" s="78" t="s">
        <v>1878</v>
      </c>
      <c r="D160" s="78">
        <v>18880.54</v>
      </c>
      <c r="E160" s="78">
        <v>18880.54</v>
      </c>
      <c r="F160" s="78">
        <v>18880.54</v>
      </c>
      <c r="G160" s="78">
        <v>18880.54</v>
      </c>
      <c r="H160" s="78">
        <v>18880.54</v>
      </c>
      <c r="I160" s="78">
        <v>18880.54</v>
      </c>
      <c r="J160" s="78">
        <v>18880.54</v>
      </c>
      <c r="K160" s="78">
        <v>18880.54</v>
      </c>
      <c r="L160" s="78">
        <v>18880.54</v>
      </c>
      <c r="M160" s="78">
        <v>18880.54</v>
      </c>
      <c r="N160" s="78">
        <v>18880.54</v>
      </c>
      <c r="O160" s="78">
        <v>18880.54</v>
      </c>
      <c r="P160" s="78">
        <v>18880.54</v>
      </c>
      <c r="Q160" s="78">
        <f t="shared" si="2"/>
        <v>226566.48000000007</v>
      </c>
    </row>
    <row r="161" spans="1:17" x14ac:dyDescent="0.3">
      <c r="A161" s="177" t="s">
        <v>162</v>
      </c>
      <c r="B161" s="177" t="s">
        <v>1879</v>
      </c>
      <c r="C161" s="78" t="s">
        <v>1880</v>
      </c>
      <c r="D161" s="78">
        <v>-5203.83</v>
      </c>
      <c r="E161" s="78">
        <v>-5203.83</v>
      </c>
      <c r="F161" s="78">
        <v>-5203.83</v>
      </c>
      <c r="G161" s="78">
        <v>-5203.83</v>
      </c>
      <c r="H161" s="78">
        <v>-5203.83</v>
      </c>
      <c r="I161" s="78">
        <v>-5203.83</v>
      </c>
      <c r="J161" s="78">
        <v>-5203.83</v>
      </c>
      <c r="K161" s="78">
        <v>-5203.83</v>
      </c>
      <c r="L161" s="78">
        <v>-5203.83</v>
      </c>
      <c r="M161" s="78">
        <v>-5203.83</v>
      </c>
      <c r="N161" s="78">
        <v>-5203.83</v>
      </c>
      <c r="O161" s="78">
        <v>-5203.83</v>
      </c>
      <c r="P161" s="78">
        <v>-5203.83</v>
      </c>
      <c r="Q161" s="78">
        <f t="shared" si="2"/>
        <v>-62445.960000000014</v>
      </c>
    </row>
    <row r="162" spans="1:17" x14ac:dyDescent="0.3">
      <c r="A162" s="177" t="s">
        <v>162</v>
      </c>
      <c r="B162" s="177" t="s">
        <v>1881</v>
      </c>
      <c r="C162" s="78" t="s">
        <v>1882</v>
      </c>
      <c r="D162" s="78">
        <v>5141585.9400000004</v>
      </c>
      <c r="E162" s="78">
        <v>7485312.3024570001</v>
      </c>
      <c r="F162" s="78">
        <v>7900442.8827654002</v>
      </c>
      <c r="G162" s="78">
        <v>0</v>
      </c>
      <c r="H162" s="78">
        <v>1492029.6786332999</v>
      </c>
      <c r="I162" s="78">
        <v>3768466.6871616999</v>
      </c>
      <c r="J162" s="78">
        <v>4745825.9370502001</v>
      </c>
      <c r="K162" s="78">
        <v>7638787.4310825001</v>
      </c>
      <c r="L162" s="78">
        <v>9496571.2568353005</v>
      </c>
      <c r="M162" s="78">
        <v>719751.51925320004</v>
      </c>
      <c r="N162" s="78">
        <v>3069841.1474265</v>
      </c>
      <c r="O162" s="78">
        <v>4296848.2814114997</v>
      </c>
      <c r="P162" s="78">
        <v>6544625.8042285005</v>
      </c>
      <c r="Q162" s="78">
        <f t="shared" si="2"/>
        <v>57158502.928305097</v>
      </c>
    </row>
    <row r="163" spans="1:17" x14ac:dyDescent="0.3">
      <c r="A163" s="177" t="s">
        <v>162</v>
      </c>
      <c r="B163" s="177" t="s">
        <v>1883</v>
      </c>
      <c r="C163" s="78" t="s">
        <v>1884</v>
      </c>
      <c r="D163" s="78">
        <v>818399.83</v>
      </c>
      <c r="E163" s="78">
        <v>892000</v>
      </c>
      <c r="F163" s="78">
        <v>966000</v>
      </c>
      <c r="G163" s="78">
        <v>222000</v>
      </c>
      <c r="H163" s="78">
        <v>296000</v>
      </c>
      <c r="I163" s="78">
        <v>370000</v>
      </c>
      <c r="J163" s="78">
        <v>444000</v>
      </c>
      <c r="K163" s="78">
        <v>518000</v>
      </c>
      <c r="L163" s="78">
        <v>592000</v>
      </c>
      <c r="M163" s="78">
        <v>666000</v>
      </c>
      <c r="N163" s="78">
        <v>740000</v>
      </c>
      <c r="O163" s="78">
        <v>814000</v>
      </c>
      <c r="P163" s="78">
        <v>888000</v>
      </c>
      <c r="Q163" s="78">
        <f t="shared" si="2"/>
        <v>7408000</v>
      </c>
    </row>
    <row r="164" spans="1:17" x14ac:dyDescent="0.3">
      <c r="A164" s="177" t="s">
        <v>162</v>
      </c>
      <c r="B164" s="177" t="s">
        <v>1885</v>
      </c>
      <c r="C164" s="78" t="s">
        <v>1886</v>
      </c>
      <c r="D164" s="78">
        <v>-874.81</v>
      </c>
      <c r="E164" s="78">
        <v>0</v>
      </c>
      <c r="F164" s="78">
        <v>0</v>
      </c>
      <c r="G164" s="78">
        <v>0</v>
      </c>
      <c r="H164" s="78">
        <v>0</v>
      </c>
      <c r="I164" s="78">
        <v>0</v>
      </c>
      <c r="J164" s="78">
        <v>0</v>
      </c>
      <c r="K164" s="78">
        <v>0</v>
      </c>
      <c r="L164" s="78">
        <v>0</v>
      </c>
      <c r="M164" s="78">
        <v>0</v>
      </c>
      <c r="N164" s="78">
        <v>0</v>
      </c>
      <c r="O164" s="78">
        <v>0</v>
      </c>
      <c r="P164" s="78">
        <v>0</v>
      </c>
      <c r="Q164" s="78">
        <f t="shared" si="2"/>
        <v>0</v>
      </c>
    </row>
    <row r="165" spans="1:17" x14ac:dyDescent="0.3">
      <c r="A165" s="177" t="s">
        <v>162</v>
      </c>
      <c r="B165" s="177" t="s">
        <v>1887</v>
      </c>
      <c r="C165" s="78" t="s">
        <v>1888</v>
      </c>
      <c r="D165" s="78">
        <v>-50961.919999999998</v>
      </c>
      <c r="E165" s="78">
        <v>0</v>
      </c>
      <c r="F165" s="78">
        <v>0</v>
      </c>
      <c r="G165" s="78">
        <v>0</v>
      </c>
      <c r="H165" s="78">
        <v>0</v>
      </c>
      <c r="I165" s="78">
        <v>0</v>
      </c>
      <c r="J165" s="78">
        <v>0</v>
      </c>
      <c r="K165" s="78">
        <v>0</v>
      </c>
      <c r="L165" s="78">
        <v>0</v>
      </c>
      <c r="M165" s="78">
        <v>0</v>
      </c>
      <c r="N165" s="78">
        <v>0</v>
      </c>
      <c r="O165" s="78">
        <v>0</v>
      </c>
      <c r="P165" s="78">
        <v>0</v>
      </c>
      <c r="Q165" s="78">
        <f t="shared" si="2"/>
        <v>0</v>
      </c>
    </row>
    <row r="166" spans="1:17" x14ac:dyDescent="0.3">
      <c r="A166" s="177" t="s">
        <v>162</v>
      </c>
      <c r="B166" s="177" t="s">
        <v>1889</v>
      </c>
      <c r="C166" s="78" t="s">
        <v>1890</v>
      </c>
      <c r="D166" s="78">
        <v>45945.5</v>
      </c>
      <c r="E166" s="78">
        <v>0</v>
      </c>
      <c r="F166" s="78">
        <v>0</v>
      </c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78">
        <f t="shared" si="2"/>
        <v>0</v>
      </c>
    </row>
    <row r="167" spans="1:17" x14ac:dyDescent="0.3">
      <c r="A167" s="177" t="s">
        <v>162</v>
      </c>
      <c r="B167" s="177" t="s">
        <v>1891</v>
      </c>
      <c r="C167" s="78" t="s">
        <v>1892</v>
      </c>
      <c r="D167" s="78">
        <v>24791242.190000001</v>
      </c>
      <c r="E167" s="78">
        <v>27057000</v>
      </c>
      <c r="F167" s="78">
        <v>29323000</v>
      </c>
      <c r="G167" s="78">
        <v>6798000</v>
      </c>
      <c r="H167" s="78">
        <v>9064000</v>
      </c>
      <c r="I167" s="78">
        <v>11330000</v>
      </c>
      <c r="J167" s="78">
        <v>13596000</v>
      </c>
      <c r="K167" s="78">
        <v>15862000</v>
      </c>
      <c r="L167" s="78">
        <v>18128000</v>
      </c>
      <c r="M167" s="78">
        <v>20394000</v>
      </c>
      <c r="N167" s="78">
        <v>22660000</v>
      </c>
      <c r="O167" s="78">
        <v>24926000</v>
      </c>
      <c r="P167" s="78">
        <v>27186000</v>
      </c>
      <c r="Q167" s="78">
        <f t="shared" si="2"/>
        <v>226324000</v>
      </c>
    </row>
    <row r="168" spans="1:17" x14ac:dyDescent="0.3">
      <c r="A168" s="177" t="s">
        <v>162</v>
      </c>
      <c r="B168" s="177" t="s">
        <v>1893</v>
      </c>
      <c r="C168" s="78" t="s">
        <v>1894</v>
      </c>
      <c r="D168" s="78">
        <v>13181.69</v>
      </c>
      <c r="E168" s="78">
        <v>13200</v>
      </c>
      <c r="F168" s="78">
        <v>13200</v>
      </c>
      <c r="G168" s="78">
        <v>13200</v>
      </c>
      <c r="H168" s="78">
        <v>13200</v>
      </c>
      <c r="I168" s="78">
        <v>13200</v>
      </c>
      <c r="J168" s="78">
        <v>13200</v>
      </c>
      <c r="K168" s="78">
        <v>13200</v>
      </c>
      <c r="L168" s="78">
        <v>13200</v>
      </c>
      <c r="M168" s="78">
        <v>13200</v>
      </c>
      <c r="N168" s="78">
        <v>13200</v>
      </c>
      <c r="O168" s="78">
        <v>13200</v>
      </c>
      <c r="P168" s="78">
        <v>13200</v>
      </c>
      <c r="Q168" s="78">
        <f t="shared" si="2"/>
        <v>158400</v>
      </c>
    </row>
    <row r="169" spans="1:17" x14ac:dyDescent="0.3">
      <c r="A169" s="177" t="s">
        <v>162</v>
      </c>
      <c r="B169" s="177" t="s">
        <v>1895</v>
      </c>
      <c r="C169" s="78" t="s">
        <v>1896</v>
      </c>
      <c r="D169" s="78">
        <v>1607.13</v>
      </c>
      <c r="E169" s="78">
        <v>1600</v>
      </c>
      <c r="F169" s="78">
        <v>1600</v>
      </c>
      <c r="G169" s="78">
        <v>1600</v>
      </c>
      <c r="H169" s="78">
        <v>1600</v>
      </c>
      <c r="I169" s="78">
        <v>1600</v>
      </c>
      <c r="J169" s="78">
        <v>1600</v>
      </c>
      <c r="K169" s="78">
        <v>1600</v>
      </c>
      <c r="L169" s="78">
        <v>1600</v>
      </c>
      <c r="M169" s="78">
        <v>1600</v>
      </c>
      <c r="N169" s="78">
        <v>1600</v>
      </c>
      <c r="O169" s="78">
        <v>1600</v>
      </c>
      <c r="P169" s="78">
        <v>1600</v>
      </c>
      <c r="Q169" s="78">
        <f t="shared" si="2"/>
        <v>19200</v>
      </c>
    </row>
    <row r="170" spans="1:17" x14ac:dyDescent="0.3">
      <c r="A170" s="177" t="s">
        <v>162</v>
      </c>
      <c r="B170" s="177" t="s">
        <v>1897</v>
      </c>
      <c r="C170" s="78" t="s">
        <v>1898</v>
      </c>
      <c r="D170" s="78">
        <v>85758.66</v>
      </c>
      <c r="E170" s="78">
        <v>85759</v>
      </c>
      <c r="F170" s="78">
        <v>85759</v>
      </c>
      <c r="G170" s="78">
        <v>85759</v>
      </c>
      <c r="H170" s="78">
        <v>85759</v>
      </c>
      <c r="I170" s="78">
        <v>85759</v>
      </c>
      <c r="J170" s="78">
        <v>85759</v>
      </c>
      <c r="K170" s="78">
        <v>85759</v>
      </c>
      <c r="L170" s="78">
        <v>85759</v>
      </c>
      <c r="M170" s="78">
        <v>85759</v>
      </c>
      <c r="N170" s="78">
        <v>85759</v>
      </c>
      <c r="O170" s="78">
        <v>85759</v>
      </c>
      <c r="P170" s="78">
        <v>85759</v>
      </c>
      <c r="Q170" s="78">
        <f t="shared" si="2"/>
        <v>1029108</v>
      </c>
    </row>
    <row r="171" spans="1:17" x14ac:dyDescent="0.3">
      <c r="A171" s="177" t="s">
        <v>162</v>
      </c>
      <c r="B171" s="177" t="s">
        <v>1899</v>
      </c>
      <c r="C171" s="78" t="s">
        <v>1900</v>
      </c>
      <c r="D171" s="78">
        <v>-2875.7</v>
      </c>
      <c r="E171" s="78">
        <v>-2876</v>
      </c>
      <c r="F171" s="78">
        <v>-2876</v>
      </c>
      <c r="G171" s="78">
        <v>-2876</v>
      </c>
      <c r="H171" s="78">
        <v>-2876</v>
      </c>
      <c r="I171" s="78">
        <v>-2876</v>
      </c>
      <c r="J171" s="78">
        <v>-2876</v>
      </c>
      <c r="K171" s="78">
        <v>-2876</v>
      </c>
      <c r="L171" s="78">
        <v>-2876</v>
      </c>
      <c r="M171" s="78">
        <v>-2876</v>
      </c>
      <c r="N171" s="78">
        <v>-2876</v>
      </c>
      <c r="O171" s="78">
        <v>-2876</v>
      </c>
      <c r="P171" s="78">
        <v>-2876</v>
      </c>
      <c r="Q171" s="78">
        <f t="shared" si="2"/>
        <v>-34512</v>
      </c>
    </row>
    <row r="172" spans="1:17" x14ac:dyDescent="0.3">
      <c r="A172" s="177" t="s">
        <v>162</v>
      </c>
      <c r="B172" s="177" t="s">
        <v>1901</v>
      </c>
      <c r="C172" s="78" t="s">
        <v>1902</v>
      </c>
      <c r="D172" s="78">
        <v>862.99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f t="shared" si="2"/>
        <v>0</v>
      </c>
    </row>
    <row r="173" spans="1:17" x14ac:dyDescent="0.3">
      <c r="A173" s="177" t="s">
        <v>162</v>
      </c>
      <c r="B173" s="177" t="s">
        <v>1903</v>
      </c>
      <c r="C173" s="78" t="s">
        <v>1904</v>
      </c>
      <c r="D173" s="78">
        <v>258697.15</v>
      </c>
      <c r="E173" s="78">
        <v>258700</v>
      </c>
      <c r="F173" s="78">
        <v>258700</v>
      </c>
      <c r="G173" s="78">
        <v>258700</v>
      </c>
      <c r="H173" s="78">
        <v>258700</v>
      </c>
      <c r="I173" s="78">
        <v>258700</v>
      </c>
      <c r="J173" s="78">
        <v>258700</v>
      </c>
      <c r="K173" s="78">
        <v>258700</v>
      </c>
      <c r="L173" s="78">
        <v>258700</v>
      </c>
      <c r="M173" s="78">
        <v>258700</v>
      </c>
      <c r="N173" s="78">
        <v>258700</v>
      </c>
      <c r="O173" s="78">
        <v>258700</v>
      </c>
      <c r="P173" s="78">
        <v>258700</v>
      </c>
      <c r="Q173" s="78">
        <f t="shared" si="2"/>
        <v>3104400</v>
      </c>
    </row>
    <row r="174" spans="1:17" x14ac:dyDescent="0.3">
      <c r="A174" s="177" t="s">
        <v>162</v>
      </c>
      <c r="B174" s="177" t="s">
        <v>1905</v>
      </c>
      <c r="C174" s="78" t="s">
        <v>1906</v>
      </c>
      <c r="D174" s="78">
        <v>-30674.71</v>
      </c>
      <c r="E174" s="78">
        <v>-30700</v>
      </c>
      <c r="F174" s="78">
        <v>-30700</v>
      </c>
      <c r="G174" s="78">
        <v>-30700</v>
      </c>
      <c r="H174" s="78">
        <v>-30700</v>
      </c>
      <c r="I174" s="78">
        <v>-30700</v>
      </c>
      <c r="J174" s="78">
        <v>-30700</v>
      </c>
      <c r="K174" s="78">
        <v>-30700</v>
      </c>
      <c r="L174" s="78">
        <v>-30700</v>
      </c>
      <c r="M174" s="78">
        <v>-30700</v>
      </c>
      <c r="N174" s="78">
        <v>-30700</v>
      </c>
      <c r="O174" s="78">
        <v>-30700</v>
      </c>
      <c r="P174" s="78">
        <v>-30700</v>
      </c>
      <c r="Q174" s="78">
        <f t="shared" si="2"/>
        <v>-368400</v>
      </c>
    </row>
    <row r="175" spans="1:17" x14ac:dyDescent="0.3">
      <c r="A175" s="177" t="s">
        <v>162</v>
      </c>
      <c r="B175" s="177" t="s">
        <v>1907</v>
      </c>
      <c r="C175" s="78" t="s">
        <v>1908</v>
      </c>
      <c r="D175" s="78">
        <v>4547928</v>
      </c>
      <c r="E175" s="78">
        <v>4551261</v>
      </c>
      <c r="F175" s="78">
        <v>4554594</v>
      </c>
      <c r="G175" s="78">
        <v>4557927</v>
      </c>
      <c r="H175" s="78">
        <v>4561260</v>
      </c>
      <c r="I175" s="78">
        <v>4564593</v>
      </c>
      <c r="J175" s="78">
        <v>4567926</v>
      </c>
      <c r="K175" s="78">
        <v>4571259</v>
      </c>
      <c r="L175" s="78">
        <v>4574592</v>
      </c>
      <c r="M175" s="78">
        <v>4577925</v>
      </c>
      <c r="N175" s="78">
        <v>4581258</v>
      </c>
      <c r="O175" s="78">
        <v>4584591</v>
      </c>
      <c r="P175" s="78">
        <v>4587928</v>
      </c>
      <c r="Q175" s="78">
        <f t="shared" si="2"/>
        <v>54835114</v>
      </c>
    </row>
    <row r="176" spans="1:17" x14ac:dyDescent="0.3">
      <c r="A176" s="177" t="s">
        <v>162</v>
      </c>
      <c r="B176" s="177" t="s">
        <v>1909</v>
      </c>
      <c r="C176" s="78" t="s">
        <v>1910</v>
      </c>
      <c r="D176" s="78">
        <v>70603.02</v>
      </c>
      <c r="E176" s="78">
        <v>70600</v>
      </c>
      <c r="F176" s="78">
        <v>70600</v>
      </c>
      <c r="G176" s="78">
        <v>70600</v>
      </c>
      <c r="H176" s="78">
        <v>70600</v>
      </c>
      <c r="I176" s="78">
        <v>70600</v>
      </c>
      <c r="J176" s="78">
        <v>70600</v>
      </c>
      <c r="K176" s="78">
        <v>70600</v>
      </c>
      <c r="L176" s="78">
        <v>70600</v>
      </c>
      <c r="M176" s="78">
        <v>70600</v>
      </c>
      <c r="N176" s="78">
        <v>70600</v>
      </c>
      <c r="O176" s="78">
        <v>70600</v>
      </c>
      <c r="P176" s="78">
        <v>70600</v>
      </c>
      <c r="Q176" s="78">
        <f t="shared" si="2"/>
        <v>847200</v>
      </c>
    </row>
    <row r="177" spans="1:17" x14ac:dyDescent="0.3">
      <c r="A177" s="177" t="s">
        <v>162</v>
      </c>
      <c r="B177" s="177" t="s">
        <v>1911</v>
      </c>
      <c r="C177" s="78" t="s">
        <v>1912</v>
      </c>
      <c r="D177" s="78">
        <v>924</v>
      </c>
      <c r="E177" s="78">
        <v>900</v>
      </c>
      <c r="F177" s="78">
        <v>900</v>
      </c>
      <c r="G177" s="78">
        <v>900</v>
      </c>
      <c r="H177" s="78">
        <v>900</v>
      </c>
      <c r="I177" s="78">
        <v>900</v>
      </c>
      <c r="J177" s="78">
        <v>900</v>
      </c>
      <c r="K177" s="78">
        <v>900</v>
      </c>
      <c r="L177" s="78">
        <v>900</v>
      </c>
      <c r="M177" s="78">
        <v>900</v>
      </c>
      <c r="N177" s="78">
        <v>900</v>
      </c>
      <c r="O177" s="78">
        <v>900</v>
      </c>
      <c r="P177" s="78">
        <v>900</v>
      </c>
      <c r="Q177" s="78">
        <f t="shared" si="2"/>
        <v>10800</v>
      </c>
    </row>
    <row r="178" spans="1:17" x14ac:dyDescent="0.3">
      <c r="A178" s="177" t="s">
        <v>162</v>
      </c>
      <c r="B178" s="177" t="s">
        <v>1913</v>
      </c>
      <c r="C178" s="78" t="s">
        <v>1914</v>
      </c>
      <c r="D178" s="78">
        <v>6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f t="shared" si="2"/>
        <v>0</v>
      </c>
    </row>
    <row r="179" spans="1:17" x14ac:dyDescent="0.3">
      <c r="A179" s="177" t="s">
        <v>162</v>
      </c>
      <c r="B179" s="177" t="s">
        <v>1915</v>
      </c>
      <c r="C179" s="78" t="s">
        <v>1916</v>
      </c>
      <c r="D179" s="78">
        <v>257768.72</v>
      </c>
      <c r="E179" s="78">
        <v>261000</v>
      </c>
      <c r="F179" s="78">
        <v>261000</v>
      </c>
      <c r="G179" s="78">
        <v>261000</v>
      </c>
      <c r="H179" s="78">
        <v>261000</v>
      </c>
      <c r="I179" s="78">
        <v>261000</v>
      </c>
      <c r="J179" s="78">
        <v>261000</v>
      </c>
      <c r="K179" s="78">
        <v>261000</v>
      </c>
      <c r="L179" s="78">
        <v>261000</v>
      </c>
      <c r="M179" s="78">
        <v>261000</v>
      </c>
      <c r="N179" s="78">
        <v>261000</v>
      </c>
      <c r="O179" s="78">
        <v>261000</v>
      </c>
      <c r="P179" s="78">
        <v>261000</v>
      </c>
      <c r="Q179" s="78">
        <f t="shared" si="2"/>
        <v>3132000</v>
      </c>
    </row>
    <row r="180" spans="1:17" x14ac:dyDescent="0.3">
      <c r="A180" s="177" t="s">
        <v>162</v>
      </c>
      <c r="B180" s="177" t="s">
        <v>1917</v>
      </c>
      <c r="C180" s="78" t="s">
        <v>1918</v>
      </c>
      <c r="D180" s="78">
        <v>86697.22</v>
      </c>
      <c r="E180" s="78">
        <v>90000</v>
      </c>
      <c r="F180" s="78">
        <v>90000</v>
      </c>
      <c r="G180" s="78">
        <v>90000</v>
      </c>
      <c r="H180" s="78">
        <v>90000</v>
      </c>
      <c r="I180" s="78">
        <v>90000</v>
      </c>
      <c r="J180" s="78">
        <v>90000</v>
      </c>
      <c r="K180" s="78">
        <v>90000</v>
      </c>
      <c r="L180" s="78">
        <v>90000</v>
      </c>
      <c r="M180" s="78">
        <v>90000</v>
      </c>
      <c r="N180" s="78">
        <v>90000</v>
      </c>
      <c r="O180" s="78">
        <v>90000</v>
      </c>
      <c r="P180" s="78">
        <v>90000</v>
      </c>
      <c r="Q180" s="78">
        <f t="shared" si="2"/>
        <v>1080000</v>
      </c>
    </row>
    <row r="181" spans="1:17" x14ac:dyDescent="0.3">
      <c r="A181" s="177" t="s">
        <v>162</v>
      </c>
      <c r="B181" s="177" t="s">
        <v>1919</v>
      </c>
      <c r="C181" s="78" t="s">
        <v>1920</v>
      </c>
      <c r="D181" s="78">
        <v>73724.740000000005</v>
      </c>
      <c r="E181" s="78">
        <v>76000</v>
      </c>
      <c r="F181" s="78">
        <v>76000</v>
      </c>
      <c r="G181" s="78">
        <v>76000</v>
      </c>
      <c r="H181" s="78">
        <v>76000</v>
      </c>
      <c r="I181" s="78">
        <v>76000</v>
      </c>
      <c r="J181" s="78">
        <v>76000</v>
      </c>
      <c r="K181" s="78">
        <v>76000</v>
      </c>
      <c r="L181" s="78">
        <v>76000</v>
      </c>
      <c r="M181" s="78">
        <v>76000</v>
      </c>
      <c r="N181" s="78">
        <v>76000</v>
      </c>
      <c r="O181" s="78">
        <v>76000</v>
      </c>
      <c r="P181" s="78">
        <v>76000</v>
      </c>
      <c r="Q181" s="78">
        <f t="shared" si="2"/>
        <v>912000</v>
      </c>
    </row>
    <row r="182" spans="1:17" x14ac:dyDescent="0.3">
      <c r="A182" s="177" t="s">
        <v>162</v>
      </c>
      <c r="B182" s="177" t="s">
        <v>1921</v>
      </c>
      <c r="C182" s="78" t="s">
        <v>1922</v>
      </c>
      <c r="D182" s="78">
        <v>35647443.960000001</v>
      </c>
      <c r="E182" s="78">
        <v>46549000</v>
      </c>
      <c r="F182" s="78">
        <v>42487000</v>
      </c>
      <c r="G182" s="78">
        <v>42915000</v>
      </c>
      <c r="H182" s="78">
        <v>40423000</v>
      </c>
      <c r="I182" s="78">
        <v>48674000</v>
      </c>
      <c r="J182" s="78">
        <v>53996000</v>
      </c>
      <c r="K182" s="78">
        <v>57829000</v>
      </c>
      <c r="L182" s="78">
        <v>59350000</v>
      </c>
      <c r="M182" s="78">
        <v>53681000</v>
      </c>
      <c r="N182" s="78">
        <v>51098000</v>
      </c>
      <c r="O182" s="78">
        <v>43857000</v>
      </c>
      <c r="P182" s="78">
        <v>44738000</v>
      </c>
      <c r="Q182" s="78">
        <f t="shared" si="2"/>
        <v>585597000</v>
      </c>
    </row>
    <row r="183" spans="1:17" x14ac:dyDescent="0.3">
      <c r="A183" s="177" t="s">
        <v>162</v>
      </c>
      <c r="B183" s="177" t="s">
        <v>1923</v>
      </c>
      <c r="C183" s="78" t="s">
        <v>1924</v>
      </c>
      <c r="D183" s="78">
        <v>2310100.29</v>
      </c>
      <c r="E183" s="78">
        <v>3972327.2478429</v>
      </c>
      <c r="F183" s="78">
        <v>4100042.9461522</v>
      </c>
      <c r="G183" s="78">
        <v>1350259.4972095999</v>
      </c>
      <c r="H183" s="78">
        <v>1348156.9236709999</v>
      </c>
      <c r="I183" s="78">
        <v>1634485.1844202001</v>
      </c>
      <c r="J183" s="78">
        <v>686575.92626710003</v>
      </c>
      <c r="K183" s="78">
        <v>1032697.5637826</v>
      </c>
      <c r="L183" s="78">
        <v>137238.86247960001</v>
      </c>
      <c r="M183" s="78">
        <v>2884726.5675364002</v>
      </c>
      <c r="N183" s="78">
        <v>1942781.5899179999</v>
      </c>
      <c r="O183" s="78">
        <v>1497848.7890695001</v>
      </c>
      <c r="P183" s="78">
        <v>441510.33011169999</v>
      </c>
      <c r="Q183" s="78">
        <f t="shared" si="2"/>
        <v>21028651.428460799</v>
      </c>
    </row>
    <row r="184" spans="1:17" x14ac:dyDescent="0.3">
      <c r="A184" s="177" t="s">
        <v>162</v>
      </c>
      <c r="B184" s="177" t="s">
        <v>1925</v>
      </c>
      <c r="C184" s="78" t="s">
        <v>1926</v>
      </c>
      <c r="D184" s="78">
        <v>79419.67</v>
      </c>
      <c r="E184" s="78">
        <v>11000</v>
      </c>
      <c r="F184" s="78">
        <v>11000</v>
      </c>
      <c r="G184" s="78">
        <v>11000</v>
      </c>
      <c r="H184" s="78">
        <v>11000</v>
      </c>
      <c r="I184" s="78">
        <v>11000</v>
      </c>
      <c r="J184" s="78">
        <v>11000</v>
      </c>
      <c r="K184" s="78">
        <v>11000</v>
      </c>
      <c r="L184" s="78">
        <v>11000</v>
      </c>
      <c r="M184" s="78">
        <v>11000</v>
      </c>
      <c r="N184" s="78">
        <v>11000</v>
      </c>
      <c r="O184" s="78">
        <v>11000</v>
      </c>
      <c r="P184" s="78">
        <v>11000</v>
      </c>
      <c r="Q184" s="78">
        <f t="shared" si="2"/>
        <v>132000</v>
      </c>
    </row>
    <row r="185" spans="1:17" x14ac:dyDescent="0.3">
      <c r="A185" s="177" t="s">
        <v>162</v>
      </c>
      <c r="B185" s="177" t="s">
        <v>1927</v>
      </c>
      <c r="C185" s="78" t="s">
        <v>1928</v>
      </c>
      <c r="D185" s="78">
        <v>71050.62</v>
      </c>
      <c r="E185" s="78">
        <v>45000</v>
      </c>
      <c r="F185" s="78">
        <v>45000</v>
      </c>
      <c r="G185" s="78">
        <v>45000</v>
      </c>
      <c r="H185" s="78">
        <v>45000</v>
      </c>
      <c r="I185" s="78">
        <v>45000</v>
      </c>
      <c r="J185" s="78">
        <v>45000</v>
      </c>
      <c r="K185" s="78">
        <v>45000</v>
      </c>
      <c r="L185" s="78">
        <v>45000</v>
      </c>
      <c r="M185" s="78">
        <v>45000</v>
      </c>
      <c r="N185" s="78">
        <v>45000</v>
      </c>
      <c r="O185" s="78">
        <v>45000</v>
      </c>
      <c r="P185" s="78">
        <v>45000</v>
      </c>
      <c r="Q185" s="78">
        <f t="shared" si="2"/>
        <v>540000</v>
      </c>
    </row>
    <row r="186" spans="1:17" x14ac:dyDescent="0.3">
      <c r="A186" s="177" t="s">
        <v>162</v>
      </c>
      <c r="B186" s="177" t="s">
        <v>1929</v>
      </c>
      <c r="C186" s="78" t="s">
        <v>1930</v>
      </c>
      <c r="D186" s="78">
        <v>643300.1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f t="shared" si="2"/>
        <v>0</v>
      </c>
    </row>
    <row r="187" spans="1:17" x14ac:dyDescent="0.3">
      <c r="A187" s="177" t="s">
        <v>162</v>
      </c>
      <c r="B187" s="177" t="s">
        <v>1931</v>
      </c>
      <c r="C187" s="78" t="s">
        <v>1932</v>
      </c>
      <c r="D187" s="78">
        <v>807770.41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f t="shared" si="2"/>
        <v>0</v>
      </c>
    </row>
    <row r="188" spans="1:17" x14ac:dyDescent="0.3">
      <c r="A188" s="177" t="s">
        <v>162</v>
      </c>
      <c r="B188" s="177" t="s">
        <v>1933</v>
      </c>
      <c r="C188" s="78" t="s">
        <v>1934</v>
      </c>
      <c r="D188" s="78">
        <v>38856.120000000003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f t="shared" si="2"/>
        <v>0</v>
      </c>
    </row>
    <row r="189" spans="1:17" x14ac:dyDescent="0.3">
      <c r="A189" s="177" t="s">
        <v>162</v>
      </c>
      <c r="B189" s="177" t="s">
        <v>1935</v>
      </c>
      <c r="C189" s="78" t="s">
        <v>1936</v>
      </c>
      <c r="D189" s="78">
        <v>134890.41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f t="shared" si="2"/>
        <v>0</v>
      </c>
    </row>
    <row r="190" spans="1:17" x14ac:dyDescent="0.3">
      <c r="A190" s="177" t="s">
        <v>162</v>
      </c>
      <c r="B190" s="177" t="s">
        <v>1937</v>
      </c>
      <c r="C190" s="78" t="s">
        <v>1938</v>
      </c>
      <c r="D190" s="78">
        <v>0</v>
      </c>
      <c r="E190" s="78">
        <v>-458333.33333330002</v>
      </c>
      <c r="F190" s="78">
        <v>-916666.66666670004</v>
      </c>
      <c r="G190" s="78">
        <v>0</v>
      </c>
      <c r="H190" s="78">
        <v>-458333.33333330002</v>
      </c>
      <c r="I190" s="78">
        <v>-916666.66666670004</v>
      </c>
      <c r="J190" s="78">
        <v>0</v>
      </c>
      <c r="K190" s="78">
        <v>-458333.33333330002</v>
      </c>
      <c r="L190" s="78">
        <v>-916666.66666670004</v>
      </c>
      <c r="M190" s="78">
        <v>0</v>
      </c>
      <c r="N190" s="78">
        <v>-458333.33333330002</v>
      </c>
      <c r="O190" s="78">
        <v>-916666.66666670004</v>
      </c>
      <c r="P190" s="78">
        <v>0</v>
      </c>
      <c r="Q190" s="78">
        <f t="shared" si="2"/>
        <v>-5500000</v>
      </c>
    </row>
    <row r="191" spans="1:17" x14ac:dyDescent="0.3">
      <c r="A191" s="177" t="s">
        <v>162</v>
      </c>
      <c r="B191" s="177" t="s">
        <v>1939</v>
      </c>
      <c r="C191" s="78" t="s">
        <v>1940</v>
      </c>
      <c r="D191" s="78">
        <v>4985281.6500000004</v>
      </c>
      <c r="E191" s="78">
        <v>5903778.0800000001</v>
      </c>
      <c r="F191" s="78">
        <v>5934685.54</v>
      </c>
      <c r="G191" s="78">
        <v>5988758.2699999996</v>
      </c>
      <c r="H191" s="78">
        <v>6073086.4299999997</v>
      </c>
      <c r="I191" s="78">
        <v>5960766.6799999997</v>
      </c>
      <c r="J191" s="78">
        <v>5976256.5999999996</v>
      </c>
      <c r="K191" s="78">
        <v>6046577.6600000001</v>
      </c>
      <c r="L191" s="78">
        <v>6131147.9500000002</v>
      </c>
      <c r="M191" s="78">
        <v>6099351.3399999999</v>
      </c>
      <c r="N191" s="78">
        <v>6203432.9000000004</v>
      </c>
      <c r="O191" s="78">
        <v>6240351.1699999999</v>
      </c>
      <c r="P191" s="78">
        <v>6265181.5700000003</v>
      </c>
      <c r="Q191" s="78">
        <f t="shared" si="2"/>
        <v>72823374.190000013</v>
      </c>
    </row>
    <row r="192" spans="1:17" x14ac:dyDescent="0.3">
      <c r="A192" s="177" t="s">
        <v>162</v>
      </c>
      <c r="B192" s="177" t="s">
        <v>1941</v>
      </c>
      <c r="C192" s="78" t="s">
        <v>1942</v>
      </c>
      <c r="D192" s="78">
        <v>857314.59</v>
      </c>
      <c r="E192" s="78">
        <v>883717.64</v>
      </c>
      <c r="F192" s="78">
        <v>885645.69</v>
      </c>
      <c r="G192" s="78">
        <v>889572.47</v>
      </c>
      <c r="H192" s="78">
        <v>893836.3</v>
      </c>
      <c r="I192" s="78">
        <v>897255.37</v>
      </c>
      <c r="J192" s="78">
        <v>900546.6</v>
      </c>
      <c r="K192" s="78">
        <v>904679.46</v>
      </c>
      <c r="L192" s="78">
        <v>908094.14</v>
      </c>
      <c r="M192" s="78">
        <v>911801.91</v>
      </c>
      <c r="N192" s="78">
        <v>915827.93</v>
      </c>
      <c r="O192" s="78">
        <v>920199.52</v>
      </c>
      <c r="P192" s="78">
        <v>924946.34</v>
      </c>
      <c r="Q192" s="78">
        <f t="shared" si="2"/>
        <v>10836123.369999999</v>
      </c>
    </row>
    <row r="193" spans="1:17" x14ac:dyDescent="0.3">
      <c r="A193" s="177" t="s">
        <v>162</v>
      </c>
      <c r="B193" s="177" t="s">
        <v>1943</v>
      </c>
      <c r="C193" s="78" t="s">
        <v>1944</v>
      </c>
      <c r="D193" s="78">
        <v>2809912.21</v>
      </c>
      <c r="E193" s="78">
        <v>4183584.24</v>
      </c>
      <c r="F193" s="78">
        <v>3875541.76</v>
      </c>
      <c r="G193" s="78">
        <v>3747800.35</v>
      </c>
      <c r="H193" s="78">
        <v>3656728.55</v>
      </c>
      <c r="I193" s="78">
        <v>4857280.5599999996</v>
      </c>
      <c r="J193" s="78">
        <v>5874728.3300000001</v>
      </c>
      <c r="K193" s="78">
        <v>6299117.6900000004</v>
      </c>
      <c r="L193" s="78">
        <v>6356932.8899999997</v>
      </c>
      <c r="M193" s="78">
        <v>6039490.6799999997</v>
      </c>
      <c r="N193" s="78">
        <v>5048879.7699999996</v>
      </c>
      <c r="O193" s="78">
        <v>4079247.99</v>
      </c>
      <c r="P193" s="78">
        <v>4419913.59</v>
      </c>
      <c r="Q193" s="78">
        <f t="shared" si="2"/>
        <v>58439246.399999991</v>
      </c>
    </row>
    <row r="194" spans="1:17" x14ac:dyDescent="0.3">
      <c r="A194" s="177" t="s">
        <v>162</v>
      </c>
      <c r="B194" s="177" t="s">
        <v>1945</v>
      </c>
      <c r="C194" s="78" t="s">
        <v>1946</v>
      </c>
      <c r="D194" s="78">
        <v>964475.01</v>
      </c>
      <c r="E194" s="78">
        <v>314258.26</v>
      </c>
      <c r="F194" s="78">
        <v>318110.21999999997</v>
      </c>
      <c r="G194" s="78">
        <v>322089.84000000003</v>
      </c>
      <c r="H194" s="78">
        <v>326027.01</v>
      </c>
      <c r="I194" s="78">
        <v>329688.15000000002</v>
      </c>
      <c r="J194" s="78">
        <v>333179.49</v>
      </c>
      <c r="K194" s="78">
        <v>332587.82</v>
      </c>
      <c r="L194" s="78">
        <v>332011.83</v>
      </c>
      <c r="M194" s="78">
        <v>331585.78999999998</v>
      </c>
      <c r="N194" s="78">
        <v>331045.81</v>
      </c>
      <c r="O194" s="78">
        <v>330437.05</v>
      </c>
      <c r="P194" s="78">
        <v>330185.71000000002</v>
      </c>
      <c r="Q194" s="78">
        <f t="shared" si="2"/>
        <v>3931206.98</v>
      </c>
    </row>
    <row r="195" spans="1:17" x14ac:dyDescent="0.3">
      <c r="A195" s="177" t="s">
        <v>162</v>
      </c>
      <c r="B195" s="177" t="s">
        <v>1947</v>
      </c>
      <c r="C195" s="78" t="s">
        <v>1948</v>
      </c>
      <c r="D195" s="78">
        <v>120634376.44</v>
      </c>
      <c r="E195" s="78">
        <v>120684640.76351701</v>
      </c>
      <c r="F195" s="78">
        <v>120734926.03050099</v>
      </c>
      <c r="G195" s="78">
        <v>120785232.249681</v>
      </c>
      <c r="H195" s="78">
        <v>120835559.429785</v>
      </c>
      <c r="I195" s="78">
        <v>120885907.579547</v>
      </c>
      <c r="J195" s="78">
        <v>120936276.70770501</v>
      </c>
      <c r="K195" s="78">
        <v>120986666.823</v>
      </c>
      <c r="L195" s="78">
        <v>121037077.934177</v>
      </c>
      <c r="M195" s="78">
        <v>121087510.049982</v>
      </c>
      <c r="N195" s="78">
        <v>121137963.17917</v>
      </c>
      <c r="O195" s="78">
        <v>121188437.330495</v>
      </c>
      <c r="P195" s="78">
        <v>121238932.512716</v>
      </c>
      <c r="Q195" s="78">
        <f t="shared" si="2"/>
        <v>1451539130.590276</v>
      </c>
    </row>
    <row r="196" spans="1:17" x14ac:dyDescent="0.3">
      <c r="A196" s="177" t="s">
        <v>162</v>
      </c>
      <c r="B196" s="177" t="s">
        <v>1949</v>
      </c>
      <c r="C196" s="78" t="s">
        <v>1950</v>
      </c>
      <c r="D196" s="78">
        <v>-2172927.27</v>
      </c>
      <c r="E196" s="78">
        <v>-447488.27590000001</v>
      </c>
      <c r="F196" s="78">
        <v>54306.954400000002</v>
      </c>
      <c r="G196" s="78">
        <v>-4991028.77355</v>
      </c>
      <c r="H196" s="78">
        <v>-12711089.823650001</v>
      </c>
      <c r="I196" s="78">
        <v>-6235550.5104</v>
      </c>
      <c r="J196" s="78">
        <v>-9889979.2409499995</v>
      </c>
      <c r="K196" s="78">
        <v>2134969.23655</v>
      </c>
      <c r="L196" s="78">
        <v>14099218.209450001</v>
      </c>
      <c r="M196" s="78">
        <v>8330883.6230499996</v>
      </c>
      <c r="N196" s="78">
        <v>12997352.339400001</v>
      </c>
      <c r="O196" s="78">
        <v>13162165.87975</v>
      </c>
      <c r="P196" s="78">
        <v>0.62595000000000001</v>
      </c>
      <c r="Q196" s="78">
        <f t="shared" si="2"/>
        <v>16503760.244100001</v>
      </c>
    </row>
    <row r="197" spans="1:17" x14ac:dyDescent="0.3">
      <c r="A197" s="177" t="s">
        <v>162</v>
      </c>
      <c r="B197" s="177" t="s">
        <v>1951</v>
      </c>
      <c r="C197" s="78" t="s">
        <v>1952</v>
      </c>
      <c r="D197" s="78">
        <v>-644983.22</v>
      </c>
      <c r="E197" s="78">
        <v>-246061.8766667</v>
      </c>
      <c r="F197" s="78">
        <v>-186270.9733333</v>
      </c>
      <c r="G197" s="78">
        <v>-1663855.7450000001</v>
      </c>
      <c r="H197" s="78">
        <v>-3602132.6016667001</v>
      </c>
      <c r="I197" s="78">
        <v>-1886731.0933333</v>
      </c>
      <c r="J197" s="78">
        <v>-2740986.8050000002</v>
      </c>
      <c r="K197" s="78">
        <v>512421.77833330003</v>
      </c>
      <c r="L197" s="78">
        <v>3749007.6216667001</v>
      </c>
      <c r="M197" s="78">
        <v>2308886.7949999999</v>
      </c>
      <c r="N197" s="78">
        <v>3522908.1933332998</v>
      </c>
      <c r="O197" s="78">
        <v>3489305.1916666999</v>
      </c>
      <c r="P197" s="78">
        <v>0.30499999999999999</v>
      </c>
      <c r="Q197" s="78">
        <f t="shared" si="2"/>
        <v>3256490.7899999996</v>
      </c>
    </row>
    <row r="198" spans="1:17" x14ac:dyDescent="0.3">
      <c r="A198" s="177" t="s">
        <v>162</v>
      </c>
      <c r="B198" s="177" t="s">
        <v>1953</v>
      </c>
      <c r="C198" s="78" t="s">
        <v>1954</v>
      </c>
      <c r="D198" s="78">
        <v>-0.01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8">
        <v>0</v>
      </c>
      <c r="L198" s="78">
        <v>0</v>
      </c>
      <c r="M198" s="78">
        <v>0</v>
      </c>
      <c r="N198" s="78">
        <v>0</v>
      </c>
      <c r="O198" s="78">
        <v>0</v>
      </c>
      <c r="P198" s="78">
        <v>0</v>
      </c>
      <c r="Q198" s="78">
        <f t="shared" si="2"/>
        <v>0</v>
      </c>
    </row>
    <row r="199" spans="1:17" x14ac:dyDescent="0.3">
      <c r="A199" s="177" t="s">
        <v>162</v>
      </c>
      <c r="B199" s="177" t="s">
        <v>1955</v>
      </c>
      <c r="C199" s="78" t="s">
        <v>1956</v>
      </c>
      <c r="D199" s="78">
        <v>3355.45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8">
        <v>0</v>
      </c>
      <c r="L199" s="78">
        <v>0</v>
      </c>
      <c r="M199" s="78">
        <v>0</v>
      </c>
      <c r="N199" s="78">
        <v>0</v>
      </c>
      <c r="O199" s="78">
        <v>0</v>
      </c>
      <c r="P199" s="78">
        <v>0</v>
      </c>
      <c r="Q199" s="78">
        <f t="shared" si="2"/>
        <v>0</v>
      </c>
    </row>
    <row r="200" spans="1:17" x14ac:dyDescent="0.3">
      <c r="A200" s="177" t="s">
        <v>162</v>
      </c>
      <c r="B200" s="177" t="s">
        <v>1957</v>
      </c>
      <c r="C200" s="78" t="s">
        <v>1958</v>
      </c>
      <c r="D200" s="78">
        <v>-16325.16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8">
        <v>0</v>
      </c>
      <c r="L200" s="78">
        <v>0</v>
      </c>
      <c r="M200" s="78">
        <v>0</v>
      </c>
      <c r="N200" s="78">
        <v>0</v>
      </c>
      <c r="O200" s="78">
        <v>0</v>
      </c>
      <c r="P200" s="78">
        <v>0</v>
      </c>
      <c r="Q200" s="78">
        <f t="shared" si="2"/>
        <v>0</v>
      </c>
    </row>
    <row r="201" spans="1:17" x14ac:dyDescent="0.3">
      <c r="A201" s="177" t="s">
        <v>162</v>
      </c>
      <c r="B201" s="177" t="s">
        <v>1959</v>
      </c>
      <c r="C201" s="78" t="s">
        <v>1960</v>
      </c>
      <c r="D201" s="78">
        <v>999625.47</v>
      </c>
      <c r="E201" s="78">
        <v>143662.22387280001</v>
      </c>
      <c r="F201" s="78">
        <v>277476.33587760001</v>
      </c>
      <c r="G201" s="78">
        <v>407155.17183120002</v>
      </c>
      <c r="H201" s="78">
        <v>543520.50410879997</v>
      </c>
      <c r="I201" s="78">
        <v>694394.35238159995</v>
      </c>
      <c r="J201" s="78">
        <v>868675.7940768</v>
      </c>
      <c r="K201" s="78">
        <v>183524.29169760001</v>
      </c>
      <c r="L201" s="78">
        <v>365754.60758880002</v>
      </c>
      <c r="M201" s="78">
        <v>552520.82401920005</v>
      </c>
      <c r="N201" s="78">
        <v>719803.07421840006</v>
      </c>
      <c r="O201" s="78">
        <v>863082.06339599995</v>
      </c>
      <c r="P201" s="78">
        <v>999423.68800319999</v>
      </c>
      <c r="Q201" s="78">
        <f t="shared" si="2"/>
        <v>6618992.9310720004</v>
      </c>
    </row>
    <row r="202" spans="1:17" x14ac:dyDescent="0.3">
      <c r="A202" s="177" t="s">
        <v>162</v>
      </c>
      <c r="B202" s="177" t="s">
        <v>1961</v>
      </c>
      <c r="C202" s="78" t="s">
        <v>1962</v>
      </c>
      <c r="D202" s="78">
        <v>5098883.93</v>
      </c>
      <c r="E202" s="78">
        <v>4826387.7215</v>
      </c>
      <c r="F202" s="78">
        <v>4484584.5439999998</v>
      </c>
      <c r="G202" s="78">
        <v>4340197.2185000004</v>
      </c>
      <c r="H202" s="78">
        <v>4571205.3122500004</v>
      </c>
      <c r="I202" s="78">
        <v>5075410.3257499998</v>
      </c>
      <c r="J202" s="78">
        <v>5887366.1615000004</v>
      </c>
      <c r="K202" s="78">
        <v>6208490.9892499996</v>
      </c>
      <c r="L202" s="78">
        <v>6163536.58225</v>
      </c>
      <c r="M202" s="78">
        <v>6321808.4694999997</v>
      </c>
      <c r="N202" s="78">
        <v>5644375.7502499996</v>
      </c>
      <c r="O202" s="78">
        <v>4811791.2905000001</v>
      </c>
      <c r="P202" s="78">
        <v>4570155.3652499998</v>
      </c>
      <c r="Q202" s="78">
        <f t="shared" si="2"/>
        <v>62905309.73049999</v>
      </c>
    </row>
    <row r="203" spans="1:17" x14ac:dyDescent="0.3">
      <c r="A203" s="177" t="s">
        <v>162</v>
      </c>
      <c r="B203" s="177" t="s">
        <v>1963</v>
      </c>
      <c r="C203" s="78" t="s">
        <v>1964</v>
      </c>
      <c r="D203" s="78">
        <v>0</v>
      </c>
      <c r="E203" s="78">
        <v>7375250</v>
      </c>
      <c r="F203" s="78">
        <v>14750500</v>
      </c>
      <c r="G203" s="78">
        <v>22125750</v>
      </c>
      <c r="H203" s="78">
        <v>29501000</v>
      </c>
      <c r="I203" s="78">
        <v>36876250</v>
      </c>
      <c r="J203" s="78">
        <v>44251500</v>
      </c>
      <c r="K203" s="78">
        <v>51626750</v>
      </c>
      <c r="L203" s="78">
        <v>59002000</v>
      </c>
      <c r="M203" s="78">
        <v>66377250</v>
      </c>
      <c r="N203" s="78">
        <v>73752500</v>
      </c>
      <c r="O203" s="78">
        <v>-7365250</v>
      </c>
      <c r="P203" s="78">
        <v>0</v>
      </c>
      <c r="Q203" s="78">
        <f t="shared" si="2"/>
        <v>398273500</v>
      </c>
    </row>
    <row r="204" spans="1:17" x14ac:dyDescent="0.3">
      <c r="A204" s="177" t="s">
        <v>162</v>
      </c>
      <c r="B204" s="177" t="s">
        <v>1965</v>
      </c>
      <c r="C204" s="78" t="s">
        <v>1966</v>
      </c>
      <c r="D204" s="78">
        <v>5063297.95</v>
      </c>
      <c r="E204" s="78">
        <v>4586709.5967768002</v>
      </c>
      <c r="F204" s="78">
        <v>4298657.5768128</v>
      </c>
      <c r="G204" s="78">
        <v>4191621.7925351998</v>
      </c>
      <c r="H204" s="78">
        <v>4405845.8456531996</v>
      </c>
      <c r="I204" s="78">
        <v>4838743.9173323996</v>
      </c>
      <c r="J204" s="78">
        <v>5534137.2708408004</v>
      </c>
      <c r="K204" s="78">
        <v>5802917.2627235996</v>
      </c>
      <c r="L204" s="78">
        <v>5769435.2731571998</v>
      </c>
      <c r="M204" s="78">
        <v>5902445.4304344002</v>
      </c>
      <c r="N204" s="78">
        <v>5334443.3373587998</v>
      </c>
      <c r="O204" s="78">
        <v>4621611.3851015996</v>
      </c>
      <c r="P204" s="78">
        <v>4392757.4850468002</v>
      </c>
      <c r="Q204" s="78">
        <f t="shared" si="2"/>
        <v>59679326.173773602</v>
      </c>
    </row>
    <row r="205" spans="1:17" x14ac:dyDescent="0.3">
      <c r="A205" s="177" t="s">
        <v>162</v>
      </c>
      <c r="B205" s="177" t="s">
        <v>1967</v>
      </c>
      <c r="C205" s="78" t="s">
        <v>1968</v>
      </c>
      <c r="D205" s="78">
        <v>0</v>
      </c>
      <c r="E205" s="78">
        <v>1000</v>
      </c>
      <c r="F205" s="78">
        <v>0</v>
      </c>
      <c r="G205" s="78">
        <v>0</v>
      </c>
      <c r="H205" s="78">
        <v>0</v>
      </c>
      <c r="I205" s="78">
        <v>0</v>
      </c>
      <c r="J205" s="78">
        <v>0</v>
      </c>
      <c r="K205" s="78">
        <v>36000</v>
      </c>
      <c r="L205" s="78">
        <v>13000</v>
      </c>
      <c r="M205" s="78">
        <v>0</v>
      </c>
      <c r="N205" s="78">
        <v>0</v>
      </c>
      <c r="O205" s="78">
        <v>1000</v>
      </c>
      <c r="P205" s="78">
        <v>0</v>
      </c>
      <c r="Q205" s="78">
        <f t="shared" si="2"/>
        <v>51000</v>
      </c>
    </row>
    <row r="206" spans="1:17" x14ac:dyDescent="0.3">
      <c r="A206" s="177" t="s">
        <v>162</v>
      </c>
      <c r="B206" s="177" t="s">
        <v>1969</v>
      </c>
      <c r="C206" s="78" t="s">
        <v>1970</v>
      </c>
      <c r="D206" s="78">
        <v>2753632.28</v>
      </c>
      <c r="E206" s="78">
        <v>2934878.28</v>
      </c>
      <c r="F206" s="78">
        <v>3116124.28</v>
      </c>
      <c r="G206" s="78">
        <v>950536.07</v>
      </c>
      <c r="H206" s="78">
        <v>1131782.07</v>
      </c>
      <c r="I206" s="78">
        <v>1313028.07</v>
      </c>
      <c r="J206" s="78">
        <v>1615664.07</v>
      </c>
      <c r="K206" s="78">
        <v>1796910.07</v>
      </c>
      <c r="L206" s="78">
        <v>1978156.07</v>
      </c>
      <c r="M206" s="78">
        <v>2280792.0699999998</v>
      </c>
      <c r="N206" s="78">
        <v>2462038.0699999998</v>
      </c>
      <c r="O206" s="78">
        <v>2643284.0699999998</v>
      </c>
      <c r="P206" s="78">
        <v>2945920.07</v>
      </c>
      <c r="Q206" s="78">
        <f t="shared" si="2"/>
        <v>25169113.260000002</v>
      </c>
    </row>
    <row r="207" spans="1:17" x14ac:dyDescent="0.3">
      <c r="A207" s="177" t="s">
        <v>162</v>
      </c>
      <c r="B207" s="177" t="s">
        <v>1971</v>
      </c>
      <c r="C207" s="78" t="s">
        <v>1972</v>
      </c>
      <c r="D207" s="78">
        <v>124071.3</v>
      </c>
      <c r="E207" s="78">
        <v>17000</v>
      </c>
      <c r="F207" s="78">
        <v>19000</v>
      </c>
      <c r="G207" s="78">
        <v>17000</v>
      </c>
      <c r="H207" s="78">
        <v>17000</v>
      </c>
      <c r="I207" s="78">
        <v>17000</v>
      </c>
      <c r="J207" s="78">
        <v>17000</v>
      </c>
      <c r="K207" s="78">
        <v>17000</v>
      </c>
      <c r="L207" s="78">
        <v>17000</v>
      </c>
      <c r="M207" s="78">
        <v>29000</v>
      </c>
      <c r="N207" s="78">
        <v>17000</v>
      </c>
      <c r="O207" s="78">
        <v>17000</v>
      </c>
      <c r="P207" s="78">
        <v>17000</v>
      </c>
      <c r="Q207" s="78">
        <f t="shared" ref="Q207:Q270" si="3">SUM(E207:P207)</f>
        <v>218000</v>
      </c>
    </row>
    <row r="208" spans="1:17" x14ac:dyDescent="0.3">
      <c r="A208" s="177" t="s">
        <v>162</v>
      </c>
      <c r="B208" s="177" t="s">
        <v>1973</v>
      </c>
      <c r="C208" s="78" t="s">
        <v>1974</v>
      </c>
      <c r="D208" s="78">
        <v>114196.26</v>
      </c>
      <c r="E208" s="78">
        <v>339495.22484350001</v>
      </c>
      <c r="F208" s="78">
        <v>564895.18345530005</v>
      </c>
      <c r="G208" s="78">
        <v>790396.17791620002</v>
      </c>
      <c r="H208" s="78">
        <v>1015998.2503244</v>
      </c>
      <c r="I208" s="78">
        <v>1241701.4427956</v>
      </c>
      <c r="J208" s="78">
        <v>1467505.7974634001</v>
      </c>
      <c r="K208" s="78">
        <v>1693411.3564786001</v>
      </c>
      <c r="L208" s="78">
        <v>1919418.1620096001</v>
      </c>
      <c r="M208" s="78">
        <v>2145526.2562425002</v>
      </c>
      <c r="N208" s="78">
        <v>2371735.6813810002</v>
      </c>
      <c r="O208" s="78">
        <v>2598046.4796463</v>
      </c>
      <c r="P208" s="78">
        <v>114768.5516179</v>
      </c>
      <c r="Q208" s="78">
        <f t="shared" si="3"/>
        <v>16262898.5641743</v>
      </c>
    </row>
    <row r="209" spans="1:17" x14ac:dyDescent="0.3">
      <c r="A209" s="177" t="s">
        <v>162</v>
      </c>
      <c r="B209" s="177" t="s">
        <v>1975</v>
      </c>
      <c r="C209" s="78" t="s">
        <v>1976</v>
      </c>
      <c r="D209" s="78">
        <v>-0.08</v>
      </c>
      <c r="E209" s="78">
        <v>749545.19042490004</v>
      </c>
      <c r="F209" s="78">
        <v>165645.19972599999</v>
      </c>
      <c r="G209" s="78">
        <v>89329.700760599997</v>
      </c>
      <c r="H209" s="78">
        <v>102709.0711126</v>
      </c>
      <c r="I209" s="78">
        <v>71444.210882900006</v>
      </c>
      <c r="J209" s="78">
        <v>62456.292998999998</v>
      </c>
      <c r="K209" s="78">
        <v>208986.2911495</v>
      </c>
      <c r="L209" s="78">
        <v>359388.49365369999</v>
      </c>
      <c r="M209" s="78">
        <v>391934.48705549998</v>
      </c>
      <c r="N209" s="78">
        <v>333695.51614379999</v>
      </c>
      <c r="O209" s="78">
        <v>412361.69275639998</v>
      </c>
      <c r="P209" s="78">
        <v>532074.97140259994</v>
      </c>
      <c r="Q209" s="78">
        <f t="shared" si="3"/>
        <v>3479571.1180675002</v>
      </c>
    </row>
    <row r="210" spans="1:17" x14ac:dyDescent="0.3">
      <c r="A210" s="177" t="s">
        <v>162</v>
      </c>
      <c r="B210" s="177" t="s">
        <v>1977</v>
      </c>
      <c r="C210" s="78" t="s">
        <v>1978</v>
      </c>
      <c r="D210" s="78">
        <v>28325520.66</v>
      </c>
      <c r="E210" s="78">
        <v>28502256.780000001</v>
      </c>
      <c r="F210" s="78">
        <v>43897048.446666703</v>
      </c>
      <c r="G210" s="78">
        <v>47591840.1133333</v>
      </c>
      <c r="H210" s="78">
        <v>62986631.780000001</v>
      </c>
      <c r="I210" s="78">
        <v>50731423.446666703</v>
      </c>
      <c r="J210" s="78">
        <v>44819965.1133333</v>
      </c>
      <c r="K210" s="78">
        <v>49808506.780000001</v>
      </c>
      <c r="L210" s="78">
        <v>58084548.446666703</v>
      </c>
      <c r="M210" s="78">
        <v>46382802.1133333</v>
      </c>
      <c r="N210" s="78">
        <v>60808843.780000001</v>
      </c>
      <c r="O210" s="78">
        <v>47584885.446666703</v>
      </c>
      <c r="P210" s="78">
        <v>34554677.1133333</v>
      </c>
      <c r="Q210" s="78">
        <f t="shared" si="3"/>
        <v>575753429.36000013</v>
      </c>
    </row>
    <row r="211" spans="1:17" x14ac:dyDescent="0.3">
      <c r="A211" s="177" t="s">
        <v>162</v>
      </c>
      <c r="B211" s="177" t="s">
        <v>1979</v>
      </c>
      <c r="C211" s="78" t="s">
        <v>1980</v>
      </c>
      <c r="D211" s="78">
        <v>584875.41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8">
        <v>0</v>
      </c>
      <c r="L211" s="78">
        <v>0</v>
      </c>
      <c r="M211" s="78">
        <v>0</v>
      </c>
      <c r="N211" s="78">
        <v>0</v>
      </c>
      <c r="O211" s="78">
        <v>0</v>
      </c>
      <c r="P211" s="78">
        <v>0</v>
      </c>
      <c r="Q211" s="78">
        <f t="shared" si="3"/>
        <v>0</v>
      </c>
    </row>
    <row r="212" spans="1:17" x14ac:dyDescent="0.3">
      <c r="A212" s="177" t="s">
        <v>162</v>
      </c>
      <c r="B212" s="177" t="s">
        <v>1981</v>
      </c>
      <c r="C212" s="78" t="s">
        <v>1982</v>
      </c>
      <c r="D212" s="78">
        <v>757624.99</v>
      </c>
      <c r="E212" s="78">
        <v>1275320.5240432001</v>
      </c>
      <c r="F212" s="78">
        <v>1288867.1985506001</v>
      </c>
      <c r="G212" s="78">
        <v>1295566.3751775001</v>
      </c>
      <c r="H212" s="78">
        <v>1320682.107476</v>
      </c>
      <c r="I212" s="78">
        <v>1425990.1976254</v>
      </c>
      <c r="J212" s="78">
        <v>1533869.1895061</v>
      </c>
      <c r="K212" s="78">
        <v>1596312.4373271</v>
      </c>
      <c r="L212" s="78">
        <v>1667798.3375839</v>
      </c>
      <c r="M212" s="78">
        <v>1695994.2079181999</v>
      </c>
      <c r="N212" s="78">
        <v>1563803.3849342</v>
      </c>
      <c r="O212" s="78">
        <v>1432448.1050129</v>
      </c>
      <c r="P212" s="78">
        <v>1455205.5293771001</v>
      </c>
      <c r="Q212" s="78">
        <f t="shared" si="3"/>
        <v>17551857.594532199</v>
      </c>
    </row>
    <row r="213" spans="1:17" x14ac:dyDescent="0.3">
      <c r="A213" s="177" t="s">
        <v>162</v>
      </c>
      <c r="B213" s="177" t="s">
        <v>1983</v>
      </c>
      <c r="C213" s="78" t="s">
        <v>1984</v>
      </c>
      <c r="D213" s="78">
        <v>528869.61</v>
      </c>
      <c r="E213" s="78">
        <v>639808.45902549999</v>
      </c>
      <c r="F213" s="78">
        <v>646604.61479819997</v>
      </c>
      <c r="G213" s="78">
        <v>649965.48745220003</v>
      </c>
      <c r="H213" s="78">
        <v>662565.65946879995</v>
      </c>
      <c r="I213" s="78">
        <v>715397.08938080003</v>
      </c>
      <c r="J213" s="78">
        <v>769518.30068039999</v>
      </c>
      <c r="K213" s="78">
        <v>800845.10630430002</v>
      </c>
      <c r="L213" s="78">
        <v>836708.46992389997</v>
      </c>
      <c r="M213" s="78">
        <v>850853.89925669995</v>
      </c>
      <c r="N213" s="78">
        <v>784535.82065909996</v>
      </c>
      <c r="O213" s="78">
        <v>718636.92101229995</v>
      </c>
      <c r="P213" s="78">
        <v>730053.9666408</v>
      </c>
      <c r="Q213" s="78">
        <f t="shared" si="3"/>
        <v>8805493.7946029995</v>
      </c>
    </row>
    <row r="214" spans="1:17" x14ac:dyDescent="0.3">
      <c r="A214" s="177" t="s">
        <v>162</v>
      </c>
      <c r="B214" s="177" t="s">
        <v>1985</v>
      </c>
      <c r="C214" s="78" t="s">
        <v>1986</v>
      </c>
      <c r="D214" s="78">
        <v>2315599.6800000002</v>
      </c>
      <c r="E214" s="78">
        <v>1382203.5436823999</v>
      </c>
      <c r="F214" s="78">
        <v>1396885.5480541999</v>
      </c>
      <c r="G214" s="78">
        <v>1404146.1743037</v>
      </c>
      <c r="H214" s="78">
        <v>1431366.8247447</v>
      </c>
      <c r="I214" s="78">
        <v>1545500.6543497001</v>
      </c>
      <c r="J214" s="78">
        <v>1662420.8497478</v>
      </c>
      <c r="K214" s="78">
        <v>1730097.3881474</v>
      </c>
      <c r="L214" s="78">
        <v>1807574.4323849001</v>
      </c>
      <c r="M214" s="78">
        <v>1838133.363382</v>
      </c>
      <c r="N214" s="78">
        <v>1694863.7926926999</v>
      </c>
      <c r="O214" s="78">
        <v>1552499.7908862999</v>
      </c>
      <c r="P214" s="78">
        <v>1577164.4865516</v>
      </c>
      <c r="Q214" s="78">
        <f t="shared" si="3"/>
        <v>19022856.848927405</v>
      </c>
    </row>
    <row r="215" spans="1:17" x14ac:dyDescent="0.3">
      <c r="A215" s="177" t="s">
        <v>162</v>
      </c>
      <c r="B215" s="177" t="s">
        <v>1987</v>
      </c>
      <c r="C215" s="78" t="s">
        <v>1988</v>
      </c>
      <c r="D215" s="78">
        <v>103047.94</v>
      </c>
      <c r="E215" s="78">
        <v>210278.05767400001</v>
      </c>
      <c r="F215" s="78">
        <v>212511.6674604</v>
      </c>
      <c r="G215" s="78">
        <v>213616.24456290001</v>
      </c>
      <c r="H215" s="78">
        <v>217757.38971439999</v>
      </c>
      <c r="I215" s="78">
        <v>235120.85265290001</v>
      </c>
      <c r="J215" s="78">
        <v>252908.21233919999</v>
      </c>
      <c r="K215" s="78">
        <v>263204.01219430001</v>
      </c>
      <c r="L215" s="78">
        <v>274990.78734119999</v>
      </c>
      <c r="M215" s="78">
        <v>279639.793404</v>
      </c>
      <c r="N215" s="78">
        <v>257843.8378185</v>
      </c>
      <c r="O215" s="78">
        <v>236185.64867590001</v>
      </c>
      <c r="P215" s="78">
        <v>239937.95008000001</v>
      </c>
      <c r="Q215" s="78">
        <f t="shared" si="3"/>
        <v>2893994.4539176999</v>
      </c>
    </row>
    <row r="216" spans="1:17" x14ac:dyDescent="0.3">
      <c r="A216" s="177" t="s">
        <v>162</v>
      </c>
      <c r="B216" s="177" t="s">
        <v>1989</v>
      </c>
      <c r="C216" s="78" t="s">
        <v>1990</v>
      </c>
      <c r="D216" s="78">
        <v>5517861.4900000002</v>
      </c>
      <c r="E216" s="78">
        <v>6810429.4155750005</v>
      </c>
      <c r="F216" s="78">
        <v>6882770.9711365998</v>
      </c>
      <c r="G216" s="78">
        <v>6918545.7185038002</v>
      </c>
      <c r="H216" s="78">
        <v>7052668.0185960997</v>
      </c>
      <c r="I216" s="78">
        <v>7615031.2059912002</v>
      </c>
      <c r="J216" s="78">
        <v>8191123.4477263996</v>
      </c>
      <c r="K216" s="78">
        <v>8524581.0560269002</v>
      </c>
      <c r="L216" s="78">
        <v>8906327.9727660995</v>
      </c>
      <c r="M216" s="78">
        <v>9056898.7360391002</v>
      </c>
      <c r="N216" s="78">
        <v>8350977.1638954999</v>
      </c>
      <c r="O216" s="78">
        <v>7649517.5344126001</v>
      </c>
      <c r="P216" s="78">
        <v>7771046.0673505999</v>
      </c>
      <c r="Q216" s="78">
        <f t="shared" si="3"/>
        <v>93729917.308019906</v>
      </c>
    </row>
    <row r="217" spans="1:17" x14ac:dyDescent="0.3">
      <c r="A217" s="177" t="s">
        <v>162</v>
      </c>
      <c r="B217" s="177" t="s">
        <v>1991</v>
      </c>
      <c r="C217" s="78" t="s">
        <v>1992</v>
      </c>
      <c r="D217" s="78">
        <v>600604.75</v>
      </c>
      <c r="E217" s="78">
        <v>600604.75</v>
      </c>
      <c r="F217" s="78">
        <v>600604.75</v>
      </c>
      <c r="G217" s="78">
        <v>600604.75</v>
      </c>
      <c r="H217" s="78">
        <v>600604.75</v>
      </c>
      <c r="I217" s="78">
        <v>600604.75</v>
      </c>
      <c r="J217" s="78">
        <v>600604.75</v>
      </c>
      <c r="K217" s="78">
        <v>600604.75</v>
      </c>
      <c r="L217" s="78">
        <v>600604.75</v>
      </c>
      <c r="M217" s="78">
        <v>600604.75</v>
      </c>
      <c r="N217" s="78">
        <v>600604.75</v>
      </c>
      <c r="O217" s="78">
        <v>600604.75</v>
      </c>
      <c r="P217" s="78">
        <v>600604.75</v>
      </c>
      <c r="Q217" s="78">
        <f t="shared" si="3"/>
        <v>7207257</v>
      </c>
    </row>
    <row r="218" spans="1:17" x14ac:dyDescent="0.3">
      <c r="A218" s="177" t="s">
        <v>162</v>
      </c>
      <c r="B218" s="177" t="s">
        <v>1993</v>
      </c>
      <c r="C218" s="78" t="s">
        <v>1994</v>
      </c>
      <c r="D218" s="78">
        <v>1092727.3899999999</v>
      </c>
      <c r="E218" s="78">
        <v>1092727.3899999999</v>
      </c>
      <c r="F218" s="78">
        <v>1092727.3899999999</v>
      </c>
      <c r="G218" s="78">
        <v>1092727.3899999999</v>
      </c>
      <c r="H218" s="78">
        <v>1092727.3899999999</v>
      </c>
      <c r="I218" s="78">
        <v>1092727.3899999999</v>
      </c>
      <c r="J218" s="78">
        <v>1092727.3899999999</v>
      </c>
      <c r="K218" s="78">
        <v>1092727.3899999999</v>
      </c>
      <c r="L218" s="78">
        <v>1092727.3899999999</v>
      </c>
      <c r="M218" s="78">
        <v>1092727.3899999999</v>
      </c>
      <c r="N218" s="78">
        <v>1092727.3899999999</v>
      </c>
      <c r="O218" s="78">
        <v>1092727.3899999999</v>
      </c>
      <c r="P218" s="78">
        <v>1092727.3899999999</v>
      </c>
      <c r="Q218" s="78">
        <f t="shared" si="3"/>
        <v>13112728.680000002</v>
      </c>
    </row>
    <row r="219" spans="1:17" x14ac:dyDescent="0.3">
      <c r="A219" s="177" t="s">
        <v>162</v>
      </c>
      <c r="B219" s="177" t="s">
        <v>1995</v>
      </c>
      <c r="C219" s="78" t="s">
        <v>1996</v>
      </c>
      <c r="D219" s="78">
        <v>31720.04</v>
      </c>
      <c r="E219" s="78">
        <v>31720.04</v>
      </c>
      <c r="F219" s="78">
        <v>31720.04</v>
      </c>
      <c r="G219" s="78">
        <v>31720.04</v>
      </c>
      <c r="H219" s="78">
        <v>31720.04</v>
      </c>
      <c r="I219" s="78">
        <v>31720.04</v>
      </c>
      <c r="J219" s="78">
        <v>31720.04</v>
      </c>
      <c r="K219" s="78">
        <v>31720.04</v>
      </c>
      <c r="L219" s="78">
        <v>31720.04</v>
      </c>
      <c r="M219" s="78">
        <v>31720.04</v>
      </c>
      <c r="N219" s="78">
        <v>31720.04</v>
      </c>
      <c r="O219" s="78">
        <v>31720.04</v>
      </c>
      <c r="P219" s="78">
        <v>31720.04</v>
      </c>
      <c r="Q219" s="78">
        <f t="shared" si="3"/>
        <v>380640.48</v>
      </c>
    </row>
    <row r="220" spans="1:17" x14ac:dyDescent="0.3">
      <c r="A220" s="177" t="s">
        <v>162</v>
      </c>
      <c r="B220" s="177" t="s">
        <v>1997</v>
      </c>
      <c r="C220" s="78" t="s">
        <v>1998</v>
      </c>
      <c r="D220" s="78">
        <v>267972</v>
      </c>
      <c r="E220" s="78">
        <v>267972</v>
      </c>
      <c r="F220" s="78">
        <v>267972</v>
      </c>
      <c r="G220" s="78">
        <v>267972</v>
      </c>
      <c r="H220" s="78">
        <v>267972</v>
      </c>
      <c r="I220" s="78">
        <v>267972</v>
      </c>
      <c r="J220" s="78">
        <v>267972</v>
      </c>
      <c r="K220" s="78">
        <v>267972</v>
      </c>
      <c r="L220" s="78">
        <v>267972</v>
      </c>
      <c r="M220" s="78">
        <v>267972</v>
      </c>
      <c r="N220" s="78">
        <v>267972</v>
      </c>
      <c r="O220" s="78">
        <v>267972</v>
      </c>
      <c r="P220" s="78">
        <v>267972</v>
      </c>
      <c r="Q220" s="78">
        <f t="shared" si="3"/>
        <v>3215664</v>
      </c>
    </row>
    <row r="221" spans="1:17" x14ac:dyDescent="0.3">
      <c r="A221" s="177" t="s">
        <v>162</v>
      </c>
      <c r="B221" s="177" t="s">
        <v>1999</v>
      </c>
      <c r="C221" s="78" t="s">
        <v>2000</v>
      </c>
      <c r="D221" s="78">
        <v>-0.77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8">
        <v>0</v>
      </c>
      <c r="L221" s="78">
        <v>0</v>
      </c>
      <c r="M221" s="78">
        <v>0</v>
      </c>
      <c r="N221" s="78">
        <v>0</v>
      </c>
      <c r="O221" s="78">
        <v>0</v>
      </c>
      <c r="P221" s="78">
        <v>0</v>
      </c>
      <c r="Q221" s="78">
        <f t="shared" si="3"/>
        <v>0</v>
      </c>
    </row>
    <row r="222" spans="1:17" x14ac:dyDescent="0.3">
      <c r="A222" s="177" t="s">
        <v>162</v>
      </c>
      <c r="B222" s="177" t="s">
        <v>2001</v>
      </c>
      <c r="C222" s="78" t="s">
        <v>2002</v>
      </c>
      <c r="D222" s="78">
        <v>9910129</v>
      </c>
      <c r="E222" s="78">
        <v>9910129</v>
      </c>
      <c r="F222" s="78">
        <v>9910129</v>
      </c>
      <c r="G222" s="78">
        <v>9910129</v>
      </c>
      <c r="H222" s="78">
        <v>9910129</v>
      </c>
      <c r="I222" s="78">
        <v>9910129</v>
      </c>
      <c r="J222" s="78">
        <v>9910129</v>
      </c>
      <c r="K222" s="78">
        <v>9910129</v>
      </c>
      <c r="L222" s="78">
        <v>9910129</v>
      </c>
      <c r="M222" s="78">
        <v>9910129</v>
      </c>
      <c r="N222" s="78">
        <v>9910129</v>
      </c>
      <c r="O222" s="78">
        <v>9910129</v>
      </c>
      <c r="P222" s="78">
        <v>9910129</v>
      </c>
      <c r="Q222" s="78">
        <f t="shared" si="3"/>
        <v>118921548</v>
      </c>
    </row>
    <row r="223" spans="1:17" x14ac:dyDescent="0.3">
      <c r="A223" s="177" t="s">
        <v>162</v>
      </c>
      <c r="B223" s="177" t="s">
        <v>2003</v>
      </c>
      <c r="C223" s="78" t="s">
        <v>2004</v>
      </c>
      <c r="D223" s="78">
        <v>4665432.38</v>
      </c>
      <c r="E223" s="78">
        <v>4665432.38</v>
      </c>
      <c r="F223" s="78">
        <v>4665432.38</v>
      </c>
      <c r="G223" s="78">
        <v>3155368.5733333002</v>
      </c>
      <c r="H223" s="78">
        <v>3155368.5733333002</v>
      </c>
      <c r="I223" s="78">
        <v>3155368.5733333002</v>
      </c>
      <c r="J223" s="78">
        <v>3686431.9066666998</v>
      </c>
      <c r="K223" s="78">
        <v>3686431.9066666998</v>
      </c>
      <c r="L223" s="78">
        <v>3686431.9066666998</v>
      </c>
      <c r="M223" s="78">
        <v>4217495.24</v>
      </c>
      <c r="N223" s="78">
        <v>4217495.24</v>
      </c>
      <c r="O223" s="78">
        <v>4217495.24</v>
      </c>
      <c r="P223" s="78">
        <v>4748558.5733332997</v>
      </c>
      <c r="Q223" s="78">
        <f t="shared" si="3"/>
        <v>47257310.493333302</v>
      </c>
    </row>
    <row r="224" spans="1:17" x14ac:dyDescent="0.3">
      <c r="A224" s="177" t="s">
        <v>162</v>
      </c>
      <c r="B224" s="177" t="s">
        <v>2005</v>
      </c>
      <c r="C224" s="78" t="s">
        <v>2006</v>
      </c>
      <c r="D224" s="78">
        <v>2174415.91</v>
      </c>
      <c r="E224" s="78">
        <v>2174415.91</v>
      </c>
      <c r="F224" s="78">
        <v>2174415.91</v>
      </c>
      <c r="G224" s="78">
        <v>2378300.6114925002</v>
      </c>
      <c r="H224" s="78">
        <v>2378300.6114925002</v>
      </c>
      <c r="I224" s="78">
        <v>2378300.6114925002</v>
      </c>
      <c r="J224" s="78">
        <v>2582185.3129850999</v>
      </c>
      <c r="K224" s="78">
        <v>2582185.3129850999</v>
      </c>
      <c r="L224" s="78">
        <v>2582185.3129850999</v>
      </c>
      <c r="M224" s="78">
        <v>2786070.0144775999</v>
      </c>
      <c r="N224" s="78">
        <v>2786070.0144775999</v>
      </c>
      <c r="O224" s="78">
        <v>2786070.0144775999</v>
      </c>
      <c r="P224" s="78">
        <v>2989954.7159702</v>
      </c>
      <c r="Q224" s="78">
        <f t="shared" si="3"/>
        <v>30578454.352835797</v>
      </c>
    </row>
    <row r="225" spans="1:17" x14ac:dyDescent="0.3">
      <c r="A225" s="177" t="s">
        <v>162</v>
      </c>
      <c r="B225" s="177" t="s">
        <v>2007</v>
      </c>
      <c r="C225" s="78" t="s">
        <v>2008</v>
      </c>
      <c r="D225" s="78">
        <v>511752.43</v>
      </c>
      <c r="E225" s="78">
        <v>0</v>
      </c>
      <c r="F225" s="78">
        <v>0</v>
      </c>
      <c r="G225" s="78">
        <v>0</v>
      </c>
      <c r="H225" s="78">
        <v>0</v>
      </c>
      <c r="I225" s="78">
        <v>0</v>
      </c>
      <c r="J225" s="78">
        <v>0</v>
      </c>
      <c r="K225" s="78">
        <v>0</v>
      </c>
      <c r="L225" s="78">
        <v>0</v>
      </c>
      <c r="M225" s="78">
        <v>0</v>
      </c>
      <c r="N225" s="78">
        <v>0</v>
      </c>
      <c r="O225" s="78">
        <v>0</v>
      </c>
      <c r="P225" s="78">
        <v>0</v>
      </c>
      <c r="Q225" s="78">
        <f t="shared" si="3"/>
        <v>0</v>
      </c>
    </row>
    <row r="226" spans="1:17" x14ac:dyDescent="0.3">
      <c r="A226" s="177" t="s">
        <v>162</v>
      </c>
      <c r="B226" s="177" t="s">
        <v>2009</v>
      </c>
      <c r="C226" s="78" t="s">
        <v>2010</v>
      </c>
      <c r="D226" s="78">
        <v>22547117.07</v>
      </c>
      <c r="E226" s="78">
        <v>22550000</v>
      </c>
      <c r="F226" s="78">
        <v>22644000</v>
      </c>
      <c r="G226" s="78">
        <v>22724000</v>
      </c>
      <c r="H226" s="78">
        <v>22802000</v>
      </c>
      <c r="I226" s="78">
        <v>22857000</v>
      </c>
      <c r="J226" s="78">
        <v>22933000</v>
      </c>
      <c r="K226" s="78">
        <v>22944000</v>
      </c>
      <c r="L226" s="78">
        <v>22989000</v>
      </c>
      <c r="M226" s="78">
        <v>23034000</v>
      </c>
      <c r="N226" s="78">
        <v>23079000</v>
      </c>
      <c r="O226" s="78">
        <v>23124000</v>
      </c>
      <c r="P226" s="78">
        <v>22953000</v>
      </c>
      <c r="Q226" s="78">
        <f t="shared" si="3"/>
        <v>274633000</v>
      </c>
    </row>
    <row r="227" spans="1:17" x14ac:dyDescent="0.3">
      <c r="A227" s="177" t="s">
        <v>162</v>
      </c>
      <c r="B227" s="177" t="s">
        <v>2011</v>
      </c>
      <c r="C227" s="78" t="s">
        <v>2012</v>
      </c>
      <c r="D227" s="78">
        <v>-99536.44</v>
      </c>
      <c r="E227" s="78">
        <v>0</v>
      </c>
      <c r="F227" s="78">
        <v>0</v>
      </c>
      <c r="G227" s="78">
        <v>0</v>
      </c>
      <c r="H227" s="78">
        <v>0</v>
      </c>
      <c r="I227" s="78">
        <v>0</v>
      </c>
      <c r="J227" s="78">
        <v>0</v>
      </c>
      <c r="K227" s="78">
        <v>0</v>
      </c>
      <c r="L227" s="78">
        <v>0</v>
      </c>
      <c r="M227" s="78">
        <v>0</v>
      </c>
      <c r="N227" s="78">
        <v>0</v>
      </c>
      <c r="O227" s="78">
        <v>0</v>
      </c>
      <c r="P227" s="78">
        <v>0</v>
      </c>
      <c r="Q227" s="78">
        <f t="shared" si="3"/>
        <v>0</v>
      </c>
    </row>
    <row r="228" spans="1:17" x14ac:dyDescent="0.3">
      <c r="A228" s="177" t="s">
        <v>162</v>
      </c>
      <c r="B228" s="177" t="s">
        <v>2013</v>
      </c>
      <c r="C228" s="78" t="s">
        <v>2014</v>
      </c>
      <c r="D228" s="78">
        <v>-121.47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8">
        <v>0</v>
      </c>
      <c r="L228" s="78">
        <v>0</v>
      </c>
      <c r="M228" s="78">
        <v>0</v>
      </c>
      <c r="N228" s="78">
        <v>0</v>
      </c>
      <c r="O228" s="78">
        <v>0</v>
      </c>
      <c r="P228" s="78">
        <v>0</v>
      </c>
      <c r="Q228" s="78">
        <f t="shared" si="3"/>
        <v>0</v>
      </c>
    </row>
    <row r="229" spans="1:17" x14ac:dyDescent="0.3">
      <c r="A229" s="177" t="s">
        <v>162</v>
      </c>
      <c r="B229" s="177" t="s">
        <v>2015</v>
      </c>
      <c r="C229" s="78" t="s">
        <v>2016</v>
      </c>
      <c r="D229" s="78">
        <v>1898090.03</v>
      </c>
      <c r="E229" s="78">
        <v>1707839.2821728999</v>
      </c>
      <c r="F229" s="78">
        <v>1707839.2821728999</v>
      </c>
      <c r="G229" s="78">
        <v>1730663.6425282999</v>
      </c>
      <c r="H229" s="78">
        <v>1730663.6425282999</v>
      </c>
      <c r="I229" s="78">
        <v>1730663.6425282999</v>
      </c>
      <c r="J229" s="78">
        <v>1753718.2053092001</v>
      </c>
      <c r="K229" s="78">
        <v>1753718.2053092001</v>
      </c>
      <c r="L229" s="78">
        <v>1753718.2053092001</v>
      </c>
      <c r="M229" s="78">
        <v>1777052.1374854001</v>
      </c>
      <c r="N229" s="78">
        <v>1777052.1374854001</v>
      </c>
      <c r="O229" s="78">
        <v>1777052.1374854001</v>
      </c>
      <c r="P229" s="78">
        <v>1297223.6984861</v>
      </c>
      <c r="Q229" s="78">
        <f t="shared" si="3"/>
        <v>20497204.218800601</v>
      </c>
    </row>
    <row r="230" spans="1:17" x14ac:dyDescent="0.3">
      <c r="A230" s="177" t="s">
        <v>162</v>
      </c>
      <c r="B230" s="177" t="s">
        <v>2017</v>
      </c>
      <c r="C230" s="78" t="s">
        <v>2018</v>
      </c>
      <c r="D230" s="78">
        <v>510193.34</v>
      </c>
      <c r="E230" s="78">
        <v>512136.68100919999</v>
      </c>
      <c r="F230" s="78">
        <v>514117.46380069997</v>
      </c>
      <c r="G230" s="78">
        <v>516101.0358975</v>
      </c>
      <c r="H230" s="78">
        <v>518087.4011585</v>
      </c>
      <c r="I230" s="78">
        <v>520088.51084800001</v>
      </c>
      <c r="J230" s="78">
        <v>522092.43842090003</v>
      </c>
      <c r="K230" s="78">
        <v>524099.1878215</v>
      </c>
      <c r="L230" s="78">
        <v>526108.76302349998</v>
      </c>
      <c r="M230" s="78">
        <v>528121.16800599999</v>
      </c>
      <c r="N230" s="78">
        <v>530136.40675369999</v>
      </c>
      <c r="O230" s="78">
        <v>532154.48325699999</v>
      </c>
      <c r="P230" s="78">
        <v>534175.40151190001</v>
      </c>
      <c r="Q230" s="78">
        <f t="shared" si="3"/>
        <v>6277418.9415084003</v>
      </c>
    </row>
    <row r="231" spans="1:17" x14ac:dyDescent="0.3">
      <c r="A231" s="177" t="s">
        <v>162</v>
      </c>
      <c r="B231" s="177" t="s">
        <v>2019</v>
      </c>
      <c r="C231" s="78" t="s">
        <v>2020</v>
      </c>
      <c r="D231" s="78">
        <v>-3019.3</v>
      </c>
      <c r="E231" s="78">
        <v>0</v>
      </c>
      <c r="F231" s="78">
        <v>0</v>
      </c>
      <c r="G231" s="78">
        <v>0</v>
      </c>
      <c r="H231" s="78">
        <v>0</v>
      </c>
      <c r="I231" s="78">
        <v>0</v>
      </c>
      <c r="J231" s="78">
        <v>0</v>
      </c>
      <c r="K231" s="78">
        <v>0</v>
      </c>
      <c r="L231" s="78">
        <v>0</v>
      </c>
      <c r="M231" s="78">
        <v>0</v>
      </c>
      <c r="N231" s="78">
        <v>0</v>
      </c>
      <c r="O231" s="78">
        <v>0</v>
      </c>
      <c r="P231" s="78">
        <v>0</v>
      </c>
      <c r="Q231" s="78">
        <f t="shared" si="3"/>
        <v>0</v>
      </c>
    </row>
    <row r="232" spans="1:17" x14ac:dyDescent="0.3">
      <c r="A232" s="177" t="s">
        <v>162</v>
      </c>
      <c r="B232" s="177" t="s">
        <v>2021</v>
      </c>
      <c r="C232" s="78" t="s">
        <v>2022</v>
      </c>
      <c r="D232" s="78">
        <v>23379199.260000002</v>
      </c>
      <c r="E232" s="78">
        <v>24416916.914235</v>
      </c>
      <c r="F232" s="78">
        <v>26075059.284669898</v>
      </c>
      <c r="G232" s="78">
        <v>27972964.800582599</v>
      </c>
      <c r="H232" s="78">
        <v>22914727.532287199</v>
      </c>
      <c r="I232" s="78">
        <v>24926452.120358702</v>
      </c>
      <c r="J232" s="78">
        <v>27394415.824237201</v>
      </c>
      <c r="K232" s="78">
        <v>23126130.814773601</v>
      </c>
      <c r="L232" s="78">
        <v>23667347.3133623</v>
      </c>
      <c r="M232" s="78">
        <v>25653154.859569199</v>
      </c>
      <c r="N232" s="78">
        <v>27523139.522361401</v>
      </c>
      <c r="O232" s="78">
        <v>29347177.4977763</v>
      </c>
      <c r="P232" s="78">
        <v>31119781.610330299</v>
      </c>
      <c r="Q232" s="78">
        <f t="shared" si="3"/>
        <v>314137268.09454364</v>
      </c>
    </row>
    <row r="233" spans="1:17" x14ac:dyDescent="0.3">
      <c r="A233" s="177" t="s">
        <v>162</v>
      </c>
      <c r="B233" s="177" t="s">
        <v>2023</v>
      </c>
      <c r="C233" s="78" t="s">
        <v>2024</v>
      </c>
      <c r="D233" s="78">
        <v>1005370.54</v>
      </c>
      <c r="E233" s="78">
        <v>0</v>
      </c>
      <c r="F233" s="78">
        <v>0</v>
      </c>
      <c r="G233" s="78">
        <v>0</v>
      </c>
      <c r="H233" s="78">
        <v>0</v>
      </c>
      <c r="I233" s="78">
        <v>0</v>
      </c>
      <c r="J233" s="78">
        <v>0</v>
      </c>
      <c r="K233" s="78">
        <v>0</v>
      </c>
      <c r="L233" s="78">
        <v>0</v>
      </c>
      <c r="M233" s="78">
        <v>0</v>
      </c>
      <c r="N233" s="78">
        <v>0</v>
      </c>
      <c r="O233" s="78">
        <v>0</v>
      </c>
      <c r="P233" s="78">
        <v>0</v>
      </c>
      <c r="Q233" s="78">
        <f t="shared" si="3"/>
        <v>0</v>
      </c>
    </row>
    <row r="234" spans="1:17" x14ac:dyDescent="0.3">
      <c r="A234" s="177" t="s">
        <v>162</v>
      </c>
      <c r="B234" s="177" t="s">
        <v>2025</v>
      </c>
      <c r="C234" s="78" t="s">
        <v>2026</v>
      </c>
      <c r="D234" s="78">
        <v>-1005370.54</v>
      </c>
      <c r="E234" s="78">
        <v>0</v>
      </c>
      <c r="F234" s="78">
        <v>0</v>
      </c>
      <c r="G234" s="78">
        <v>0</v>
      </c>
      <c r="H234" s="78">
        <v>0</v>
      </c>
      <c r="I234" s="78">
        <v>0</v>
      </c>
      <c r="J234" s="78">
        <v>0</v>
      </c>
      <c r="K234" s="78">
        <v>0</v>
      </c>
      <c r="L234" s="78">
        <v>0</v>
      </c>
      <c r="M234" s="78">
        <v>0</v>
      </c>
      <c r="N234" s="78">
        <v>0</v>
      </c>
      <c r="O234" s="78">
        <v>0</v>
      </c>
      <c r="P234" s="78">
        <v>0</v>
      </c>
      <c r="Q234" s="78">
        <f t="shared" si="3"/>
        <v>0</v>
      </c>
    </row>
    <row r="235" spans="1:17" x14ac:dyDescent="0.3">
      <c r="A235" s="177" t="s">
        <v>162</v>
      </c>
      <c r="B235" s="177" t="s">
        <v>2027</v>
      </c>
      <c r="C235" s="78" t="s">
        <v>2028</v>
      </c>
      <c r="D235" s="78">
        <v>767051.62</v>
      </c>
      <c r="E235" s="78">
        <v>754987.15052679996</v>
      </c>
      <c r="F235" s="78">
        <v>743208.00656120002</v>
      </c>
      <c r="G235" s="78">
        <v>731434.66800820001</v>
      </c>
      <c r="H235" s="78">
        <v>644569.26755690004</v>
      </c>
      <c r="I235" s="78">
        <v>632520.06917010003</v>
      </c>
      <c r="J235" s="78">
        <v>620787.57816040004</v>
      </c>
      <c r="K235" s="78">
        <v>598856.96769169997</v>
      </c>
      <c r="L235" s="78">
        <v>581997.43130089995</v>
      </c>
      <c r="M235" s="78">
        <v>495176.12639370002</v>
      </c>
      <c r="N235" s="78">
        <v>483150.58196139999</v>
      </c>
      <c r="O235" s="78">
        <v>471343.39759289997</v>
      </c>
      <c r="P235" s="78">
        <v>459461.88514550001</v>
      </c>
      <c r="Q235" s="78">
        <f t="shared" si="3"/>
        <v>7217493.130069701</v>
      </c>
    </row>
    <row r="236" spans="1:17" x14ac:dyDescent="0.3">
      <c r="A236" s="177" t="s">
        <v>162</v>
      </c>
      <c r="B236" s="177" t="s">
        <v>2029</v>
      </c>
      <c r="C236" s="78" t="s">
        <v>2030</v>
      </c>
      <c r="D236" s="78">
        <v>-32607.25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8">
        <v>0</v>
      </c>
      <c r="L236" s="78">
        <v>0</v>
      </c>
      <c r="M236" s="78">
        <v>0</v>
      </c>
      <c r="N236" s="78">
        <v>0</v>
      </c>
      <c r="O236" s="78">
        <v>0</v>
      </c>
      <c r="P236" s="78">
        <v>0</v>
      </c>
      <c r="Q236" s="78">
        <f t="shared" si="3"/>
        <v>0</v>
      </c>
    </row>
    <row r="237" spans="1:17" x14ac:dyDescent="0.3">
      <c r="A237" s="177" t="s">
        <v>162</v>
      </c>
      <c r="B237" s="177" t="s">
        <v>2031</v>
      </c>
      <c r="C237" s="78" t="s">
        <v>2032</v>
      </c>
      <c r="D237" s="78">
        <v>3936457.86</v>
      </c>
      <c r="E237" s="78">
        <v>3936457.86</v>
      </c>
      <c r="F237" s="78">
        <v>3936457.86</v>
      </c>
      <c r="G237" s="78">
        <v>2374279.2866667002</v>
      </c>
      <c r="H237" s="78">
        <v>2374279.2866667002</v>
      </c>
      <c r="I237" s="78">
        <v>2374279.2866667002</v>
      </c>
      <c r="J237" s="78">
        <v>3436405.9533333001</v>
      </c>
      <c r="K237" s="78">
        <v>3436405.9533333001</v>
      </c>
      <c r="L237" s="78">
        <v>3436405.9533333001</v>
      </c>
      <c r="M237" s="78">
        <v>4498532.62</v>
      </c>
      <c r="N237" s="78">
        <v>4498532.62</v>
      </c>
      <c r="O237" s="78">
        <v>4498532.62</v>
      </c>
      <c r="P237" s="78">
        <v>5560659.2866666997</v>
      </c>
      <c r="Q237" s="78">
        <f t="shared" si="3"/>
        <v>44361228.586666696</v>
      </c>
    </row>
    <row r="238" spans="1:17" x14ac:dyDescent="0.3">
      <c r="A238" s="177" t="s">
        <v>162</v>
      </c>
      <c r="B238" s="177" t="s">
        <v>2033</v>
      </c>
      <c r="C238" s="78" t="s">
        <v>2034</v>
      </c>
      <c r="D238" s="78">
        <v>2162426.31</v>
      </c>
      <c r="E238" s="78">
        <v>940055.31</v>
      </c>
      <c r="F238" s="78">
        <v>971716.31</v>
      </c>
      <c r="G238" s="78">
        <v>976000</v>
      </c>
      <c r="H238" s="78">
        <v>1094000</v>
      </c>
      <c r="I238" s="78">
        <v>925000</v>
      </c>
      <c r="J238" s="78">
        <v>1387000</v>
      </c>
      <c r="K238" s="78">
        <v>1216000</v>
      </c>
      <c r="L238" s="78">
        <v>1045000</v>
      </c>
      <c r="M238" s="78">
        <v>1126000</v>
      </c>
      <c r="N238" s="78">
        <v>1239000</v>
      </c>
      <c r="O238" s="78">
        <v>1069000</v>
      </c>
      <c r="P238" s="78">
        <v>956000</v>
      </c>
      <c r="Q238" s="78">
        <f t="shared" si="3"/>
        <v>12944771.620000001</v>
      </c>
    </row>
    <row r="239" spans="1:17" x14ac:dyDescent="0.3">
      <c r="A239" s="177" t="s">
        <v>162</v>
      </c>
      <c r="B239" s="177" t="s">
        <v>2035</v>
      </c>
      <c r="C239" s="78" t="s">
        <v>2036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8">
        <v>0</v>
      </c>
      <c r="L239" s="78">
        <v>0</v>
      </c>
      <c r="M239" s="78">
        <v>11640186.951729899</v>
      </c>
      <c r="N239" s="78">
        <v>24226533.149107799</v>
      </c>
      <c r="O239" s="78">
        <v>33608642.137596101</v>
      </c>
      <c r="P239" s="78">
        <v>31771499.791605201</v>
      </c>
      <c r="Q239" s="78">
        <f t="shared" si="3"/>
        <v>101246862.03003901</v>
      </c>
    </row>
    <row r="240" spans="1:17" x14ac:dyDescent="0.3">
      <c r="A240" s="177" t="s">
        <v>162</v>
      </c>
      <c r="B240" s="177" t="s">
        <v>2037</v>
      </c>
      <c r="C240" s="78" t="s">
        <v>2038</v>
      </c>
      <c r="D240" s="78">
        <v>8209745.1399999997</v>
      </c>
      <c r="E240" s="78">
        <v>7544202</v>
      </c>
      <c r="F240" s="78">
        <v>6664106</v>
      </c>
      <c r="G240" s="78">
        <v>5515650</v>
      </c>
      <c r="H240" s="78">
        <v>4412422</v>
      </c>
      <c r="I240" s="78">
        <v>3780961</v>
      </c>
      <c r="J240" s="78">
        <v>3724874</v>
      </c>
      <c r="K240" s="78">
        <v>3205001</v>
      </c>
      <c r="L240" s="78">
        <v>3046556</v>
      </c>
      <c r="M240" s="78">
        <v>2945241</v>
      </c>
      <c r="N240" s="78">
        <v>2667127</v>
      </c>
      <c r="O240" s="78">
        <v>1920409</v>
      </c>
      <c r="P240" s="78">
        <v>1013905</v>
      </c>
      <c r="Q240" s="78">
        <f t="shared" si="3"/>
        <v>46440454</v>
      </c>
    </row>
    <row r="241" spans="1:17" x14ac:dyDescent="0.3">
      <c r="A241" s="177" t="s">
        <v>162</v>
      </c>
      <c r="B241" s="177" t="s">
        <v>2039</v>
      </c>
      <c r="C241" s="78" t="s">
        <v>2040</v>
      </c>
      <c r="D241" s="78">
        <v>10691972</v>
      </c>
      <c r="E241" s="78">
        <v>10383391</v>
      </c>
      <c r="F241" s="78">
        <v>9992872</v>
      </c>
      <c r="G241" s="78">
        <v>9586382</v>
      </c>
      <c r="H241" s="78">
        <v>9144765</v>
      </c>
      <c r="I241" s="78">
        <v>8848698</v>
      </c>
      <c r="J241" s="78">
        <v>8769578</v>
      </c>
      <c r="K241" s="78">
        <v>8784626</v>
      </c>
      <c r="L241" s="78">
        <v>8805209</v>
      </c>
      <c r="M241" s="78">
        <v>8856917</v>
      </c>
      <c r="N241" s="78">
        <v>8732557</v>
      </c>
      <c r="O241" s="78">
        <v>8382530</v>
      </c>
      <c r="P241" s="78">
        <v>7965014</v>
      </c>
      <c r="Q241" s="78">
        <f t="shared" si="3"/>
        <v>108252539</v>
      </c>
    </row>
    <row r="242" spans="1:17" x14ac:dyDescent="0.3">
      <c r="A242" s="177" t="s">
        <v>162</v>
      </c>
      <c r="B242" s="177" t="s">
        <v>2041</v>
      </c>
      <c r="C242" s="78" t="s">
        <v>2042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8">
        <v>0</v>
      </c>
      <c r="J242" s="78">
        <v>0</v>
      </c>
      <c r="K242" s="78">
        <v>326673</v>
      </c>
      <c r="L242" s="78">
        <v>1907561</v>
      </c>
      <c r="M242" s="78">
        <v>3578984</v>
      </c>
      <c r="N242" s="78">
        <v>4077017</v>
      </c>
      <c r="O242" s="78">
        <v>3132997</v>
      </c>
      <c r="P242" s="78">
        <v>1688414</v>
      </c>
      <c r="Q242" s="78">
        <f t="shared" si="3"/>
        <v>14711646</v>
      </c>
    </row>
    <row r="243" spans="1:17" x14ac:dyDescent="0.3">
      <c r="A243" s="177" t="s">
        <v>162</v>
      </c>
      <c r="B243" s="177" t="s">
        <v>2043</v>
      </c>
      <c r="C243" s="78" t="s">
        <v>2044</v>
      </c>
      <c r="D243" s="78">
        <v>2946.6</v>
      </c>
      <c r="E243" s="78">
        <v>2360.88</v>
      </c>
      <c r="F243" s="78">
        <v>1775.16</v>
      </c>
      <c r="G243" s="78">
        <v>1479.3</v>
      </c>
      <c r="H243" s="78">
        <v>1183.44</v>
      </c>
      <c r="I243" s="78">
        <v>887.58</v>
      </c>
      <c r="J243" s="78">
        <v>591.72</v>
      </c>
      <c r="K243" s="78">
        <v>295.86</v>
      </c>
      <c r="L243" s="78">
        <v>0</v>
      </c>
      <c r="M243" s="78">
        <v>0</v>
      </c>
      <c r="N243" s="78">
        <v>0</v>
      </c>
      <c r="O243" s="78">
        <v>0</v>
      </c>
      <c r="P243" s="78">
        <v>0</v>
      </c>
      <c r="Q243" s="78">
        <f t="shared" si="3"/>
        <v>8573.94</v>
      </c>
    </row>
    <row r="244" spans="1:17" x14ac:dyDescent="0.3">
      <c r="A244" s="177" t="s">
        <v>162</v>
      </c>
      <c r="B244" s="177" t="s">
        <v>2045</v>
      </c>
      <c r="C244" s="78" t="s">
        <v>2046</v>
      </c>
      <c r="D244" s="78">
        <v>665079.21</v>
      </c>
      <c r="E244" s="78">
        <v>528000</v>
      </c>
      <c r="F244" s="78">
        <v>528000</v>
      </c>
      <c r="G244" s="78">
        <v>528000</v>
      </c>
      <c r="H244" s="78">
        <v>528000</v>
      </c>
      <c r="I244" s="78">
        <v>528000</v>
      </c>
      <c r="J244" s="78">
        <v>528000</v>
      </c>
      <c r="K244" s="78">
        <v>528000</v>
      </c>
      <c r="L244" s="78">
        <v>528000</v>
      </c>
      <c r="M244" s="78">
        <v>528000</v>
      </c>
      <c r="N244" s="78">
        <v>528000</v>
      </c>
      <c r="O244" s="78">
        <v>528000</v>
      </c>
      <c r="P244" s="78">
        <v>528000</v>
      </c>
      <c r="Q244" s="78">
        <f t="shared" si="3"/>
        <v>6336000</v>
      </c>
    </row>
    <row r="245" spans="1:17" x14ac:dyDescent="0.3">
      <c r="A245" s="177" t="s">
        <v>162</v>
      </c>
      <c r="B245" s="177" t="s">
        <v>2047</v>
      </c>
      <c r="C245" s="78" t="s">
        <v>2048</v>
      </c>
      <c r="D245" s="78">
        <v>62975</v>
      </c>
      <c r="E245" s="78">
        <v>62777</v>
      </c>
      <c r="F245" s="78">
        <v>62579</v>
      </c>
      <c r="G245" s="78">
        <v>62381</v>
      </c>
      <c r="H245" s="78">
        <v>62183</v>
      </c>
      <c r="I245" s="78">
        <v>61985</v>
      </c>
      <c r="J245" s="78">
        <v>61787</v>
      </c>
      <c r="K245" s="78">
        <v>61589</v>
      </c>
      <c r="L245" s="78">
        <v>61391</v>
      </c>
      <c r="M245" s="78">
        <v>61193</v>
      </c>
      <c r="N245" s="78">
        <v>60995</v>
      </c>
      <c r="O245" s="78">
        <v>60797</v>
      </c>
      <c r="P245" s="78">
        <v>60599</v>
      </c>
      <c r="Q245" s="78">
        <f t="shared" si="3"/>
        <v>740256</v>
      </c>
    </row>
    <row r="246" spans="1:17" x14ac:dyDescent="0.3">
      <c r="A246" s="177" t="s">
        <v>162</v>
      </c>
      <c r="B246" s="177" t="s">
        <v>2049</v>
      </c>
      <c r="C246" s="78" t="s">
        <v>2050</v>
      </c>
      <c r="D246" s="78">
        <v>4259615.72</v>
      </c>
      <c r="E246" s="78">
        <v>4340328</v>
      </c>
      <c r="F246" s="78">
        <v>4417428.7699999996</v>
      </c>
      <c r="G246" s="78">
        <v>4492346.8899999997</v>
      </c>
      <c r="H246" s="78">
        <v>4569706.47</v>
      </c>
      <c r="I246" s="78">
        <v>4653811.6900000004</v>
      </c>
      <c r="J246" s="78">
        <v>4748936.6500000004</v>
      </c>
      <c r="K246" s="78">
        <v>4847817.3099999996</v>
      </c>
      <c r="L246" s="78">
        <v>4945951.96</v>
      </c>
      <c r="M246" s="78">
        <v>5045757.16</v>
      </c>
      <c r="N246" s="78">
        <v>5137107.99</v>
      </c>
      <c r="O246" s="78">
        <v>5216989.2699999996</v>
      </c>
      <c r="P246" s="78">
        <v>5293472.4800000004</v>
      </c>
      <c r="Q246" s="78">
        <f t="shared" si="3"/>
        <v>57709654.640000001</v>
      </c>
    </row>
    <row r="247" spans="1:17" x14ac:dyDescent="0.3">
      <c r="A247" s="177" t="s">
        <v>162</v>
      </c>
      <c r="B247" s="177" t="s">
        <v>2051</v>
      </c>
      <c r="C247" s="78" t="s">
        <v>2052</v>
      </c>
      <c r="D247" s="78">
        <v>34146.559999999998</v>
      </c>
      <c r="E247" s="78">
        <v>34141</v>
      </c>
      <c r="F247" s="78">
        <v>34141</v>
      </c>
      <c r="G247" s="78">
        <v>34141</v>
      </c>
      <c r="H247" s="78">
        <v>34136</v>
      </c>
      <c r="I247" s="78">
        <v>34136</v>
      </c>
      <c r="J247" s="78">
        <v>34136</v>
      </c>
      <c r="K247" s="78">
        <v>34131</v>
      </c>
      <c r="L247" s="78">
        <v>34131</v>
      </c>
      <c r="M247" s="78">
        <v>34131</v>
      </c>
      <c r="N247" s="78">
        <v>34126</v>
      </c>
      <c r="O247" s="78">
        <v>34126</v>
      </c>
      <c r="P247" s="78">
        <v>34126</v>
      </c>
      <c r="Q247" s="78">
        <f t="shared" si="3"/>
        <v>409602</v>
      </c>
    </row>
    <row r="248" spans="1:17" x14ac:dyDescent="0.3">
      <c r="A248" s="177" t="s">
        <v>162</v>
      </c>
      <c r="B248" s="177" t="s">
        <v>2053</v>
      </c>
      <c r="C248" s="78" t="s">
        <v>2054</v>
      </c>
      <c r="D248" s="78">
        <v>476702076.82999998</v>
      </c>
      <c r="E248" s="78">
        <v>473537620.86000001</v>
      </c>
      <c r="F248" s="78">
        <v>470450365.86000001</v>
      </c>
      <c r="G248" s="78">
        <v>474297900.86000001</v>
      </c>
      <c r="H248" s="78">
        <v>471133260.86000001</v>
      </c>
      <c r="I248" s="78">
        <v>467968620.86000001</v>
      </c>
      <c r="J248" s="78">
        <v>464680067.86000001</v>
      </c>
      <c r="K248" s="78">
        <v>461515426.86000001</v>
      </c>
      <c r="L248" s="78">
        <v>458350786.86000001</v>
      </c>
      <c r="M248" s="78">
        <v>445634452.86000001</v>
      </c>
      <c r="N248" s="78">
        <v>442456963.86000001</v>
      </c>
      <c r="O248" s="78">
        <v>439279474.86000001</v>
      </c>
      <c r="P248" s="78">
        <v>440307185.86000001</v>
      </c>
      <c r="Q248" s="78">
        <f t="shared" si="3"/>
        <v>5509612128.3199997</v>
      </c>
    </row>
    <row r="249" spans="1:17" x14ac:dyDescent="0.3">
      <c r="A249" s="177" t="s">
        <v>162</v>
      </c>
      <c r="B249" s="177" t="s">
        <v>2055</v>
      </c>
      <c r="C249" s="78" t="s">
        <v>2056</v>
      </c>
      <c r="D249" s="78">
        <v>22683532.16</v>
      </c>
      <c r="E249" s="78">
        <v>24466301.408303201</v>
      </c>
      <c r="F249" s="78">
        <v>26729044.608343098</v>
      </c>
      <c r="G249" s="78">
        <v>29325624.117640801</v>
      </c>
      <c r="H249" s="78">
        <v>32887597.7582381</v>
      </c>
      <c r="I249" s="78">
        <v>36893143.416775897</v>
      </c>
      <c r="J249" s="78">
        <v>40299145.260388702</v>
      </c>
      <c r="K249" s="78">
        <v>43515161.741863102</v>
      </c>
      <c r="L249" s="78">
        <v>46618641.695590198</v>
      </c>
      <c r="M249" s="78">
        <v>49298576.839966103</v>
      </c>
      <c r="N249" s="78">
        <v>51894393.1022323</v>
      </c>
      <c r="O249" s="78">
        <v>53775763.470939003</v>
      </c>
      <c r="P249" s="78">
        <v>55227086.771974601</v>
      </c>
      <c r="Q249" s="78">
        <f t="shared" si="3"/>
        <v>490930480.19225508</v>
      </c>
    </row>
    <row r="250" spans="1:17" x14ac:dyDescent="0.3">
      <c r="A250" s="177" t="s">
        <v>162</v>
      </c>
      <c r="B250" s="177" t="s">
        <v>2057</v>
      </c>
      <c r="C250" s="78" t="s">
        <v>389</v>
      </c>
      <c r="D250" s="78">
        <v>237150717.75</v>
      </c>
      <c r="E250" s="78">
        <v>236477639.71000001</v>
      </c>
      <c r="F250" s="78">
        <v>236079016.71000001</v>
      </c>
      <c r="G250" s="78">
        <v>235405285.71000001</v>
      </c>
      <c r="H250" s="78">
        <v>234731554.71000001</v>
      </c>
      <c r="I250" s="78">
        <v>234057823.71000001</v>
      </c>
      <c r="J250" s="78">
        <v>233384092.71000001</v>
      </c>
      <c r="K250" s="78">
        <v>232710361.71000001</v>
      </c>
      <c r="L250" s="78">
        <v>232036630.71000001</v>
      </c>
      <c r="M250" s="78">
        <v>236843899.71000001</v>
      </c>
      <c r="N250" s="78">
        <v>236124493.71000001</v>
      </c>
      <c r="O250" s="78">
        <v>235405087.71000001</v>
      </c>
      <c r="P250" s="78">
        <v>234685671.71000001</v>
      </c>
      <c r="Q250" s="78">
        <f t="shared" si="3"/>
        <v>2817941558.52</v>
      </c>
    </row>
    <row r="251" spans="1:17" x14ac:dyDescent="0.3">
      <c r="A251" s="177" t="s">
        <v>162</v>
      </c>
      <c r="B251" s="177" t="s">
        <v>2058</v>
      </c>
      <c r="C251" s="78" t="s">
        <v>2059</v>
      </c>
      <c r="D251" s="78">
        <v>881.52</v>
      </c>
      <c r="E251" s="78">
        <v>859.48</v>
      </c>
      <c r="F251" s="78">
        <v>858.48</v>
      </c>
      <c r="G251" s="78">
        <v>857.48</v>
      </c>
      <c r="H251" s="78">
        <v>856.48</v>
      </c>
      <c r="I251" s="78">
        <v>855.48</v>
      </c>
      <c r="J251" s="78">
        <v>854.48</v>
      </c>
      <c r="K251" s="78">
        <v>853.48</v>
      </c>
      <c r="L251" s="78">
        <v>852.48</v>
      </c>
      <c r="M251" s="78">
        <v>851.48</v>
      </c>
      <c r="N251" s="78">
        <v>850.48</v>
      </c>
      <c r="O251" s="78">
        <v>849.48</v>
      </c>
      <c r="P251" s="78">
        <v>848.48</v>
      </c>
      <c r="Q251" s="78">
        <f t="shared" si="3"/>
        <v>10247.759999999997</v>
      </c>
    </row>
    <row r="252" spans="1:17" x14ac:dyDescent="0.3">
      <c r="A252" s="177" t="s">
        <v>162</v>
      </c>
      <c r="B252" s="177" t="s">
        <v>2060</v>
      </c>
      <c r="C252" s="78" t="s">
        <v>2061</v>
      </c>
      <c r="D252" s="78">
        <v>-7876.12</v>
      </c>
      <c r="E252" s="78">
        <v>-7876.12</v>
      </c>
      <c r="F252" s="78">
        <v>-7876.12</v>
      </c>
      <c r="G252" s="78">
        <v>-7876.12</v>
      </c>
      <c r="H252" s="78">
        <v>-7876.12</v>
      </c>
      <c r="I252" s="78">
        <v>-7876.12</v>
      </c>
      <c r="J252" s="78">
        <v>-7876.12</v>
      </c>
      <c r="K252" s="78">
        <v>-7876.12</v>
      </c>
      <c r="L252" s="78">
        <v>-7876.12</v>
      </c>
      <c r="M252" s="78">
        <v>-7876.12</v>
      </c>
      <c r="N252" s="78">
        <v>-7876.12</v>
      </c>
      <c r="O252" s="78">
        <v>-7876.12</v>
      </c>
      <c r="P252" s="78">
        <v>-7876.12</v>
      </c>
      <c r="Q252" s="78">
        <f t="shared" si="3"/>
        <v>-94513.439999999988</v>
      </c>
    </row>
    <row r="253" spans="1:17" x14ac:dyDescent="0.3">
      <c r="A253" s="177" t="s">
        <v>162</v>
      </c>
      <c r="B253" s="177" t="s">
        <v>2062</v>
      </c>
      <c r="C253" s="78" t="s">
        <v>2063</v>
      </c>
      <c r="D253" s="78">
        <v>47213964.520000003</v>
      </c>
      <c r="E253" s="78">
        <v>47086178.119999997</v>
      </c>
      <c r="F253" s="78">
        <v>46958392.119999997</v>
      </c>
      <c r="G253" s="78">
        <v>46830606.119999997</v>
      </c>
      <c r="H253" s="78">
        <v>46702820.119999997</v>
      </c>
      <c r="I253" s="78">
        <v>46575034.119999997</v>
      </c>
      <c r="J253" s="78">
        <v>46447248.119999997</v>
      </c>
      <c r="K253" s="78">
        <v>46319462.119999997</v>
      </c>
      <c r="L253" s="78">
        <v>46191676.119999997</v>
      </c>
      <c r="M253" s="78">
        <v>46063890.119999997</v>
      </c>
      <c r="N253" s="78">
        <v>45936104.119999997</v>
      </c>
      <c r="O253" s="78">
        <v>45808318.119999997</v>
      </c>
      <c r="P253" s="78">
        <v>45680532.119999997</v>
      </c>
      <c r="Q253" s="78">
        <f t="shared" si="3"/>
        <v>556600261.43999994</v>
      </c>
    </row>
    <row r="254" spans="1:17" x14ac:dyDescent="0.3">
      <c r="A254" s="177" t="s">
        <v>162</v>
      </c>
      <c r="B254" s="177" t="s">
        <v>2064</v>
      </c>
      <c r="C254" s="78" t="s">
        <v>2065</v>
      </c>
      <c r="D254" s="78">
        <v>7872338.0199999996</v>
      </c>
      <c r="E254" s="78">
        <v>7836915.0700000003</v>
      </c>
      <c r="F254" s="78">
        <v>7801499.0700000003</v>
      </c>
      <c r="G254" s="78">
        <v>7766083.0700000003</v>
      </c>
      <c r="H254" s="78">
        <v>7730667.0700000003</v>
      </c>
      <c r="I254" s="78">
        <v>7695251.0700000003</v>
      </c>
      <c r="J254" s="78">
        <v>7659835.0700000003</v>
      </c>
      <c r="K254" s="78">
        <v>7624419.0700000003</v>
      </c>
      <c r="L254" s="78">
        <v>7589003.0700000003</v>
      </c>
      <c r="M254" s="78">
        <v>7553587.0700000003</v>
      </c>
      <c r="N254" s="78">
        <v>7518171.0700000003</v>
      </c>
      <c r="O254" s="78">
        <v>7482755.0700000003</v>
      </c>
      <c r="P254" s="78">
        <v>7447339.0700000003</v>
      </c>
      <c r="Q254" s="78">
        <f t="shared" si="3"/>
        <v>91705524.839999974</v>
      </c>
    </row>
    <row r="255" spans="1:17" x14ac:dyDescent="0.3">
      <c r="A255" s="177" t="s">
        <v>162</v>
      </c>
      <c r="B255" s="177" t="s">
        <v>2066</v>
      </c>
      <c r="C255" s="78" t="s">
        <v>2067</v>
      </c>
      <c r="D255" s="78">
        <v>1435327835.5599999</v>
      </c>
      <c r="E255" s="78">
        <v>1439061668.77</v>
      </c>
      <c r="F255" s="78">
        <v>1442899186.77</v>
      </c>
      <c r="G255" s="78">
        <v>1446744181.77</v>
      </c>
      <c r="H255" s="78">
        <v>1450444772.77</v>
      </c>
      <c r="I255" s="78">
        <v>1454684800.77</v>
      </c>
      <c r="J255" s="78">
        <v>1458516885.77</v>
      </c>
      <c r="K255" s="78">
        <v>1462321081.77</v>
      </c>
      <c r="L255" s="78">
        <v>1466074328.77</v>
      </c>
      <c r="M255" s="78">
        <v>1469730068.77</v>
      </c>
      <c r="N255" s="78">
        <v>1473404144.77</v>
      </c>
      <c r="O255" s="78">
        <v>1477060629.77</v>
      </c>
      <c r="P255" s="78">
        <v>1480700413.77</v>
      </c>
      <c r="Q255" s="78">
        <f t="shared" si="3"/>
        <v>17521642164.240002</v>
      </c>
    </row>
    <row r="256" spans="1:17" x14ac:dyDescent="0.3">
      <c r="A256" s="177" t="s">
        <v>162</v>
      </c>
      <c r="B256" s="177" t="s">
        <v>2068</v>
      </c>
      <c r="C256" s="78" t="s">
        <v>2069</v>
      </c>
      <c r="D256" s="78">
        <v>271296923.45999998</v>
      </c>
      <c r="E256" s="78">
        <v>273029711.49000001</v>
      </c>
      <c r="F256" s="78">
        <v>274788044.49000001</v>
      </c>
      <c r="G256" s="78">
        <v>276552956.49000001</v>
      </c>
      <c r="H256" s="78">
        <v>278273316.49000001</v>
      </c>
      <c r="I256" s="78">
        <v>280145504.49000001</v>
      </c>
      <c r="J256" s="78">
        <v>281902037.49000001</v>
      </c>
      <c r="K256" s="78">
        <v>283653561.49000001</v>
      </c>
      <c r="L256" s="78">
        <v>285388517.49000001</v>
      </c>
      <c r="M256" s="78">
        <v>287102849.49000001</v>
      </c>
      <c r="N256" s="78">
        <v>288815869.49000001</v>
      </c>
      <c r="O256" s="78">
        <v>290526307.49000001</v>
      </c>
      <c r="P256" s="78">
        <v>292233648.49000001</v>
      </c>
      <c r="Q256" s="78">
        <f t="shared" si="3"/>
        <v>3392412324.8799992</v>
      </c>
    </row>
    <row r="257" spans="1:17" x14ac:dyDescent="0.3">
      <c r="A257" s="177" t="s">
        <v>162</v>
      </c>
      <c r="B257" s="177" t="s">
        <v>2070</v>
      </c>
      <c r="C257" s="78" t="s">
        <v>2071</v>
      </c>
      <c r="D257" s="78">
        <v>-222922291.34999999</v>
      </c>
      <c r="E257" s="78">
        <v>-220576052.05000001</v>
      </c>
      <c r="F257" s="78">
        <v>-218162392.05000001</v>
      </c>
      <c r="G257" s="78">
        <v>-220979011.05000001</v>
      </c>
      <c r="H257" s="78">
        <v>-218513281.05000001</v>
      </c>
      <c r="I257" s="78">
        <v>-216012193.05000001</v>
      </c>
      <c r="J257" s="78">
        <v>-213364448.05000001</v>
      </c>
      <c r="K257" s="78">
        <v>-210739020.05000001</v>
      </c>
      <c r="L257" s="78">
        <v>-208059695.05000001</v>
      </c>
      <c r="M257" s="78">
        <v>-196363416.05000001</v>
      </c>
      <c r="N257" s="78">
        <v>-193607438.05000001</v>
      </c>
      <c r="O257" s="78">
        <v>-190796383.05000001</v>
      </c>
      <c r="P257" s="78">
        <v>-191156390.05000001</v>
      </c>
      <c r="Q257" s="78">
        <f t="shared" si="3"/>
        <v>-2498329719.5999999</v>
      </c>
    </row>
    <row r="258" spans="1:17" x14ac:dyDescent="0.3">
      <c r="A258" s="177" t="s">
        <v>162</v>
      </c>
      <c r="B258" s="177" t="s">
        <v>2072</v>
      </c>
      <c r="C258" s="78" t="s">
        <v>2073</v>
      </c>
      <c r="D258" s="78">
        <v>32882248.190000001</v>
      </c>
      <c r="E258" s="78">
        <v>34224493.159999996</v>
      </c>
      <c r="F258" s="78">
        <v>32598972.16</v>
      </c>
      <c r="G258" s="78">
        <v>41835867.159999996</v>
      </c>
      <c r="H258" s="78">
        <v>39178535.159999996</v>
      </c>
      <c r="I258" s="78">
        <v>36791686.159999996</v>
      </c>
      <c r="J258" s="78">
        <v>32433499.16</v>
      </c>
      <c r="K258" s="78">
        <v>28744851.16</v>
      </c>
      <c r="L258" s="78">
        <v>25442373.16</v>
      </c>
      <c r="M258" s="78">
        <v>14844327.16</v>
      </c>
      <c r="N258" s="78">
        <v>14192369.16</v>
      </c>
      <c r="O258" s="78">
        <v>13833634.16</v>
      </c>
      <c r="P258" s="78">
        <v>16191413.16</v>
      </c>
      <c r="Q258" s="78">
        <f t="shared" si="3"/>
        <v>330312020.92000008</v>
      </c>
    </row>
    <row r="259" spans="1:17" x14ac:dyDescent="0.3">
      <c r="A259" s="177" t="s">
        <v>162</v>
      </c>
      <c r="B259" s="177" t="s">
        <v>2074</v>
      </c>
      <c r="C259" s="78" t="s">
        <v>2075</v>
      </c>
      <c r="D259" s="78">
        <v>79139921.349999994</v>
      </c>
      <c r="E259" s="78">
        <v>79139928.760000005</v>
      </c>
      <c r="F259" s="78">
        <v>79139928.760000005</v>
      </c>
      <c r="G259" s="78">
        <v>79139928.760000005</v>
      </c>
      <c r="H259" s="78">
        <v>79139928.760000005</v>
      </c>
      <c r="I259" s="78">
        <v>79139928.760000005</v>
      </c>
      <c r="J259" s="78">
        <v>79139928.760000005</v>
      </c>
      <c r="K259" s="78">
        <v>79139928.760000005</v>
      </c>
      <c r="L259" s="78">
        <v>79139928.760000005</v>
      </c>
      <c r="M259" s="78">
        <v>79139928.760000005</v>
      </c>
      <c r="N259" s="78">
        <v>79139928.760000005</v>
      </c>
      <c r="O259" s="78">
        <v>79139928.760000005</v>
      </c>
      <c r="P259" s="78">
        <v>79139928.760000005</v>
      </c>
      <c r="Q259" s="78">
        <f t="shared" si="3"/>
        <v>949679145.12</v>
      </c>
    </row>
    <row r="260" spans="1:17" x14ac:dyDescent="0.3">
      <c r="A260" s="177" t="s">
        <v>162</v>
      </c>
      <c r="B260" s="177" t="s">
        <v>2076</v>
      </c>
      <c r="C260" s="78" t="s">
        <v>2077</v>
      </c>
      <c r="D260" s="78">
        <v>1926507.62</v>
      </c>
      <c r="E260" s="78">
        <v>1926508.04</v>
      </c>
      <c r="F260" s="78">
        <v>1926508.04</v>
      </c>
      <c r="G260" s="78">
        <v>1926508.04</v>
      </c>
      <c r="H260" s="78">
        <v>1926508.04</v>
      </c>
      <c r="I260" s="78">
        <v>1926508.04</v>
      </c>
      <c r="J260" s="78">
        <v>1926508.04</v>
      </c>
      <c r="K260" s="78">
        <v>1926508.04</v>
      </c>
      <c r="L260" s="78">
        <v>1926508.04</v>
      </c>
      <c r="M260" s="78">
        <v>1926508.04</v>
      </c>
      <c r="N260" s="78">
        <v>1926508.04</v>
      </c>
      <c r="O260" s="78">
        <v>1926508.04</v>
      </c>
      <c r="P260" s="78">
        <v>1926508.04</v>
      </c>
      <c r="Q260" s="78">
        <f t="shared" si="3"/>
        <v>23118096.479999993</v>
      </c>
    </row>
    <row r="261" spans="1:17" x14ac:dyDescent="0.3">
      <c r="A261" s="177" t="s">
        <v>162</v>
      </c>
      <c r="B261" s="177" t="s">
        <v>2078</v>
      </c>
      <c r="C261" s="78" t="s">
        <v>2079</v>
      </c>
      <c r="D261" s="78">
        <v>6804586.3700000001</v>
      </c>
      <c r="E261" s="78">
        <v>7173537.2599999998</v>
      </c>
      <c r="F261" s="78">
        <v>6723043.2599999998</v>
      </c>
      <c r="G261" s="78">
        <v>7827745.2599999998</v>
      </c>
      <c r="H261" s="78">
        <v>7091371.2599999998</v>
      </c>
      <c r="I261" s="78">
        <v>6427636.2599999998</v>
      </c>
      <c r="J261" s="78">
        <v>5245782.26</v>
      </c>
      <c r="K261" s="78">
        <v>4221131.26</v>
      </c>
      <c r="L261" s="78">
        <v>3305953.26</v>
      </c>
      <c r="M261" s="78">
        <v>2657715.2599999998</v>
      </c>
      <c r="N261" s="78">
        <v>2477117.2599999998</v>
      </c>
      <c r="O261" s="78">
        <v>2375491.2599999998</v>
      </c>
      <c r="P261" s="78">
        <v>2155142.2599999998</v>
      </c>
      <c r="Q261" s="78">
        <f t="shared" si="3"/>
        <v>57681666.119999982</v>
      </c>
    </row>
    <row r="262" spans="1:17" x14ac:dyDescent="0.3">
      <c r="A262" s="177" t="s">
        <v>162</v>
      </c>
      <c r="B262" s="177" t="s">
        <v>2080</v>
      </c>
      <c r="C262" s="78" t="s">
        <v>2081</v>
      </c>
      <c r="D262" s="78">
        <v>12997895.41</v>
      </c>
      <c r="E262" s="78">
        <v>12997895.699999999</v>
      </c>
      <c r="F262" s="78">
        <v>12997895.699999999</v>
      </c>
      <c r="G262" s="78">
        <v>12997895.699999999</v>
      </c>
      <c r="H262" s="78">
        <v>12997895.699999999</v>
      </c>
      <c r="I262" s="78">
        <v>12997895.699999999</v>
      </c>
      <c r="J262" s="78">
        <v>12997895.699999999</v>
      </c>
      <c r="K262" s="78">
        <v>12997895.699999999</v>
      </c>
      <c r="L262" s="78">
        <v>12997895.699999999</v>
      </c>
      <c r="M262" s="78">
        <v>12997895.699999999</v>
      </c>
      <c r="N262" s="78">
        <v>12997895.699999999</v>
      </c>
      <c r="O262" s="78">
        <v>12997895.699999999</v>
      </c>
      <c r="P262" s="78">
        <v>12997895.699999999</v>
      </c>
      <c r="Q262" s="78">
        <f t="shared" si="3"/>
        <v>155974748.40000001</v>
      </c>
    </row>
    <row r="263" spans="1:17" x14ac:dyDescent="0.3">
      <c r="A263" s="177" t="s">
        <v>162</v>
      </c>
      <c r="B263" s="177" t="s">
        <v>2082</v>
      </c>
      <c r="C263" s="78" t="s">
        <v>2083</v>
      </c>
      <c r="D263" s="78">
        <v>0.03</v>
      </c>
      <c r="E263" s="78">
        <v>0.2</v>
      </c>
      <c r="F263" s="78">
        <v>0.2</v>
      </c>
      <c r="G263" s="78">
        <v>0.2</v>
      </c>
      <c r="H263" s="78">
        <v>0.2</v>
      </c>
      <c r="I263" s="78">
        <v>0.2</v>
      </c>
      <c r="J263" s="78">
        <v>0.2</v>
      </c>
      <c r="K263" s="78">
        <v>0.2</v>
      </c>
      <c r="L263" s="78">
        <v>0.2</v>
      </c>
      <c r="M263" s="78">
        <v>0.2</v>
      </c>
      <c r="N263" s="78">
        <v>0.2</v>
      </c>
      <c r="O263" s="78">
        <v>0.2</v>
      </c>
      <c r="P263" s="78">
        <v>0.2</v>
      </c>
      <c r="Q263" s="78">
        <f t="shared" si="3"/>
        <v>2.4</v>
      </c>
    </row>
    <row r="264" spans="1:17" x14ac:dyDescent="0.3">
      <c r="A264" s="177" t="s">
        <v>162</v>
      </c>
      <c r="B264" s="177" t="s">
        <v>2084</v>
      </c>
      <c r="C264" s="78" t="s">
        <v>2085</v>
      </c>
      <c r="D264" s="78">
        <v>-75931671.549999997</v>
      </c>
      <c r="E264" s="78">
        <v>-75135135.969999999</v>
      </c>
      <c r="F264" s="78">
        <v>-74315709.969999999</v>
      </c>
      <c r="G264" s="78">
        <v>-75271937.969999999</v>
      </c>
      <c r="H264" s="78">
        <v>-74434834.969999999</v>
      </c>
      <c r="I264" s="78">
        <v>-73585727.969999999</v>
      </c>
      <c r="J264" s="78">
        <v>-72686832.969999999</v>
      </c>
      <c r="K264" s="78">
        <v>-71795512.969999999</v>
      </c>
      <c r="L264" s="78">
        <v>-70885895.969999999</v>
      </c>
      <c r="M264" s="78">
        <v>-66915067.969999999</v>
      </c>
      <c r="N264" s="78">
        <v>-65979426.969999999</v>
      </c>
      <c r="O264" s="78">
        <v>-65025087.969999999</v>
      </c>
      <c r="P264" s="78">
        <v>-65147308.969999999</v>
      </c>
      <c r="Q264" s="78">
        <f t="shared" si="3"/>
        <v>-851178480.64000022</v>
      </c>
    </row>
    <row r="265" spans="1:17" x14ac:dyDescent="0.3">
      <c r="A265" s="177" t="s">
        <v>162</v>
      </c>
      <c r="B265" s="177" t="s">
        <v>2086</v>
      </c>
      <c r="C265" s="78" t="s">
        <v>2087</v>
      </c>
      <c r="D265" s="78">
        <v>299850.93</v>
      </c>
      <c r="E265" s="78">
        <v>294213.63</v>
      </c>
      <c r="F265" s="78">
        <v>288576.63</v>
      </c>
      <c r="G265" s="78">
        <v>282939.63</v>
      </c>
      <c r="H265" s="78">
        <v>277302.63</v>
      </c>
      <c r="I265" s="78">
        <v>271665.63</v>
      </c>
      <c r="J265" s="78">
        <v>266028.63</v>
      </c>
      <c r="K265" s="78">
        <v>260391.63</v>
      </c>
      <c r="L265" s="78">
        <v>254754.63</v>
      </c>
      <c r="M265" s="78">
        <v>249117.63</v>
      </c>
      <c r="N265" s="78">
        <v>243480.63</v>
      </c>
      <c r="O265" s="78">
        <v>243480.63</v>
      </c>
      <c r="P265" s="78">
        <v>243480.63</v>
      </c>
      <c r="Q265" s="78">
        <f t="shared" si="3"/>
        <v>3175432.5599999991</v>
      </c>
    </row>
    <row r="266" spans="1:17" x14ac:dyDescent="0.3">
      <c r="A266" s="177" t="s">
        <v>162</v>
      </c>
      <c r="B266" s="177" t="s">
        <v>2088</v>
      </c>
      <c r="C266" s="78" t="s">
        <v>2089</v>
      </c>
      <c r="D266" s="78">
        <v>2598881.23</v>
      </c>
      <c r="E266" s="78">
        <v>2475501.12</v>
      </c>
      <c r="F266" s="78">
        <v>2475501.12</v>
      </c>
      <c r="G266" s="78">
        <v>2475501.12</v>
      </c>
      <c r="H266" s="78">
        <v>2475501.12</v>
      </c>
      <c r="I266" s="78">
        <v>2475501.12</v>
      </c>
      <c r="J266" s="78">
        <v>2475501.12</v>
      </c>
      <c r="K266" s="78">
        <v>2475501.12</v>
      </c>
      <c r="L266" s="78">
        <v>2475501.12</v>
      </c>
      <c r="M266" s="78">
        <v>2475501.12</v>
      </c>
      <c r="N266" s="78">
        <v>2475501.12</v>
      </c>
      <c r="O266" s="78">
        <v>2475501.12</v>
      </c>
      <c r="P266" s="78">
        <v>2475501.11</v>
      </c>
      <c r="Q266" s="78">
        <f t="shared" si="3"/>
        <v>29706013.430000007</v>
      </c>
    </row>
    <row r="267" spans="1:17" x14ac:dyDescent="0.3">
      <c r="A267" s="177" t="s">
        <v>162</v>
      </c>
      <c r="B267" s="177" t="s">
        <v>2090</v>
      </c>
      <c r="C267" s="78" t="s">
        <v>2091</v>
      </c>
      <c r="D267" s="78">
        <v>-25985524</v>
      </c>
      <c r="E267" s="78">
        <v>0</v>
      </c>
      <c r="F267" s="78">
        <v>0</v>
      </c>
      <c r="G267" s="78">
        <v>0</v>
      </c>
      <c r="H267" s="78">
        <v>-999400.62837419997</v>
      </c>
      <c r="I267" s="78">
        <v>0</v>
      </c>
      <c r="J267" s="78">
        <v>-4051261.9238415002</v>
      </c>
      <c r="K267" s="78">
        <v>-4223813.7446905002</v>
      </c>
      <c r="L267" s="78">
        <v>-3761003.6033522999</v>
      </c>
      <c r="M267" s="78">
        <v>-8454220.3536920007</v>
      </c>
      <c r="N267" s="78">
        <v>-3120138.8640445</v>
      </c>
      <c r="O267" s="78">
        <v>0</v>
      </c>
      <c r="P267" s="78">
        <v>0</v>
      </c>
      <c r="Q267" s="78">
        <f t="shared" si="3"/>
        <v>-24609839.117994998</v>
      </c>
    </row>
    <row r="268" spans="1:17" x14ac:dyDescent="0.3">
      <c r="A268" s="177" t="s">
        <v>162</v>
      </c>
      <c r="B268" s="177" t="s">
        <v>2092</v>
      </c>
      <c r="C268" s="78" t="s">
        <v>2093</v>
      </c>
      <c r="D268" s="78">
        <v>7221028.1100000003</v>
      </c>
      <c r="E268" s="78">
        <v>9402835.3333333004</v>
      </c>
      <c r="F268" s="78">
        <v>9402835.3333333004</v>
      </c>
      <c r="G268" s="78">
        <v>9402835.3333333004</v>
      </c>
      <c r="H268" s="78">
        <v>9402835.3333333004</v>
      </c>
      <c r="I268" s="78">
        <v>9402835.3333333004</v>
      </c>
      <c r="J268" s="78">
        <v>9402835.3333333004</v>
      </c>
      <c r="K268" s="78">
        <v>9402835.3333333004</v>
      </c>
      <c r="L268" s="78">
        <v>9402835.3333333004</v>
      </c>
      <c r="M268" s="78">
        <v>9402835.3333333004</v>
      </c>
      <c r="N268" s="78">
        <v>9402835.3333333004</v>
      </c>
      <c r="O268" s="78">
        <v>9402835.3333333004</v>
      </c>
      <c r="P268" s="78">
        <v>9402835.3333333004</v>
      </c>
      <c r="Q268" s="78">
        <f t="shared" si="3"/>
        <v>112834023.9999996</v>
      </c>
    </row>
    <row r="269" spans="1:17" x14ac:dyDescent="0.3">
      <c r="A269" s="177" t="s">
        <v>162</v>
      </c>
      <c r="B269" s="177" t="s">
        <v>2094</v>
      </c>
      <c r="C269" s="78" t="s">
        <v>2095</v>
      </c>
      <c r="D269" s="78">
        <v>-401650</v>
      </c>
      <c r="E269" s="78">
        <v>-865390</v>
      </c>
      <c r="F269" s="78">
        <v>-865390</v>
      </c>
      <c r="G269" s="78">
        <v>-865390</v>
      </c>
      <c r="H269" s="78">
        <v>-865390</v>
      </c>
      <c r="I269" s="78">
        <v>-865390</v>
      </c>
      <c r="J269" s="78">
        <v>-865390</v>
      </c>
      <c r="K269" s="78">
        <v>-865390</v>
      </c>
      <c r="L269" s="78">
        <v>-865390</v>
      </c>
      <c r="M269" s="78">
        <v>-865390</v>
      </c>
      <c r="N269" s="78">
        <v>-865390</v>
      </c>
      <c r="O269" s="78">
        <v>-865390</v>
      </c>
      <c r="P269" s="78">
        <v>-865390</v>
      </c>
      <c r="Q269" s="78">
        <f t="shared" si="3"/>
        <v>-10384680</v>
      </c>
    </row>
    <row r="270" spans="1:17" x14ac:dyDescent="0.3">
      <c r="A270" s="177" t="s">
        <v>162</v>
      </c>
      <c r="B270" s="177" t="s">
        <v>2096</v>
      </c>
      <c r="C270" s="78" t="s">
        <v>2097</v>
      </c>
      <c r="D270" s="78">
        <v>0</v>
      </c>
      <c r="E270" s="78">
        <v>0</v>
      </c>
      <c r="F270" s="78">
        <v>0</v>
      </c>
      <c r="G270" s="78">
        <v>-185638.8864817</v>
      </c>
      <c r="H270" s="78">
        <v>-219652.156927</v>
      </c>
      <c r="I270" s="78">
        <v>-307134.74946040002</v>
      </c>
      <c r="J270" s="78">
        <v>-444590.79111039999</v>
      </c>
      <c r="K270" s="78">
        <v>-496166.59653049998</v>
      </c>
      <c r="L270" s="78">
        <v>-491508.69022300001</v>
      </c>
      <c r="M270" s="78">
        <v>-506959.02598129999</v>
      </c>
      <c r="N270" s="78">
        <v>-405712.08377969998</v>
      </c>
      <c r="O270" s="78">
        <v>-261612.0058358</v>
      </c>
      <c r="P270" s="78">
        <v>-216416.56727160001</v>
      </c>
      <c r="Q270" s="78">
        <f t="shared" si="3"/>
        <v>-3535391.5536014</v>
      </c>
    </row>
    <row r="271" spans="1:17" x14ac:dyDescent="0.3">
      <c r="A271" s="177" t="s">
        <v>162</v>
      </c>
      <c r="B271" s="177" t="s">
        <v>2098</v>
      </c>
      <c r="C271" s="78" t="s">
        <v>2099</v>
      </c>
      <c r="D271" s="78">
        <v>0</v>
      </c>
      <c r="E271" s="78">
        <v>618242</v>
      </c>
      <c r="F271" s="78">
        <v>618242</v>
      </c>
      <c r="G271" s="78">
        <v>618242</v>
      </c>
      <c r="H271" s="78">
        <v>618242</v>
      </c>
      <c r="I271" s="78">
        <v>618242</v>
      </c>
      <c r="J271" s="78">
        <v>618242</v>
      </c>
      <c r="K271" s="78">
        <v>618242</v>
      </c>
      <c r="L271" s="78">
        <v>618242</v>
      </c>
      <c r="M271" s="78">
        <v>618242</v>
      </c>
      <c r="N271" s="78">
        <v>618242</v>
      </c>
      <c r="O271" s="78">
        <v>618242</v>
      </c>
      <c r="P271" s="78">
        <v>618242</v>
      </c>
      <c r="Q271" s="78">
        <f t="shared" ref="Q271:Q334" si="4">SUM(E271:P271)</f>
        <v>7418904</v>
      </c>
    </row>
    <row r="272" spans="1:17" x14ac:dyDescent="0.3">
      <c r="A272" s="177" t="s">
        <v>162</v>
      </c>
      <c r="B272" s="177" t="s">
        <v>2100</v>
      </c>
      <c r="C272" s="78" t="s">
        <v>2101</v>
      </c>
      <c r="D272" s="78">
        <v>0</v>
      </c>
      <c r="E272" s="78">
        <v>0</v>
      </c>
      <c r="F272" s="78">
        <v>0</v>
      </c>
      <c r="G272" s="78">
        <v>0</v>
      </c>
      <c r="H272" s="78">
        <v>0</v>
      </c>
      <c r="I272" s="78">
        <v>0</v>
      </c>
      <c r="J272" s="78">
        <v>-542530.14775999996</v>
      </c>
      <c r="K272" s="78">
        <v>-80480.523279999994</v>
      </c>
      <c r="L272" s="78">
        <v>-443703.21824000002</v>
      </c>
      <c r="M272" s="78">
        <v>-501309.19504000002</v>
      </c>
      <c r="N272" s="78">
        <v>-325568.58679999999</v>
      </c>
      <c r="O272" s="78">
        <v>0</v>
      </c>
      <c r="P272" s="78">
        <v>0</v>
      </c>
      <c r="Q272" s="78">
        <f t="shared" si="4"/>
        <v>-1893591.6711199998</v>
      </c>
    </row>
    <row r="273" spans="1:17" x14ac:dyDescent="0.3">
      <c r="A273" s="177" t="s">
        <v>162</v>
      </c>
      <c r="B273" s="177" t="s">
        <v>2102</v>
      </c>
      <c r="C273" s="78" t="s">
        <v>2103</v>
      </c>
      <c r="D273" s="78">
        <v>-2239076</v>
      </c>
      <c r="E273" s="78">
        <v>-184759</v>
      </c>
      <c r="F273" s="78">
        <v>-105352</v>
      </c>
      <c r="G273" s="78">
        <v>-91071</v>
      </c>
      <c r="H273" s="78">
        <v>-58862</v>
      </c>
      <c r="I273" s="78">
        <v>-207097</v>
      </c>
      <c r="J273" s="78">
        <v>-424793</v>
      </c>
      <c r="K273" s="78">
        <v>-520575</v>
      </c>
      <c r="L273" s="78">
        <v>-527444</v>
      </c>
      <c r="M273" s="78">
        <v>-558436</v>
      </c>
      <c r="N273" s="78">
        <v>-383641</v>
      </c>
      <c r="O273" s="78">
        <v>-159835</v>
      </c>
      <c r="P273" s="78">
        <v>-93654</v>
      </c>
      <c r="Q273" s="78">
        <f t="shared" si="4"/>
        <v>-3315519</v>
      </c>
    </row>
    <row r="274" spans="1:17" x14ac:dyDescent="0.3">
      <c r="A274" s="177" t="s">
        <v>162</v>
      </c>
      <c r="B274" s="177" t="s">
        <v>2104</v>
      </c>
      <c r="C274" s="78" t="s">
        <v>2105</v>
      </c>
      <c r="D274" s="78">
        <v>0</v>
      </c>
      <c r="E274" s="78">
        <v>-433406</v>
      </c>
      <c r="F274" s="78">
        <v>0</v>
      </c>
      <c r="G274" s="78">
        <v>0</v>
      </c>
      <c r="H274" s="78">
        <v>0</v>
      </c>
      <c r="I274" s="78">
        <v>0</v>
      </c>
      <c r="J274" s="78">
        <v>-1102740</v>
      </c>
      <c r="K274" s="78">
        <v>-1583193</v>
      </c>
      <c r="L274" s="78">
        <v>-1428687</v>
      </c>
      <c r="M274" s="78">
        <v>-1513265</v>
      </c>
      <c r="N274" s="78">
        <v>-336397</v>
      </c>
      <c r="O274" s="78">
        <v>0</v>
      </c>
      <c r="P274" s="78">
        <v>0</v>
      </c>
      <c r="Q274" s="78">
        <f t="shared" si="4"/>
        <v>-6397688</v>
      </c>
    </row>
    <row r="275" spans="1:17" x14ac:dyDescent="0.3">
      <c r="A275" s="177" t="s">
        <v>162</v>
      </c>
      <c r="B275" s="177" t="s">
        <v>2106</v>
      </c>
      <c r="C275" s="78" t="s">
        <v>2107</v>
      </c>
      <c r="D275" s="78">
        <v>0</v>
      </c>
      <c r="E275" s="78">
        <v>148109</v>
      </c>
      <c r="F275" s="78">
        <v>148109</v>
      </c>
      <c r="G275" s="78">
        <v>148109</v>
      </c>
      <c r="H275" s="78">
        <v>148109</v>
      </c>
      <c r="I275" s="78">
        <v>148109</v>
      </c>
      <c r="J275" s="78">
        <v>148109</v>
      </c>
      <c r="K275" s="78">
        <v>148109</v>
      </c>
      <c r="L275" s="78">
        <v>148109</v>
      </c>
      <c r="M275" s="78">
        <v>148109</v>
      </c>
      <c r="N275" s="78">
        <v>148109</v>
      </c>
      <c r="O275" s="78">
        <v>148109</v>
      </c>
      <c r="P275" s="78">
        <v>148103</v>
      </c>
      <c r="Q275" s="78">
        <f t="shared" si="4"/>
        <v>1777302</v>
      </c>
    </row>
    <row r="276" spans="1:17" x14ac:dyDescent="0.3">
      <c r="A276" s="177" t="s">
        <v>162</v>
      </c>
      <c r="B276" s="177" t="s">
        <v>2108</v>
      </c>
      <c r="C276" s="78" t="s">
        <v>2109</v>
      </c>
      <c r="D276" s="78">
        <v>3613.42</v>
      </c>
      <c r="E276" s="78">
        <v>0</v>
      </c>
      <c r="F276" s="78">
        <v>0</v>
      </c>
      <c r="G276" s="78">
        <v>4957.2299999999996</v>
      </c>
      <c r="H276" s="78">
        <v>0</v>
      </c>
      <c r="I276" s="78">
        <v>0</v>
      </c>
      <c r="J276" s="78">
        <v>4828.55</v>
      </c>
      <c r="K276" s="78">
        <v>0</v>
      </c>
      <c r="L276" s="78">
        <v>0</v>
      </c>
      <c r="M276" s="78">
        <v>4828.55</v>
      </c>
      <c r="N276" s="78">
        <v>0</v>
      </c>
      <c r="O276" s="78">
        <v>0</v>
      </c>
      <c r="P276" s="78">
        <v>4828.55</v>
      </c>
      <c r="Q276" s="78">
        <f t="shared" si="4"/>
        <v>19442.879999999997</v>
      </c>
    </row>
    <row r="277" spans="1:17" x14ac:dyDescent="0.3">
      <c r="A277" s="177" t="s">
        <v>162</v>
      </c>
      <c r="B277" s="177" t="s">
        <v>2110</v>
      </c>
      <c r="C277" s="78" t="s">
        <v>2111</v>
      </c>
      <c r="D277" s="78">
        <v>1510511.43</v>
      </c>
      <c r="E277" s="78">
        <v>1782769.2483031999</v>
      </c>
      <c r="F277" s="78">
        <v>2262743.2000398999</v>
      </c>
      <c r="G277" s="78">
        <v>2596579.5092977001</v>
      </c>
      <c r="H277" s="78">
        <v>3561973.6405973001</v>
      </c>
      <c r="I277" s="78">
        <v>4005545.6585378</v>
      </c>
      <c r="J277" s="78">
        <v>3406001.8436126998</v>
      </c>
      <c r="K277" s="78">
        <v>3216016.4814744</v>
      </c>
      <c r="L277" s="78">
        <v>3103479.9537271</v>
      </c>
      <c r="M277" s="78">
        <v>2679935.1443758998</v>
      </c>
      <c r="N277" s="78">
        <v>2595816.2622663002</v>
      </c>
      <c r="O277" s="78">
        <v>1881370.3687066999</v>
      </c>
      <c r="P277" s="78">
        <v>1451323.3010356</v>
      </c>
      <c r="Q277" s="78">
        <f t="shared" si="4"/>
        <v>32543554.611974604</v>
      </c>
    </row>
    <row r="278" spans="1:17" x14ac:dyDescent="0.3">
      <c r="A278" s="177" t="s">
        <v>162</v>
      </c>
      <c r="B278" s="177" t="s">
        <v>2112</v>
      </c>
      <c r="C278" s="78" t="s">
        <v>2113</v>
      </c>
      <c r="D278" s="78">
        <v>29881</v>
      </c>
      <c r="E278" s="78">
        <v>-62048</v>
      </c>
      <c r="F278" s="78">
        <v>-58530</v>
      </c>
      <c r="G278" s="78">
        <v>-56025</v>
      </c>
      <c r="H278" s="78">
        <v>-58685</v>
      </c>
      <c r="I278" s="78">
        <v>-65695</v>
      </c>
      <c r="J278" s="78">
        <v>-76357</v>
      </c>
      <c r="K278" s="78">
        <v>-80538</v>
      </c>
      <c r="L278" s="78">
        <v>-80196</v>
      </c>
      <c r="M278" s="78">
        <v>-81504</v>
      </c>
      <c r="N278" s="78">
        <v>-73359</v>
      </c>
      <c r="O278" s="78">
        <v>-62206</v>
      </c>
      <c r="P278" s="78">
        <v>-58541</v>
      </c>
      <c r="Q278" s="78">
        <f t="shared" si="4"/>
        <v>-813684</v>
      </c>
    </row>
    <row r="279" spans="1:17" x14ac:dyDescent="0.3">
      <c r="A279" s="177" t="s">
        <v>162</v>
      </c>
      <c r="B279" s="177" t="s">
        <v>2114</v>
      </c>
      <c r="C279" s="78" t="s">
        <v>2115</v>
      </c>
      <c r="D279" s="78">
        <v>0</v>
      </c>
      <c r="E279" s="78">
        <v>-3733862.6759666</v>
      </c>
      <c r="F279" s="78">
        <v>-1796901.1454686001</v>
      </c>
      <c r="G279" s="78">
        <v>-3381906.3582754</v>
      </c>
      <c r="H279" s="78">
        <v>0</v>
      </c>
      <c r="I279" s="78">
        <v>-1446954.9336210999</v>
      </c>
      <c r="J279" s="78">
        <v>0</v>
      </c>
      <c r="K279" s="78">
        <v>0</v>
      </c>
      <c r="L279" s="78">
        <v>0</v>
      </c>
      <c r="M279" s="78">
        <v>0</v>
      </c>
      <c r="N279" s="78">
        <v>0</v>
      </c>
      <c r="O279" s="78">
        <v>-119455.344845</v>
      </c>
      <c r="P279" s="78">
        <v>-11351586.6793242</v>
      </c>
      <c r="Q279" s="78">
        <f t="shared" si="4"/>
        <v>-21830667.137500901</v>
      </c>
    </row>
    <row r="280" spans="1:17" x14ac:dyDescent="0.3">
      <c r="A280" s="177" t="s">
        <v>162</v>
      </c>
      <c r="B280" s="177" t="s">
        <v>2116</v>
      </c>
      <c r="C280" s="78" t="s">
        <v>2117</v>
      </c>
      <c r="D280" s="78">
        <v>-1082520</v>
      </c>
      <c r="E280" s="78">
        <v>-1805157.5520025999</v>
      </c>
      <c r="F280" s="78">
        <v>-1714589.3423935</v>
      </c>
      <c r="G280" s="78">
        <v>0</v>
      </c>
      <c r="H280" s="78">
        <v>0</v>
      </c>
      <c r="I280" s="78">
        <v>0</v>
      </c>
      <c r="J280" s="78">
        <v>0</v>
      </c>
      <c r="K280" s="78">
        <v>0</v>
      </c>
      <c r="L280" s="78">
        <v>0</v>
      </c>
      <c r="M280" s="78">
        <v>0</v>
      </c>
      <c r="N280" s="78">
        <v>0</v>
      </c>
      <c r="O280" s="78">
        <v>0</v>
      </c>
      <c r="P280" s="78">
        <v>0</v>
      </c>
      <c r="Q280" s="78">
        <f t="shared" si="4"/>
        <v>-3519746.8943961002</v>
      </c>
    </row>
    <row r="281" spans="1:17" x14ac:dyDescent="0.3">
      <c r="A281" s="177" t="s">
        <v>162</v>
      </c>
      <c r="B281" s="177" t="s">
        <v>2118</v>
      </c>
      <c r="C281" s="78" t="s">
        <v>2119</v>
      </c>
      <c r="D281" s="78">
        <v>330652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8">
        <v>0</v>
      </c>
      <c r="L281" s="78">
        <v>0</v>
      </c>
      <c r="M281" s="78">
        <v>0</v>
      </c>
      <c r="N281" s="78">
        <v>0</v>
      </c>
      <c r="O281" s="78">
        <v>0</v>
      </c>
      <c r="P281" s="78">
        <v>0</v>
      </c>
      <c r="Q281" s="78">
        <f t="shared" si="4"/>
        <v>0</v>
      </c>
    </row>
    <row r="282" spans="1:17" x14ac:dyDescent="0.3">
      <c r="A282" s="177" t="s">
        <v>162</v>
      </c>
      <c r="B282" s="177" t="s">
        <v>2120</v>
      </c>
      <c r="C282" s="78" t="s">
        <v>2121</v>
      </c>
      <c r="D282" s="78">
        <v>-598001</v>
      </c>
      <c r="E282" s="78">
        <v>-86133.584879999995</v>
      </c>
      <c r="F282" s="78">
        <v>-296625.82047999999</v>
      </c>
      <c r="G282" s="78">
        <v>-560683.62503999996</v>
      </c>
      <c r="H282" s="78">
        <v>-510087.85583999997</v>
      </c>
      <c r="I282" s="78">
        <v>-34216.485439999997</v>
      </c>
      <c r="J282" s="78">
        <v>0</v>
      </c>
      <c r="K282" s="78">
        <v>0</v>
      </c>
      <c r="L282" s="78">
        <v>0</v>
      </c>
      <c r="M282" s="78">
        <v>0</v>
      </c>
      <c r="N282" s="78">
        <v>0</v>
      </c>
      <c r="O282" s="78">
        <v>-140949.59719999999</v>
      </c>
      <c r="P282" s="78">
        <v>-297911.90551999997</v>
      </c>
      <c r="Q282" s="78">
        <f t="shared" si="4"/>
        <v>-1926608.8743999999</v>
      </c>
    </row>
    <row r="283" spans="1:17" x14ac:dyDescent="0.3">
      <c r="A283" s="177" t="s">
        <v>162</v>
      </c>
      <c r="B283" s="177" t="s">
        <v>2122</v>
      </c>
      <c r="C283" s="78" t="s">
        <v>2123</v>
      </c>
      <c r="D283" s="78">
        <v>30163</v>
      </c>
      <c r="E283" s="78">
        <v>613599</v>
      </c>
      <c r="F283" s="78">
        <v>613599</v>
      </c>
      <c r="G283" s="78">
        <v>613599</v>
      </c>
      <c r="H283" s="78">
        <v>613599</v>
      </c>
      <c r="I283" s="78">
        <v>613599</v>
      </c>
      <c r="J283" s="78">
        <v>613599</v>
      </c>
      <c r="K283" s="78">
        <v>613599</v>
      </c>
      <c r="L283" s="78">
        <v>613599</v>
      </c>
      <c r="M283" s="78">
        <v>613599</v>
      </c>
      <c r="N283" s="78">
        <v>613599</v>
      </c>
      <c r="O283" s="78">
        <v>613599</v>
      </c>
      <c r="P283" s="78">
        <v>613601</v>
      </c>
      <c r="Q283" s="78">
        <f t="shared" si="4"/>
        <v>7363190</v>
      </c>
    </row>
    <row r="284" spans="1:17" x14ac:dyDescent="0.3">
      <c r="A284" s="177" t="s">
        <v>162</v>
      </c>
      <c r="B284" s="177" t="s">
        <v>2124</v>
      </c>
      <c r="C284" s="78" t="s">
        <v>2125</v>
      </c>
      <c r="D284" s="78">
        <v>-8</v>
      </c>
      <c r="E284" s="78">
        <v>0</v>
      </c>
      <c r="F284" s="78">
        <v>0</v>
      </c>
      <c r="G284" s="78">
        <v>0</v>
      </c>
      <c r="H284" s="78">
        <v>0</v>
      </c>
      <c r="I284" s="78">
        <v>0</v>
      </c>
      <c r="J284" s="78">
        <v>0</v>
      </c>
      <c r="K284" s="78">
        <v>0</v>
      </c>
      <c r="L284" s="78">
        <v>0</v>
      </c>
      <c r="M284" s="78">
        <v>0</v>
      </c>
      <c r="N284" s="78">
        <v>0</v>
      </c>
      <c r="O284" s="78">
        <v>0</v>
      </c>
      <c r="P284" s="78">
        <v>0</v>
      </c>
      <c r="Q284" s="78">
        <f t="shared" si="4"/>
        <v>0</v>
      </c>
    </row>
    <row r="285" spans="1:17" x14ac:dyDescent="0.3">
      <c r="A285" s="177" t="s">
        <v>162</v>
      </c>
      <c r="B285" s="177" t="s">
        <v>2126</v>
      </c>
      <c r="C285" s="78" t="s">
        <v>2127</v>
      </c>
      <c r="D285" s="78">
        <v>547541</v>
      </c>
      <c r="E285" s="78">
        <v>539079</v>
      </c>
      <c r="F285" s="78">
        <v>539079</v>
      </c>
      <c r="G285" s="78">
        <v>539079</v>
      </c>
      <c r="H285" s="78">
        <v>539079</v>
      </c>
      <c r="I285" s="78">
        <v>539079</v>
      </c>
      <c r="J285" s="78">
        <v>539079</v>
      </c>
      <c r="K285" s="78">
        <v>539079</v>
      </c>
      <c r="L285" s="78">
        <v>539079</v>
      </c>
      <c r="M285" s="78">
        <v>539079</v>
      </c>
      <c r="N285" s="78">
        <v>539079</v>
      </c>
      <c r="O285" s="78">
        <v>539079</v>
      </c>
      <c r="P285" s="78">
        <v>539077</v>
      </c>
      <c r="Q285" s="78">
        <f t="shared" si="4"/>
        <v>6468946</v>
      </c>
    </row>
    <row r="286" spans="1:17" x14ac:dyDescent="0.3">
      <c r="A286" s="177" t="s">
        <v>162</v>
      </c>
      <c r="B286" s="177" t="s">
        <v>2128</v>
      </c>
      <c r="C286" s="78" t="s">
        <v>2129</v>
      </c>
      <c r="D286" s="78">
        <v>-1916082</v>
      </c>
      <c r="E286" s="78">
        <v>0</v>
      </c>
      <c r="F286" s="78">
        <v>-240579</v>
      </c>
      <c r="G286" s="78">
        <v>-692453</v>
      </c>
      <c r="H286" s="78">
        <v>-654377</v>
      </c>
      <c r="I286" s="78">
        <v>-356</v>
      </c>
      <c r="J286" s="78">
        <v>0</v>
      </c>
      <c r="K286" s="78">
        <v>0</v>
      </c>
      <c r="L286" s="78">
        <v>0</v>
      </c>
      <c r="M286" s="78">
        <v>0</v>
      </c>
      <c r="N286" s="78">
        <v>0</v>
      </c>
      <c r="O286" s="78">
        <v>-1104437</v>
      </c>
      <c r="P286" s="78">
        <v>-1600917</v>
      </c>
      <c r="Q286" s="78">
        <f t="shared" si="4"/>
        <v>-4293119</v>
      </c>
    </row>
    <row r="287" spans="1:17" x14ac:dyDescent="0.3">
      <c r="A287" s="177" t="s">
        <v>162</v>
      </c>
      <c r="B287" s="177" t="s">
        <v>2130</v>
      </c>
      <c r="C287" s="78" t="s">
        <v>2131</v>
      </c>
      <c r="D287" s="78">
        <v>850372</v>
      </c>
      <c r="E287" s="78">
        <v>0</v>
      </c>
      <c r="F287" s="78">
        <v>0</v>
      </c>
      <c r="G287" s="78">
        <v>0</v>
      </c>
      <c r="H287" s="78">
        <v>0</v>
      </c>
      <c r="I287" s="78">
        <v>0</v>
      </c>
      <c r="J287" s="78">
        <v>0</v>
      </c>
      <c r="K287" s="78">
        <v>0</v>
      </c>
      <c r="L287" s="78">
        <v>0</v>
      </c>
      <c r="M287" s="78">
        <v>0</v>
      </c>
      <c r="N287" s="78">
        <v>0</v>
      </c>
      <c r="O287" s="78">
        <v>0</v>
      </c>
      <c r="P287" s="78">
        <v>0</v>
      </c>
      <c r="Q287" s="78">
        <f t="shared" si="4"/>
        <v>0</v>
      </c>
    </row>
    <row r="288" spans="1:17" x14ac:dyDescent="0.3">
      <c r="A288" s="177" t="s">
        <v>162</v>
      </c>
      <c r="B288" s="177" t="s">
        <v>2132</v>
      </c>
      <c r="C288" s="78" t="s">
        <v>2133</v>
      </c>
      <c r="D288" s="78">
        <v>-198</v>
      </c>
      <c r="E288" s="78">
        <v>-198</v>
      </c>
      <c r="F288" s="78">
        <v>-198</v>
      </c>
      <c r="G288" s="78">
        <v>-198</v>
      </c>
      <c r="H288" s="78">
        <v>-198</v>
      </c>
      <c r="I288" s="78">
        <v>-198</v>
      </c>
      <c r="J288" s="78">
        <v>-198</v>
      </c>
      <c r="K288" s="78">
        <v>-198</v>
      </c>
      <c r="L288" s="78">
        <v>-198</v>
      </c>
      <c r="M288" s="78">
        <v>-198</v>
      </c>
      <c r="N288" s="78">
        <v>-198</v>
      </c>
      <c r="O288" s="78">
        <v>-198</v>
      </c>
      <c r="P288" s="78">
        <v>-198</v>
      </c>
      <c r="Q288" s="78">
        <f t="shared" si="4"/>
        <v>-2376</v>
      </c>
    </row>
    <row r="289" spans="1:17" x14ac:dyDescent="0.3">
      <c r="A289" s="177" t="s">
        <v>162</v>
      </c>
      <c r="B289" s="177" t="s">
        <v>2134</v>
      </c>
      <c r="C289" s="78" t="s">
        <v>2135</v>
      </c>
      <c r="D289" s="78">
        <v>2256347.85</v>
      </c>
      <c r="E289" s="78">
        <v>303440</v>
      </c>
      <c r="F289" s="78">
        <v>283864</v>
      </c>
      <c r="G289" s="78">
        <v>303440</v>
      </c>
      <c r="H289" s="78">
        <v>293652</v>
      </c>
      <c r="I289" s="78">
        <v>303440</v>
      </c>
      <c r="J289" s="78">
        <v>293652</v>
      </c>
      <c r="K289" s="78">
        <v>303440</v>
      </c>
      <c r="L289" s="78">
        <v>303440</v>
      </c>
      <c r="M289" s="78">
        <v>293652</v>
      </c>
      <c r="N289" s="78">
        <v>303440</v>
      </c>
      <c r="O289" s="78">
        <v>293652</v>
      </c>
      <c r="P289" s="78">
        <v>303442</v>
      </c>
      <c r="Q289" s="78">
        <f t="shared" si="4"/>
        <v>3582554</v>
      </c>
    </row>
    <row r="290" spans="1:17" x14ac:dyDescent="0.3">
      <c r="A290" s="177" t="s">
        <v>162</v>
      </c>
      <c r="B290" s="177" t="s">
        <v>2136</v>
      </c>
      <c r="C290" s="78" t="s">
        <v>2137</v>
      </c>
      <c r="D290" s="78">
        <v>62070646.460000001</v>
      </c>
      <c r="E290" s="78">
        <v>70735047</v>
      </c>
      <c r="F290" s="78">
        <v>64535595</v>
      </c>
      <c r="G290" s="78">
        <v>60900075</v>
      </c>
      <c r="H290" s="78">
        <v>64235693</v>
      </c>
      <c r="I290" s="78">
        <v>72849191</v>
      </c>
      <c r="J290" s="78">
        <v>87208607</v>
      </c>
      <c r="K290" s="78">
        <v>92727223</v>
      </c>
      <c r="L290" s="78">
        <v>91524660</v>
      </c>
      <c r="M290" s="78">
        <v>94911640</v>
      </c>
      <c r="N290" s="78">
        <v>82389601</v>
      </c>
      <c r="O290" s="78">
        <v>68076805</v>
      </c>
      <c r="P290" s="78">
        <v>65330971</v>
      </c>
      <c r="Q290" s="78">
        <f t="shared" si="4"/>
        <v>915425108</v>
      </c>
    </row>
    <row r="291" spans="1:17" x14ac:dyDescent="0.3">
      <c r="A291" s="177" t="s">
        <v>162</v>
      </c>
      <c r="B291" s="177" t="s">
        <v>2138</v>
      </c>
      <c r="C291" s="78" t="s">
        <v>2139</v>
      </c>
      <c r="D291" s="78">
        <v>34175467.25</v>
      </c>
      <c r="E291" s="78">
        <v>29094466</v>
      </c>
      <c r="F291" s="78">
        <v>26187659</v>
      </c>
      <c r="G291" s="78">
        <v>24252435</v>
      </c>
      <c r="H291" s="78">
        <v>25883802</v>
      </c>
      <c r="I291" s="78">
        <v>30843386</v>
      </c>
      <c r="J291" s="78">
        <v>38826238</v>
      </c>
      <c r="K291" s="78">
        <v>41895598</v>
      </c>
      <c r="L291" s="78">
        <v>41513090</v>
      </c>
      <c r="M291" s="78">
        <v>42891376</v>
      </c>
      <c r="N291" s="78">
        <v>36165592</v>
      </c>
      <c r="O291" s="78">
        <v>28219351</v>
      </c>
      <c r="P291" s="78">
        <v>25937112</v>
      </c>
      <c r="Q291" s="78">
        <f t="shared" si="4"/>
        <v>391710105</v>
      </c>
    </row>
    <row r="292" spans="1:17" x14ac:dyDescent="0.3">
      <c r="A292" s="177" t="s">
        <v>162</v>
      </c>
      <c r="B292" s="177" t="s">
        <v>2140</v>
      </c>
      <c r="C292" s="78" t="s">
        <v>2141</v>
      </c>
      <c r="D292" s="78">
        <v>-120437.53</v>
      </c>
      <c r="E292" s="78">
        <v>476279</v>
      </c>
      <c r="F292" s="78">
        <v>433563</v>
      </c>
      <c r="G292" s="78">
        <v>403927</v>
      </c>
      <c r="H292" s="78">
        <v>427198</v>
      </c>
      <c r="I292" s="78">
        <v>500052</v>
      </c>
      <c r="J292" s="78">
        <v>616249</v>
      </c>
      <c r="K292" s="78">
        <v>660620</v>
      </c>
      <c r="L292" s="78">
        <v>655930</v>
      </c>
      <c r="M292" s="78">
        <v>674142</v>
      </c>
      <c r="N292" s="78">
        <v>579201</v>
      </c>
      <c r="O292" s="78">
        <v>463225</v>
      </c>
      <c r="P292" s="78">
        <v>430080</v>
      </c>
      <c r="Q292" s="78">
        <f t="shared" si="4"/>
        <v>6320466</v>
      </c>
    </row>
    <row r="293" spans="1:17" x14ac:dyDescent="0.3">
      <c r="A293" s="177" t="s">
        <v>162</v>
      </c>
      <c r="B293" s="177" t="s">
        <v>2142</v>
      </c>
      <c r="C293" s="78" t="s">
        <v>2143</v>
      </c>
      <c r="D293" s="78">
        <v>1833664.28</v>
      </c>
      <c r="E293" s="78">
        <v>1651845</v>
      </c>
      <c r="F293" s="78">
        <v>1503719</v>
      </c>
      <c r="G293" s="78">
        <v>1400944</v>
      </c>
      <c r="H293" s="78">
        <v>1481638</v>
      </c>
      <c r="I293" s="78">
        <v>1734279</v>
      </c>
      <c r="J293" s="78">
        <v>2137222</v>
      </c>
      <c r="K293" s="78">
        <v>2291092</v>
      </c>
      <c r="L293" s="78">
        <v>2274828</v>
      </c>
      <c r="M293" s="78">
        <v>2337984</v>
      </c>
      <c r="N293" s="78">
        <v>2008749</v>
      </c>
      <c r="O293" s="78">
        <v>1606571</v>
      </c>
      <c r="P293" s="78">
        <v>1491642</v>
      </c>
      <c r="Q293" s="78">
        <f t="shared" si="4"/>
        <v>21920513</v>
      </c>
    </row>
    <row r="294" spans="1:17" x14ac:dyDescent="0.3">
      <c r="A294" s="177" t="s">
        <v>162</v>
      </c>
      <c r="B294" s="177" t="s">
        <v>2144</v>
      </c>
      <c r="C294" s="78" t="s">
        <v>2145</v>
      </c>
      <c r="D294" s="78">
        <v>615875.38</v>
      </c>
      <c r="E294" s="78">
        <v>683932</v>
      </c>
      <c r="F294" s="78">
        <v>622583</v>
      </c>
      <c r="G294" s="78">
        <v>580070</v>
      </c>
      <c r="H294" s="78">
        <v>613471</v>
      </c>
      <c r="I294" s="78">
        <v>718036</v>
      </c>
      <c r="J294" s="78">
        <v>884852</v>
      </c>
      <c r="K294" s="78">
        <v>948552</v>
      </c>
      <c r="L294" s="78">
        <v>941833</v>
      </c>
      <c r="M294" s="78">
        <v>967976</v>
      </c>
      <c r="N294" s="78">
        <v>831674</v>
      </c>
      <c r="O294" s="78">
        <v>665190</v>
      </c>
      <c r="P294" s="78">
        <v>617603</v>
      </c>
      <c r="Q294" s="78">
        <f t="shared" si="4"/>
        <v>9075772</v>
      </c>
    </row>
    <row r="295" spans="1:17" x14ac:dyDescent="0.3">
      <c r="A295" s="177" t="s">
        <v>162</v>
      </c>
      <c r="B295" s="177" t="s">
        <v>2146</v>
      </c>
      <c r="C295" s="78" t="s">
        <v>2147</v>
      </c>
      <c r="D295" s="78">
        <v>2279265.6</v>
      </c>
      <c r="E295" s="78">
        <v>2327682.12</v>
      </c>
      <c r="F295" s="78">
        <v>2119731.42</v>
      </c>
      <c r="G295" s="78">
        <v>1983674.09</v>
      </c>
      <c r="H295" s="78">
        <v>2096103.84</v>
      </c>
      <c r="I295" s="78">
        <v>2424510.7400000002</v>
      </c>
      <c r="J295" s="78">
        <v>2965599.16</v>
      </c>
      <c r="K295" s="78">
        <v>3169720.8</v>
      </c>
      <c r="L295" s="78">
        <v>3136384.89</v>
      </c>
      <c r="M295" s="78">
        <v>3245116.51</v>
      </c>
      <c r="N295" s="78">
        <v>2793170.13</v>
      </c>
      <c r="O295" s="78">
        <v>2259539.56</v>
      </c>
      <c r="P295" s="78">
        <v>2126294.35</v>
      </c>
      <c r="Q295" s="78">
        <f t="shared" si="4"/>
        <v>30647527.609999999</v>
      </c>
    </row>
    <row r="296" spans="1:17" x14ac:dyDescent="0.3">
      <c r="A296" s="177" t="s">
        <v>162</v>
      </c>
      <c r="B296" s="177" t="s">
        <v>2148</v>
      </c>
      <c r="C296" s="78" t="s">
        <v>2149</v>
      </c>
      <c r="D296" s="78">
        <v>2830765.95</v>
      </c>
      <c r="E296" s="78">
        <v>2837553.44</v>
      </c>
      <c r="F296" s="78">
        <v>2574501.58</v>
      </c>
      <c r="G296" s="78">
        <v>2411164.48</v>
      </c>
      <c r="H296" s="78">
        <v>2554612.4</v>
      </c>
      <c r="I296" s="78">
        <v>2953028.1</v>
      </c>
      <c r="J296" s="78">
        <v>3606290.24</v>
      </c>
      <c r="K296" s="78">
        <v>3857189.63</v>
      </c>
      <c r="L296" s="78">
        <v>3813305.86</v>
      </c>
      <c r="M296" s="78">
        <v>3948094.7</v>
      </c>
      <c r="N296" s="78">
        <v>3388876.72</v>
      </c>
      <c r="O296" s="78">
        <v>2737910.93</v>
      </c>
      <c r="P296" s="78">
        <v>2586069.9500000002</v>
      </c>
      <c r="Q296" s="78">
        <f t="shared" si="4"/>
        <v>37268598.030000001</v>
      </c>
    </row>
    <row r="297" spans="1:17" x14ac:dyDescent="0.3">
      <c r="A297" s="177" t="s">
        <v>162</v>
      </c>
      <c r="B297" s="177" t="s">
        <v>2150</v>
      </c>
      <c r="C297" s="78" t="s">
        <v>2151</v>
      </c>
      <c r="D297" s="78">
        <v>2504454.09</v>
      </c>
      <c r="E297" s="78">
        <v>5077621.4000000004</v>
      </c>
      <c r="F297" s="78">
        <v>4624164.62</v>
      </c>
      <c r="G297" s="78">
        <v>4309721.07</v>
      </c>
      <c r="H297" s="78">
        <v>4556318.6399999997</v>
      </c>
      <c r="I297" s="78">
        <v>5329039.83</v>
      </c>
      <c r="J297" s="78">
        <v>6562018.7300000004</v>
      </c>
      <c r="K297" s="78">
        <v>7032825.8200000003</v>
      </c>
      <c r="L297" s="78">
        <v>6983139.7800000003</v>
      </c>
      <c r="M297" s="78">
        <v>7176563.0300000003</v>
      </c>
      <c r="N297" s="78">
        <v>6168940.7300000004</v>
      </c>
      <c r="O297" s="78">
        <v>4938637.49</v>
      </c>
      <c r="P297" s="78">
        <v>4587476.49</v>
      </c>
      <c r="Q297" s="78">
        <f t="shared" si="4"/>
        <v>67346467.63000001</v>
      </c>
    </row>
    <row r="298" spans="1:17" x14ac:dyDescent="0.3">
      <c r="A298" s="177" t="s">
        <v>162</v>
      </c>
      <c r="B298" s="177" t="s">
        <v>2152</v>
      </c>
      <c r="C298" s="78" t="s">
        <v>2153</v>
      </c>
      <c r="D298" s="78">
        <v>2876599.85</v>
      </c>
      <c r="E298" s="78">
        <v>3302730</v>
      </c>
      <c r="F298" s="78">
        <v>3006460</v>
      </c>
      <c r="G298" s="78">
        <v>2800962</v>
      </c>
      <c r="H298" s="78">
        <v>2962352</v>
      </c>
      <c r="I298" s="78">
        <v>3467594</v>
      </c>
      <c r="J298" s="78">
        <v>4273454</v>
      </c>
      <c r="K298" s="78">
        <v>4581183</v>
      </c>
      <c r="L298" s="78">
        <v>4548672</v>
      </c>
      <c r="M298" s="78">
        <v>4674967</v>
      </c>
      <c r="N298" s="78">
        <v>4016527</v>
      </c>
      <c r="O298" s="78">
        <v>3212204</v>
      </c>
      <c r="P298" s="78">
        <v>2982322</v>
      </c>
      <c r="Q298" s="78">
        <f t="shared" si="4"/>
        <v>43829427</v>
      </c>
    </row>
    <row r="299" spans="1:17" x14ac:dyDescent="0.3">
      <c r="A299" s="177" t="s">
        <v>162</v>
      </c>
      <c r="B299" s="177" t="s">
        <v>2154</v>
      </c>
      <c r="C299" s="78" t="s">
        <v>2155</v>
      </c>
      <c r="D299" s="78">
        <v>6837080.7300000004</v>
      </c>
      <c r="E299" s="78">
        <v>1681297.59</v>
      </c>
      <c r="F299" s="78">
        <v>1530447.75</v>
      </c>
      <c r="G299" s="78">
        <v>1425907.16</v>
      </c>
      <c r="H299" s="78">
        <v>1508047.04</v>
      </c>
      <c r="I299" s="78">
        <v>1765175.28</v>
      </c>
      <c r="J299" s="78">
        <v>2175366.9500000002</v>
      </c>
      <c r="K299" s="78">
        <v>2332002.9300000002</v>
      </c>
      <c r="L299" s="78">
        <v>2315479.29</v>
      </c>
      <c r="M299" s="78">
        <v>2379760.2200000002</v>
      </c>
      <c r="N299" s="78">
        <v>2044605.04</v>
      </c>
      <c r="O299" s="78">
        <v>1635219.51</v>
      </c>
      <c r="P299" s="78">
        <v>1518196.12</v>
      </c>
      <c r="Q299" s="78">
        <f t="shared" si="4"/>
        <v>22311504.879999999</v>
      </c>
    </row>
    <row r="300" spans="1:17" x14ac:dyDescent="0.3">
      <c r="A300" s="177" t="s">
        <v>162</v>
      </c>
      <c r="B300" s="177" t="s">
        <v>2156</v>
      </c>
      <c r="C300" s="78" t="s">
        <v>2157</v>
      </c>
      <c r="D300" s="78">
        <v>9293685.1199999992</v>
      </c>
      <c r="E300" s="78">
        <v>0</v>
      </c>
      <c r="F300" s="78">
        <v>0</v>
      </c>
      <c r="G300" s="78">
        <v>0</v>
      </c>
      <c r="H300" s="78">
        <v>0</v>
      </c>
      <c r="I300" s="78">
        <v>0</v>
      </c>
      <c r="J300" s="78">
        <v>0</v>
      </c>
      <c r="K300" s="78">
        <v>0</v>
      </c>
      <c r="L300" s="78">
        <v>0</v>
      </c>
      <c r="M300" s="78">
        <v>0</v>
      </c>
      <c r="N300" s="78">
        <v>0</v>
      </c>
      <c r="O300" s="78">
        <v>0</v>
      </c>
      <c r="P300" s="78">
        <v>0</v>
      </c>
      <c r="Q300" s="78">
        <f t="shared" si="4"/>
        <v>0</v>
      </c>
    </row>
    <row r="301" spans="1:17" x14ac:dyDescent="0.3">
      <c r="A301" s="177" t="s">
        <v>162</v>
      </c>
      <c r="B301" s="177" t="s">
        <v>2158</v>
      </c>
      <c r="C301" s="78" t="s">
        <v>2159</v>
      </c>
      <c r="D301" s="78">
        <v>3341670.86</v>
      </c>
      <c r="E301" s="78">
        <v>0</v>
      </c>
      <c r="F301" s="78">
        <v>0</v>
      </c>
      <c r="G301" s="78">
        <v>0</v>
      </c>
      <c r="H301" s="78">
        <v>0</v>
      </c>
      <c r="I301" s="78">
        <v>0</v>
      </c>
      <c r="J301" s="78">
        <v>0</v>
      </c>
      <c r="K301" s="78">
        <v>0</v>
      </c>
      <c r="L301" s="78">
        <v>0</v>
      </c>
      <c r="M301" s="78">
        <v>0</v>
      </c>
      <c r="N301" s="78">
        <v>0</v>
      </c>
      <c r="O301" s="78">
        <v>0</v>
      </c>
      <c r="P301" s="78">
        <v>0</v>
      </c>
      <c r="Q301" s="78">
        <f t="shared" si="4"/>
        <v>0</v>
      </c>
    </row>
    <row r="302" spans="1:17" x14ac:dyDescent="0.3">
      <c r="A302" s="177" t="s">
        <v>162</v>
      </c>
      <c r="B302" s="177" t="s">
        <v>2160</v>
      </c>
      <c r="C302" s="78" t="s">
        <v>2161</v>
      </c>
      <c r="D302" s="78">
        <v>-10252.129999999999</v>
      </c>
      <c r="E302" s="78">
        <v>0</v>
      </c>
      <c r="F302" s="78">
        <v>0</v>
      </c>
      <c r="G302" s="78">
        <v>0</v>
      </c>
      <c r="H302" s="78">
        <v>0</v>
      </c>
      <c r="I302" s="78">
        <v>0</v>
      </c>
      <c r="J302" s="78">
        <v>0</v>
      </c>
      <c r="K302" s="78">
        <v>0</v>
      </c>
      <c r="L302" s="78">
        <v>0</v>
      </c>
      <c r="M302" s="78">
        <v>0</v>
      </c>
      <c r="N302" s="78">
        <v>0</v>
      </c>
      <c r="O302" s="78">
        <v>0</v>
      </c>
      <c r="P302" s="78">
        <v>0</v>
      </c>
      <c r="Q302" s="78">
        <f t="shared" si="4"/>
        <v>0</v>
      </c>
    </row>
    <row r="303" spans="1:17" x14ac:dyDescent="0.3">
      <c r="A303" s="177" t="s">
        <v>162</v>
      </c>
      <c r="B303" s="177" t="s">
        <v>2162</v>
      </c>
      <c r="C303" s="78" t="s">
        <v>2163</v>
      </c>
      <c r="D303" s="78">
        <v>174747.3</v>
      </c>
      <c r="E303" s="78">
        <v>0</v>
      </c>
      <c r="F303" s="78">
        <v>0</v>
      </c>
      <c r="G303" s="78">
        <v>0</v>
      </c>
      <c r="H303" s="78">
        <v>0</v>
      </c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f t="shared" si="4"/>
        <v>0</v>
      </c>
    </row>
    <row r="304" spans="1:17" x14ac:dyDescent="0.3">
      <c r="A304" s="177" t="s">
        <v>162</v>
      </c>
      <c r="B304" s="177" t="s">
        <v>2164</v>
      </c>
      <c r="C304" s="78" t="s">
        <v>2165</v>
      </c>
      <c r="D304" s="78">
        <v>56415.98</v>
      </c>
      <c r="E304" s="78">
        <v>0</v>
      </c>
      <c r="F304" s="78">
        <v>0</v>
      </c>
      <c r="G304" s="78">
        <v>0</v>
      </c>
      <c r="H304" s="78">
        <v>0</v>
      </c>
      <c r="I304" s="78">
        <v>0</v>
      </c>
      <c r="J304" s="78">
        <v>0</v>
      </c>
      <c r="K304" s="78">
        <v>0</v>
      </c>
      <c r="L304" s="78">
        <v>0</v>
      </c>
      <c r="M304" s="78">
        <v>0</v>
      </c>
      <c r="N304" s="78">
        <v>0</v>
      </c>
      <c r="O304" s="78">
        <v>0</v>
      </c>
      <c r="P304" s="78">
        <v>0</v>
      </c>
      <c r="Q304" s="78">
        <f t="shared" si="4"/>
        <v>0</v>
      </c>
    </row>
    <row r="305" spans="1:17" x14ac:dyDescent="0.3">
      <c r="A305" s="177" t="s">
        <v>162</v>
      </c>
      <c r="B305" s="177" t="s">
        <v>2166</v>
      </c>
      <c r="C305" s="78" t="s">
        <v>2167</v>
      </c>
      <c r="D305" s="78">
        <v>347697.54</v>
      </c>
      <c r="E305" s="78">
        <v>0</v>
      </c>
      <c r="F305" s="78">
        <v>0</v>
      </c>
      <c r="G305" s="78">
        <v>0</v>
      </c>
      <c r="H305" s="78">
        <v>0</v>
      </c>
      <c r="I305" s="78">
        <v>0</v>
      </c>
      <c r="J305" s="78">
        <v>0</v>
      </c>
      <c r="K305" s="78">
        <v>0</v>
      </c>
      <c r="L305" s="78">
        <v>0</v>
      </c>
      <c r="M305" s="78">
        <v>0</v>
      </c>
      <c r="N305" s="78">
        <v>0</v>
      </c>
      <c r="O305" s="78">
        <v>0</v>
      </c>
      <c r="P305" s="78">
        <v>0</v>
      </c>
      <c r="Q305" s="78">
        <f t="shared" si="4"/>
        <v>0</v>
      </c>
    </row>
    <row r="306" spans="1:17" x14ac:dyDescent="0.3">
      <c r="A306" s="177" t="s">
        <v>162</v>
      </c>
      <c r="B306" s="177" t="s">
        <v>2168</v>
      </c>
      <c r="C306" s="78" t="s">
        <v>2169</v>
      </c>
      <c r="D306" s="78">
        <v>281676.88</v>
      </c>
      <c r="E306" s="78">
        <v>0</v>
      </c>
      <c r="F306" s="78">
        <v>0</v>
      </c>
      <c r="G306" s="78">
        <v>0</v>
      </c>
      <c r="H306" s="78">
        <v>0</v>
      </c>
      <c r="I306" s="78">
        <v>0</v>
      </c>
      <c r="J306" s="78">
        <v>0</v>
      </c>
      <c r="K306" s="78">
        <v>0</v>
      </c>
      <c r="L306" s="78">
        <v>0</v>
      </c>
      <c r="M306" s="78">
        <v>0</v>
      </c>
      <c r="N306" s="78">
        <v>0</v>
      </c>
      <c r="O306" s="78">
        <v>0</v>
      </c>
      <c r="P306" s="78">
        <v>0</v>
      </c>
      <c r="Q306" s="78">
        <f t="shared" si="4"/>
        <v>0</v>
      </c>
    </row>
    <row r="307" spans="1:17" x14ac:dyDescent="0.3">
      <c r="A307" s="177" t="s">
        <v>162</v>
      </c>
      <c r="B307" s="177" t="s">
        <v>2170</v>
      </c>
      <c r="C307" s="78" t="s">
        <v>2171</v>
      </c>
      <c r="D307" s="78">
        <v>301188.42</v>
      </c>
      <c r="E307" s="78">
        <v>0</v>
      </c>
      <c r="F307" s="78">
        <v>0</v>
      </c>
      <c r="G307" s="78">
        <v>0</v>
      </c>
      <c r="H307" s="78">
        <v>0</v>
      </c>
      <c r="I307" s="78">
        <v>0</v>
      </c>
      <c r="J307" s="78">
        <v>0</v>
      </c>
      <c r="K307" s="78">
        <v>0</v>
      </c>
      <c r="L307" s="78">
        <v>0</v>
      </c>
      <c r="M307" s="78">
        <v>0</v>
      </c>
      <c r="N307" s="78">
        <v>0</v>
      </c>
      <c r="O307" s="78">
        <v>0</v>
      </c>
      <c r="P307" s="78">
        <v>0</v>
      </c>
      <c r="Q307" s="78">
        <f t="shared" si="4"/>
        <v>0</v>
      </c>
    </row>
    <row r="308" spans="1:17" x14ac:dyDescent="0.3">
      <c r="A308" s="177" t="s">
        <v>162</v>
      </c>
      <c r="B308" s="177" t="s">
        <v>2172</v>
      </c>
      <c r="C308" s="78" t="s">
        <v>2173</v>
      </c>
      <c r="D308" s="78">
        <v>256085.83</v>
      </c>
      <c r="E308" s="78">
        <v>0</v>
      </c>
      <c r="F308" s="78">
        <v>0</v>
      </c>
      <c r="G308" s="78">
        <v>0</v>
      </c>
      <c r="H308" s="78">
        <v>0</v>
      </c>
      <c r="I308" s="78">
        <v>0</v>
      </c>
      <c r="J308" s="78">
        <v>0</v>
      </c>
      <c r="K308" s="78">
        <v>0</v>
      </c>
      <c r="L308" s="78">
        <v>0</v>
      </c>
      <c r="M308" s="78">
        <v>0</v>
      </c>
      <c r="N308" s="78">
        <v>0</v>
      </c>
      <c r="O308" s="78">
        <v>0</v>
      </c>
      <c r="P308" s="78">
        <v>0</v>
      </c>
      <c r="Q308" s="78">
        <f t="shared" si="4"/>
        <v>0</v>
      </c>
    </row>
    <row r="309" spans="1:17" x14ac:dyDescent="0.3">
      <c r="A309" s="177" t="s">
        <v>162</v>
      </c>
      <c r="B309" s="177" t="s">
        <v>2174</v>
      </c>
      <c r="C309" s="78" t="s">
        <v>2175</v>
      </c>
      <c r="D309" s="78">
        <v>646630.67000000004</v>
      </c>
      <c r="E309" s="78">
        <v>0</v>
      </c>
      <c r="F309" s="78">
        <v>0</v>
      </c>
      <c r="G309" s="78">
        <v>0</v>
      </c>
      <c r="H309" s="78">
        <v>0</v>
      </c>
      <c r="I309" s="78">
        <v>0</v>
      </c>
      <c r="J309" s="78">
        <v>0</v>
      </c>
      <c r="K309" s="78">
        <v>0</v>
      </c>
      <c r="L309" s="78">
        <v>0</v>
      </c>
      <c r="M309" s="78">
        <v>0</v>
      </c>
      <c r="N309" s="78">
        <v>0</v>
      </c>
      <c r="O309" s="78">
        <v>0</v>
      </c>
      <c r="P309" s="78">
        <v>0</v>
      </c>
      <c r="Q309" s="78">
        <f t="shared" si="4"/>
        <v>0</v>
      </c>
    </row>
    <row r="310" spans="1:17" x14ac:dyDescent="0.3">
      <c r="A310" s="177" t="s">
        <v>162</v>
      </c>
      <c r="B310" s="177" t="s">
        <v>2176</v>
      </c>
      <c r="C310" s="78" t="s">
        <v>2177</v>
      </c>
      <c r="D310" s="78">
        <v>18356653.059999999</v>
      </c>
      <c r="E310" s="78">
        <v>28093513</v>
      </c>
      <c r="F310" s="78">
        <v>27141121</v>
      </c>
      <c r="G310" s="78">
        <v>27241394</v>
      </c>
      <c r="H310" s="78">
        <v>28370541</v>
      </c>
      <c r="I310" s="78">
        <v>29563361</v>
      </c>
      <c r="J310" s="78">
        <v>31610969</v>
      </c>
      <c r="K310" s="78">
        <v>32488420</v>
      </c>
      <c r="L310" s="78">
        <v>32390080</v>
      </c>
      <c r="M310" s="78">
        <v>32557004</v>
      </c>
      <c r="N310" s="78">
        <v>31283943</v>
      </c>
      <c r="O310" s="78">
        <v>29079470</v>
      </c>
      <c r="P310" s="78">
        <v>28023143</v>
      </c>
      <c r="Q310" s="78">
        <f t="shared" si="4"/>
        <v>357842959</v>
      </c>
    </row>
    <row r="311" spans="1:17" x14ac:dyDescent="0.3">
      <c r="A311" s="177" t="s">
        <v>162</v>
      </c>
      <c r="B311" s="177" t="s">
        <v>2178</v>
      </c>
      <c r="C311" s="78" t="s">
        <v>2179</v>
      </c>
      <c r="D311" s="78">
        <v>21727922.739999998</v>
      </c>
      <c r="E311" s="78">
        <v>18376234</v>
      </c>
      <c r="F311" s="78">
        <v>16913793</v>
      </c>
      <c r="G311" s="78">
        <v>17218730</v>
      </c>
      <c r="H311" s="78">
        <v>18335946</v>
      </c>
      <c r="I311" s="78">
        <v>19574255</v>
      </c>
      <c r="J311" s="78">
        <v>21785333</v>
      </c>
      <c r="K311" s="78">
        <v>22759300</v>
      </c>
      <c r="L311" s="78">
        <v>22803987</v>
      </c>
      <c r="M311" s="78">
        <v>23390805</v>
      </c>
      <c r="N311" s="78">
        <v>21387551</v>
      </c>
      <c r="O311" s="78">
        <v>19492218</v>
      </c>
      <c r="P311" s="78">
        <v>18177949</v>
      </c>
      <c r="Q311" s="78">
        <f t="shared" si="4"/>
        <v>240216101</v>
      </c>
    </row>
    <row r="312" spans="1:17" x14ac:dyDescent="0.3">
      <c r="A312" s="177" t="s">
        <v>162</v>
      </c>
      <c r="B312" s="177" t="s">
        <v>2180</v>
      </c>
      <c r="C312" s="78" t="s">
        <v>2181</v>
      </c>
      <c r="D312" s="78">
        <v>-60916.09</v>
      </c>
      <c r="E312" s="78">
        <v>232218</v>
      </c>
      <c r="F312" s="78">
        <v>228503</v>
      </c>
      <c r="G312" s="78">
        <v>228864</v>
      </c>
      <c r="H312" s="78">
        <v>237806</v>
      </c>
      <c r="I312" s="78">
        <v>248327</v>
      </c>
      <c r="J312" s="78">
        <v>265184</v>
      </c>
      <c r="K312" s="78">
        <v>272690</v>
      </c>
      <c r="L312" s="78">
        <v>271501</v>
      </c>
      <c r="M312" s="78">
        <v>269173</v>
      </c>
      <c r="N312" s="78">
        <v>262606</v>
      </c>
      <c r="O312" s="78">
        <v>242273</v>
      </c>
      <c r="P312" s="78">
        <v>232872</v>
      </c>
      <c r="Q312" s="78">
        <f t="shared" si="4"/>
        <v>2992017</v>
      </c>
    </row>
    <row r="313" spans="1:17" x14ac:dyDescent="0.3">
      <c r="A313" s="177" t="s">
        <v>162</v>
      </c>
      <c r="B313" s="177" t="s">
        <v>2182</v>
      </c>
      <c r="C313" s="78" t="s">
        <v>2183</v>
      </c>
      <c r="D313" s="78">
        <v>900074.98</v>
      </c>
      <c r="E313" s="78">
        <v>848438</v>
      </c>
      <c r="F313" s="78">
        <v>835190</v>
      </c>
      <c r="G313" s="78">
        <v>836474</v>
      </c>
      <c r="H313" s="78">
        <v>868927</v>
      </c>
      <c r="I313" s="78">
        <v>907259</v>
      </c>
      <c r="J313" s="78">
        <v>968815</v>
      </c>
      <c r="K313" s="78">
        <v>995983</v>
      </c>
      <c r="L313" s="78">
        <v>991577</v>
      </c>
      <c r="M313" s="78">
        <v>982978</v>
      </c>
      <c r="N313" s="78">
        <v>959368</v>
      </c>
      <c r="O313" s="78">
        <v>885226</v>
      </c>
      <c r="P313" s="78">
        <v>850928</v>
      </c>
      <c r="Q313" s="78">
        <f t="shared" si="4"/>
        <v>10931163</v>
      </c>
    </row>
    <row r="314" spans="1:17" x14ac:dyDescent="0.3">
      <c r="A314" s="177" t="s">
        <v>162</v>
      </c>
      <c r="B314" s="177" t="s">
        <v>2184</v>
      </c>
      <c r="C314" s="78" t="s">
        <v>2185</v>
      </c>
      <c r="D314" s="78">
        <v>347429.22</v>
      </c>
      <c r="E314" s="78">
        <v>387274</v>
      </c>
      <c r="F314" s="78">
        <v>356384</v>
      </c>
      <c r="G314" s="78">
        <v>362796</v>
      </c>
      <c r="H314" s="78">
        <v>386222</v>
      </c>
      <c r="I314" s="78">
        <v>412078</v>
      </c>
      <c r="J314" s="78">
        <v>458717</v>
      </c>
      <c r="K314" s="78">
        <v>479206</v>
      </c>
      <c r="L314" s="78">
        <v>480088</v>
      </c>
      <c r="M314" s="78">
        <v>492498</v>
      </c>
      <c r="N314" s="78">
        <v>450257</v>
      </c>
      <c r="O314" s="78">
        <v>410485</v>
      </c>
      <c r="P314" s="78">
        <v>383094</v>
      </c>
      <c r="Q314" s="78">
        <f t="shared" si="4"/>
        <v>5059099</v>
      </c>
    </row>
    <row r="315" spans="1:17" x14ac:dyDescent="0.3">
      <c r="A315" s="177" t="s">
        <v>162</v>
      </c>
      <c r="B315" s="177" t="s">
        <v>2186</v>
      </c>
      <c r="C315" s="78" t="s">
        <v>2187</v>
      </c>
      <c r="D315" s="78">
        <v>1504138.99</v>
      </c>
      <c r="E315" s="78">
        <v>1595186.71</v>
      </c>
      <c r="F315" s="78">
        <v>1514673.75</v>
      </c>
      <c r="G315" s="78">
        <v>1528161.63</v>
      </c>
      <c r="H315" s="78">
        <v>1604850.04</v>
      </c>
      <c r="I315" s="78">
        <v>1688276.61</v>
      </c>
      <c r="J315" s="78">
        <v>1833934.06</v>
      </c>
      <c r="K315" s="78">
        <v>1897362.98</v>
      </c>
      <c r="L315" s="78">
        <v>1895250.9</v>
      </c>
      <c r="M315" s="78">
        <v>1919166.22</v>
      </c>
      <c r="N315" s="78">
        <v>1809224.7</v>
      </c>
      <c r="O315" s="78">
        <v>1667763.94</v>
      </c>
      <c r="P315" s="78">
        <v>1586649.19</v>
      </c>
      <c r="Q315" s="78">
        <f t="shared" si="4"/>
        <v>20540500.730000004</v>
      </c>
    </row>
    <row r="316" spans="1:17" x14ac:dyDescent="0.3">
      <c r="A316" s="177" t="s">
        <v>162</v>
      </c>
      <c r="B316" s="177" t="s">
        <v>2188</v>
      </c>
      <c r="C316" s="78" t="s">
        <v>2189</v>
      </c>
      <c r="D316" s="78">
        <v>1119841.8600000001</v>
      </c>
      <c r="E316" s="78">
        <v>1301655.8</v>
      </c>
      <c r="F316" s="78">
        <v>1235958.79</v>
      </c>
      <c r="G316" s="78">
        <v>1246964.77</v>
      </c>
      <c r="H316" s="78">
        <v>1309541.25</v>
      </c>
      <c r="I316" s="78">
        <v>1377615.95</v>
      </c>
      <c r="J316" s="78">
        <v>1496469.93</v>
      </c>
      <c r="K316" s="78">
        <v>1548226.9</v>
      </c>
      <c r="L316" s="78">
        <v>1546503.59</v>
      </c>
      <c r="M316" s="78">
        <v>1566018.18</v>
      </c>
      <c r="N316" s="78">
        <v>1476307.99</v>
      </c>
      <c r="O316" s="78">
        <v>1360878.67</v>
      </c>
      <c r="P316" s="78">
        <v>1294690.6100000001</v>
      </c>
      <c r="Q316" s="78">
        <f t="shared" si="4"/>
        <v>16760832.429999998</v>
      </c>
    </row>
    <row r="317" spans="1:17" x14ac:dyDescent="0.3">
      <c r="A317" s="177" t="s">
        <v>162</v>
      </c>
      <c r="B317" s="177" t="s">
        <v>2190</v>
      </c>
      <c r="C317" s="78" t="s">
        <v>2191</v>
      </c>
      <c r="D317" s="78">
        <v>1607.55</v>
      </c>
      <c r="E317" s="78">
        <v>0</v>
      </c>
      <c r="F317" s="78">
        <v>0</v>
      </c>
      <c r="G317" s="78">
        <v>0</v>
      </c>
      <c r="H317" s="78">
        <v>0</v>
      </c>
      <c r="I317" s="78">
        <v>0</v>
      </c>
      <c r="J317" s="78">
        <v>0</v>
      </c>
      <c r="K317" s="78">
        <v>0</v>
      </c>
      <c r="L317" s="78">
        <v>0</v>
      </c>
      <c r="M317" s="78">
        <v>0</v>
      </c>
      <c r="N317" s="78">
        <v>0</v>
      </c>
      <c r="O317" s="78">
        <v>0</v>
      </c>
      <c r="P317" s="78">
        <v>0</v>
      </c>
      <c r="Q317" s="78">
        <f t="shared" si="4"/>
        <v>0</v>
      </c>
    </row>
    <row r="318" spans="1:17" x14ac:dyDescent="0.3">
      <c r="A318" s="177" t="s">
        <v>162</v>
      </c>
      <c r="B318" s="177" t="s">
        <v>2192</v>
      </c>
      <c r="C318" s="78" t="s">
        <v>2193</v>
      </c>
      <c r="D318" s="78">
        <v>628816.05000000005</v>
      </c>
      <c r="E318" s="78">
        <v>1367690.06</v>
      </c>
      <c r="F318" s="78">
        <v>1323781.04</v>
      </c>
      <c r="G318" s="78">
        <v>1330574.6299999999</v>
      </c>
      <c r="H318" s="78">
        <v>1383528.72</v>
      </c>
      <c r="I318" s="78">
        <v>1444911.55</v>
      </c>
      <c r="J318" s="78">
        <v>1550538.78</v>
      </c>
      <c r="K318" s="78">
        <v>1597291.25</v>
      </c>
      <c r="L318" s="78">
        <v>1593975.23</v>
      </c>
      <c r="M318" s="78">
        <v>1598930.76</v>
      </c>
      <c r="N318" s="78">
        <v>1533170.26</v>
      </c>
      <c r="O318" s="78">
        <v>1423495.55</v>
      </c>
      <c r="P318" s="78">
        <v>1366863.18</v>
      </c>
      <c r="Q318" s="78">
        <f t="shared" si="4"/>
        <v>17514751.010000002</v>
      </c>
    </row>
    <row r="319" spans="1:17" x14ac:dyDescent="0.3">
      <c r="A319" s="177" t="s">
        <v>162</v>
      </c>
      <c r="B319" s="177" t="s">
        <v>2194</v>
      </c>
      <c r="C319" s="78" t="s">
        <v>2195</v>
      </c>
      <c r="D319" s="78">
        <v>1136049.73</v>
      </c>
      <c r="E319" s="78">
        <v>1374027</v>
      </c>
      <c r="F319" s="78">
        <v>1346699</v>
      </c>
      <c r="G319" s="78">
        <v>1350006</v>
      </c>
      <c r="H319" s="78">
        <v>1404922</v>
      </c>
      <c r="I319" s="78">
        <v>1468963</v>
      </c>
      <c r="J319" s="78">
        <v>1572229</v>
      </c>
      <c r="K319" s="78">
        <v>1618668</v>
      </c>
      <c r="L319" s="78">
        <v>1612328</v>
      </c>
      <c r="M319" s="78">
        <v>1601851</v>
      </c>
      <c r="N319" s="78">
        <v>1556296</v>
      </c>
      <c r="O319" s="78">
        <v>1434653</v>
      </c>
      <c r="P319" s="78">
        <v>1376674</v>
      </c>
      <c r="Q319" s="78">
        <f t="shared" si="4"/>
        <v>17717316</v>
      </c>
    </row>
    <row r="320" spans="1:17" x14ac:dyDescent="0.3">
      <c r="A320" s="177" t="s">
        <v>162</v>
      </c>
      <c r="B320" s="177" t="s">
        <v>2196</v>
      </c>
      <c r="C320" s="78" t="s">
        <v>2197</v>
      </c>
      <c r="D320" s="78">
        <v>960862.99</v>
      </c>
      <c r="E320" s="78">
        <v>355132.29</v>
      </c>
      <c r="F320" s="78">
        <v>326865.57</v>
      </c>
      <c r="G320" s="78">
        <v>332728.78999999998</v>
      </c>
      <c r="H320" s="78">
        <v>354154.41</v>
      </c>
      <c r="I320" s="78">
        <v>377804.47</v>
      </c>
      <c r="J320" s="78">
        <v>420478.17</v>
      </c>
      <c r="K320" s="78">
        <v>439225.21</v>
      </c>
      <c r="L320" s="78">
        <v>440032.08</v>
      </c>
      <c r="M320" s="78">
        <v>451393.9</v>
      </c>
      <c r="N320" s="78">
        <v>412738.1</v>
      </c>
      <c r="O320" s="78">
        <v>376356.48</v>
      </c>
      <c r="P320" s="78">
        <v>351312.06</v>
      </c>
      <c r="Q320" s="78">
        <f t="shared" si="4"/>
        <v>4638221.5299999993</v>
      </c>
    </row>
    <row r="321" spans="1:17" x14ac:dyDescent="0.3">
      <c r="A321" s="177" t="s">
        <v>162</v>
      </c>
      <c r="B321" s="177" t="s">
        <v>2198</v>
      </c>
      <c r="C321" s="78" t="s">
        <v>2199</v>
      </c>
      <c r="D321" s="78">
        <v>307.2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f t="shared" si="4"/>
        <v>0</v>
      </c>
    </row>
    <row r="322" spans="1:17" x14ac:dyDescent="0.3">
      <c r="A322" s="177" t="s">
        <v>162</v>
      </c>
      <c r="B322" s="177" t="s">
        <v>2200</v>
      </c>
      <c r="C322" s="78" t="s">
        <v>2201</v>
      </c>
      <c r="D322" s="78">
        <v>57.69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8">
        <v>0</v>
      </c>
      <c r="L322" s="78">
        <v>0</v>
      </c>
      <c r="M322" s="78">
        <v>0</v>
      </c>
      <c r="N322" s="78">
        <v>0</v>
      </c>
      <c r="O322" s="78">
        <v>0</v>
      </c>
      <c r="P322" s="78">
        <v>0</v>
      </c>
      <c r="Q322" s="78">
        <f t="shared" si="4"/>
        <v>0</v>
      </c>
    </row>
    <row r="323" spans="1:17" x14ac:dyDescent="0.3">
      <c r="A323" s="177" t="s">
        <v>162</v>
      </c>
      <c r="B323" s="177" t="s">
        <v>2202</v>
      </c>
      <c r="C323" s="78" t="s">
        <v>2203</v>
      </c>
      <c r="D323" s="78">
        <v>-0.03</v>
      </c>
      <c r="E323" s="78">
        <v>0</v>
      </c>
      <c r="F323" s="78">
        <v>0</v>
      </c>
      <c r="G323" s="78">
        <v>0</v>
      </c>
      <c r="H323" s="78">
        <v>0</v>
      </c>
      <c r="I323" s="78">
        <v>0</v>
      </c>
      <c r="J323" s="78">
        <v>0</v>
      </c>
      <c r="K323" s="78">
        <v>0</v>
      </c>
      <c r="L323" s="78">
        <v>0</v>
      </c>
      <c r="M323" s="78">
        <v>0</v>
      </c>
      <c r="N323" s="78">
        <v>0</v>
      </c>
      <c r="O323" s="78">
        <v>0</v>
      </c>
      <c r="P323" s="78">
        <v>0</v>
      </c>
      <c r="Q323" s="78">
        <f t="shared" si="4"/>
        <v>0</v>
      </c>
    </row>
    <row r="324" spans="1:17" x14ac:dyDescent="0.3">
      <c r="A324" s="177" t="s">
        <v>162</v>
      </c>
      <c r="B324" s="177" t="s">
        <v>2204</v>
      </c>
      <c r="C324" s="78" t="s">
        <v>2205</v>
      </c>
      <c r="D324" s="78">
        <v>2.82</v>
      </c>
      <c r="E324" s="78">
        <v>0</v>
      </c>
      <c r="F324" s="78">
        <v>0</v>
      </c>
      <c r="G324" s="78">
        <v>0</v>
      </c>
      <c r="H324" s="78">
        <v>0</v>
      </c>
      <c r="I324" s="78">
        <v>0</v>
      </c>
      <c r="J324" s="78">
        <v>0</v>
      </c>
      <c r="K324" s="78">
        <v>0</v>
      </c>
      <c r="L324" s="78">
        <v>0</v>
      </c>
      <c r="M324" s="78">
        <v>0</v>
      </c>
      <c r="N324" s="78">
        <v>0</v>
      </c>
      <c r="O324" s="78">
        <v>0</v>
      </c>
      <c r="P324" s="78">
        <v>0</v>
      </c>
      <c r="Q324" s="78">
        <f t="shared" si="4"/>
        <v>0</v>
      </c>
    </row>
    <row r="325" spans="1:17" x14ac:dyDescent="0.3">
      <c r="A325" s="177" t="s">
        <v>162</v>
      </c>
      <c r="B325" s="177" t="s">
        <v>2206</v>
      </c>
      <c r="C325" s="78" t="s">
        <v>2207</v>
      </c>
      <c r="D325" s="78">
        <v>0.74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8">
        <v>0</v>
      </c>
      <c r="L325" s="78">
        <v>0</v>
      </c>
      <c r="M325" s="78">
        <v>0</v>
      </c>
      <c r="N325" s="78">
        <v>0</v>
      </c>
      <c r="O325" s="78">
        <v>0</v>
      </c>
      <c r="P325" s="78">
        <v>0</v>
      </c>
      <c r="Q325" s="78">
        <f t="shared" si="4"/>
        <v>0</v>
      </c>
    </row>
    <row r="326" spans="1:17" x14ac:dyDescent="0.3">
      <c r="A326" s="177" t="s">
        <v>162</v>
      </c>
      <c r="B326" s="177" t="s">
        <v>2208</v>
      </c>
      <c r="C326" s="78" t="s">
        <v>2209</v>
      </c>
      <c r="D326" s="78">
        <v>3.01</v>
      </c>
      <c r="E326" s="78">
        <v>0</v>
      </c>
      <c r="F326" s="78">
        <v>0</v>
      </c>
      <c r="G326" s="78">
        <v>0</v>
      </c>
      <c r="H326" s="78">
        <v>0</v>
      </c>
      <c r="I326" s="78">
        <v>0</v>
      </c>
      <c r="J326" s="78">
        <v>0</v>
      </c>
      <c r="K326" s="78">
        <v>0</v>
      </c>
      <c r="L326" s="78">
        <v>0</v>
      </c>
      <c r="M326" s="78">
        <v>0</v>
      </c>
      <c r="N326" s="78">
        <v>0</v>
      </c>
      <c r="O326" s="78">
        <v>0</v>
      </c>
      <c r="P326" s="78">
        <v>0</v>
      </c>
      <c r="Q326" s="78">
        <f t="shared" si="4"/>
        <v>0</v>
      </c>
    </row>
    <row r="327" spans="1:17" x14ac:dyDescent="0.3">
      <c r="A327" s="177" t="s">
        <v>162</v>
      </c>
      <c r="B327" s="177" t="s">
        <v>2210</v>
      </c>
      <c r="C327" s="78" t="s">
        <v>2211</v>
      </c>
      <c r="D327" s="78">
        <v>16.36</v>
      </c>
      <c r="E327" s="78">
        <v>0</v>
      </c>
      <c r="F327" s="78">
        <v>0</v>
      </c>
      <c r="G327" s="78">
        <v>0</v>
      </c>
      <c r="H327" s="78">
        <v>0</v>
      </c>
      <c r="I327" s="78">
        <v>0</v>
      </c>
      <c r="J327" s="78">
        <v>0</v>
      </c>
      <c r="K327" s="78">
        <v>0</v>
      </c>
      <c r="L327" s="78">
        <v>0</v>
      </c>
      <c r="M327" s="78">
        <v>0</v>
      </c>
      <c r="N327" s="78">
        <v>0</v>
      </c>
      <c r="O327" s="78">
        <v>0</v>
      </c>
      <c r="P327" s="78">
        <v>0</v>
      </c>
      <c r="Q327" s="78">
        <f t="shared" si="4"/>
        <v>0</v>
      </c>
    </row>
    <row r="328" spans="1:17" x14ac:dyDescent="0.3">
      <c r="A328" s="177" t="s">
        <v>162</v>
      </c>
      <c r="B328" s="177" t="s">
        <v>2212</v>
      </c>
      <c r="C328" s="78" t="s">
        <v>2213</v>
      </c>
      <c r="D328" s="78">
        <v>0.4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8">
        <v>0</v>
      </c>
      <c r="L328" s="78">
        <v>0</v>
      </c>
      <c r="M328" s="78">
        <v>0</v>
      </c>
      <c r="N328" s="78">
        <v>0</v>
      </c>
      <c r="O328" s="78">
        <v>0</v>
      </c>
      <c r="P328" s="78">
        <v>0</v>
      </c>
      <c r="Q328" s="78">
        <f t="shared" si="4"/>
        <v>0</v>
      </c>
    </row>
    <row r="329" spans="1:17" x14ac:dyDescent="0.3">
      <c r="A329" s="177" t="s">
        <v>162</v>
      </c>
      <c r="B329" s="177" t="s">
        <v>2214</v>
      </c>
      <c r="C329" s="78" t="s">
        <v>2215</v>
      </c>
      <c r="D329" s="78">
        <v>3.64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f t="shared" si="4"/>
        <v>0</v>
      </c>
    </row>
    <row r="330" spans="1:17" x14ac:dyDescent="0.3">
      <c r="A330" s="177" t="s">
        <v>162</v>
      </c>
      <c r="B330" s="177" t="s">
        <v>2216</v>
      </c>
      <c r="C330" s="78" t="s">
        <v>2217</v>
      </c>
      <c r="D330" s="78">
        <v>2133161.19</v>
      </c>
      <c r="E330" s="78">
        <v>1771265</v>
      </c>
      <c r="F330" s="78">
        <v>1854287</v>
      </c>
      <c r="G330" s="78">
        <v>1844732</v>
      </c>
      <c r="H330" s="78">
        <v>1801505</v>
      </c>
      <c r="I330" s="78">
        <v>1746510</v>
      </c>
      <c r="J330" s="78">
        <v>1695532</v>
      </c>
      <c r="K330" s="78">
        <v>1803539</v>
      </c>
      <c r="L330" s="78">
        <v>1789747</v>
      </c>
      <c r="M330" s="78">
        <v>1721261</v>
      </c>
      <c r="N330" s="78">
        <v>1778967</v>
      </c>
      <c r="O330" s="78">
        <v>1814449</v>
      </c>
      <c r="P330" s="78">
        <v>1785927</v>
      </c>
      <c r="Q330" s="78">
        <f t="shared" si="4"/>
        <v>21407721</v>
      </c>
    </row>
    <row r="331" spans="1:17" x14ac:dyDescent="0.3">
      <c r="A331" s="177" t="s">
        <v>162</v>
      </c>
      <c r="B331" s="177" t="s">
        <v>2218</v>
      </c>
      <c r="C331" s="78" t="s">
        <v>2219</v>
      </c>
      <c r="D331" s="78">
        <v>3577753.88</v>
      </c>
      <c r="E331" s="78">
        <v>2118021</v>
      </c>
      <c r="F331" s="78">
        <v>1981960</v>
      </c>
      <c r="G331" s="78">
        <v>2119334</v>
      </c>
      <c r="H331" s="78">
        <v>2052983</v>
      </c>
      <c r="I331" s="78">
        <v>2119183</v>
      </c>
      <c r="J331" s="78">
        <v>2054878</v>
      </c>
      <c r="K331" s="78">
        <v>2122188</v>
      </c>
      <c r="L331" s="78">
        <v>2121283</v>
      </c>
      <c r="M331" s="78">
        <v>2051223</v>
      </c>
      <c r="N331" s="78">
        <v>2121272</v>
      </c>
      <c r="O331" s="78">
        <v>2049084</v>
      </c>
      <c r="P331" s="78">
        <v>2119425</v>
      </c>
      <c r="Q331" s="78">
        <f t="shared" si="4"/>
        <v>25030834</v>
      </c>
    </row>
    <row r="332" spans="1:17" x14ac:dyDescent="0.3">
      <c r="A332" s="177" t="s">
        <v>162</v>
      </c>
      <c r="B332" s="177" t="s">
        <v>2220</v>
      </c>
      <c r="C332" s="78" t="s">
        <v>2221</v>
      </c>
      <c r="D332" s="78">
        <v>-5561.16</v>
      </c>
      <c r="E332" s="78">
        <v>22217</v>
      </c>
      <c r="F332" s="78">
        <v>23909</v>
      </c>
      <c r="G332" s="78">
        <v>23060</v>
      </c>
      <c r="H332" s="78">
        <v>22957</v>
      </c>
      <c r="I332" s="78">
        <v>21451</v>
      </c>
      <c r="J332" s="78">
        <v>21653</v>
      </c>
      <c r="K332" s="78">
        <v>22640</v>
      </c>
      <c r="L332" s="78">
        <v>22206</v>
      </c>
      <c r="M332" s="78">
        <v>21845</v>
      </c>
      <c r="N332" s="78">
        <v>21952</v>
      </c>
      <c r="O332" s="78">
        <v>22871</v>
      </c>
      <c r="P332" s="78">
        <v>22554</v>
      </c>
      <c r="Q332" s="78">
        <f t="shared" si="4"/>
        <v>269315</v>
      </c>
    </row>
    <row r="333" spans="1:17" x14ac:dyDescent="0.3">
      <c r="A333" s="177" t="s">
        <v>162</v>
      </c>
      <c r="B333" s="177" t="s">
        <v>2222</v>
      </c>
      <c r="C333" s="78" t="s">
        <v>2223</v>
      </c>
      <c r="D333" s="78">
        <v>102523.47</v>
      </c>
      <c r="E333" s="78">
        <v>83062</v>
      </c>
      <c r="F333" s="78">
        <v>89382</v>
      </c>
      <c r="G333" s="78">
        <v>86212</v>
      </c>
      <c r="H333" s="78">
        <v>85826</v>
      </c>
      <c r="I333" s="78">
        <v>80197</v>
      </c>
      <c r="J333" s="78">
        <v>80954</v>
      </c>
      <c r="K333" s="78">
        <v>84643</v>
      </c>
      <c r="L333" s="78">
        <v>83020</v>
      </c>
      <c r="M333" s="78">
        <v>81670</v>
      </c>
      <c r="N333" s="78">
        <v>82071</v>
      </c>
      <c r="O333" s="78">
        <v>85505</v>
      </c>
      <c r="P333" s="78">
        <v>84319</v>
      </c>
      <c r="Q333" s="78">
        <f t="shared" si="4"/>
        <v>1006861</v>
      </c>
    </row>
    <row r="334" spans="1:17" x14ac:dyDescent="0.3">
      <c r="A334" s="177" t="s">
        <v>162</v>
      </c>
      <c r="B334" s="177" t="s">
        <v>2224</v>
      </c>
      <c r="C334" s="78" t="s">
        <v>2225</v>
      </c>
      <c r="D334" s="78">
        <v>52775.3</v>
      </c>
      <c r="E334" s="78">
        <v>41841</v>
      </c>
      <c r="F334" s="78">
        <v>39142</v>
      </c>
      <c r="G334" s="78">
        <v>41841</v>
      </c>
      <c r="H334" s="78">
        <v>40491</v>
      </c>
      <c r="I334" s="78">
        <v>41841</v>
      </c>
      <c r="J334" s="78">
        <v>40491</v>
      </c>
      <c r="K334" s="78">
        <v>41841</v>
      </c>
      <c r="L334" s="78">
        <v>41841</v>
      </c>
      <c r="M334" s="78">
        <v>40491</v>
      </c>
      <c r="N334" s="78">
        <v>41841</v>
      </c>
      <c r="O334" s="78">
        <v>40491</v>
      </c>
      <c r="P334" s="78">
        <v>41841</v>
      </c>
      <c r="Q334" s="78">
        <f t="shared" si="4"/>
        <v>493993</v>
      </c>
    </row>
    <row r="335" spans="1:17" x14ac:dyDescent="0.3">
      <c r="A335" s="177" t="s">
        <v>162</v>
      </c>
      <c r="B335" s="177" t="s">
        <v>2226</v>
      </c>
      <c r="C335" s="78" t="s">
        <v>2227</v>
      </c>
      <c r="D335" s="78">
        <v>122299.36</v>
      </c>
      <c r="E335" s="78">
        <v>106285.26</v>
      </c>
      <c r="F335" s="78">
        <v>105584.31</v>
      </c>
      <c r="G335" s="78">
        <v>108526.41</v>
      </c>
      <c r="H335" s="78">
        <v>105568.39</v>
      </c>
      <c r="I335" s="78">
        <v>105551.86</v>
      </c>
      <c r="J335" s="78">
        <v>102087.58</v>
      </c>
      <c r="K335" s="78">
        <v>107226.45</v>
      </c>
      <c r="L335" s="78">
        <v>106840.2</v>
      </c>
      <c r="M335" s="78">
        <v>102993.23</v>
      </c>
      <c r="N335" s="78">
        <v>106534.03</v>
      </c>
      <c r="O335" s="78">
        <v>106016.95</v>
      </c>
      <c r="P335" s="78">
        <v>106626.83</v>
      </c>
      <c r="Q335" s="78">
        <f t="shared" ref="Q335:Q398" si="5">SUM(E335:P335)</f>
        <v>1269841.4999999998</v>
      </c>
    </row>
    <row r="336" spans="1:17" x14ac:dyDescent="0.3">
      <c r="A336" s="177" t="s">
        <v>162</v>
      </c>
      <c r="B336" s="177" t="s">
        <v>2228</v>
      </c>
      <c r="C336" s="78" t="s">
        <v>2229</v>
      </c>
      <c r="D336" s="78">
        <v>44695.47</v>
      </c>
      <c r="E336" s="78">
        <v>0</v>
      </c>
      <c r="F336" s="78">
        <v>0</v>
      </c>
      <c r="G336" s="78">
        <v>0</v>
      </c>
      <c r="H336" s="78">
        <v>0</v>
      </c>
      <c r="I336" s="78">
        <v>0</v>
      </c>
      <c r="J336" s="78">
        <v>0</v>
      </c>
      <c r="K336" s="78">
        <v>0</v>
      </c>
      <c r="L336" s="78">
        <v>0</v>
      </c>
      <c r="M336" s="78">
        <v>0</v>
      </c>
      <c r="N336" s="78">
        <v>0</v>
      </c>
      <c r="O336" s="78">
        <v>0</v>
      </c>
      <c r="P336" s="78">
        <v>0</v>
      </c>
      <c r="Q336" s="78">
        <f t="shared" si="5"/>
        <v>0</v>
      </c>
    </row>
    <row r="337" spans="1:17" x14ac:dyDescent="0.3">
      <c r="A337" s="177" t="s">
        <v>162</v>
      </c>
      <c r="B337" s="177" t="s">
        <v>2230</v>
      </c>
      <c r="C337" s="78" t="s">
        <v>2231</v>
      </c>
      <c r="D337" s="78">
        <v>12733.61</v>
      </c>
      <c r="E337" s="78">
        <v>27354.71</v>
      </c>
      <c r="F337" s="78">
        <v>32812.07</v>
      </c>
      <c r="G337" s="78">
        <v>29564.720000000001</v>
      </c>
      <c r="H337" s="78">
        <v>28634.09</v>
      </c>
      <c r="I337" s="78">
        <v>27197.67</v>
      </c>
      <c r="J337" s="78">
        <v>21772.720000000001</v>
      </c>
      <c r="K337" s="78">
        <v>26775.66</v>
      </c>
      <c r="L337" s="78">
        <v>27288.58</v>
      </c>
      <c r="M337" s="78">
        <v>25245.66</v>
      </c>
      <c r="N337" s="78">
        <v>27382.82</v>
      </c>
      <c r="O337" s="78">
        <v>31017.97</v>
      </c>
      <c r="P337" s="78">
        <v>26067.98</v>
      </c>
      <c r="Q337" s="78">
        <f t="shared" si="5"/>
        <v>331114.65000000002</v>
      </c>
    </row>
    <row r="338" spans="1:17" x14ac:dyDescent="0.3">
      <c r="A338" s="177" t="s">
        <v>162</v>
      </c>
      <c r="B338" s="177" t="s">
        <v>2232</v>
      </c>
      <c r="C338" s="78" t="s">
        <v>2233</v>
      </c>
      <c r="D338" s="78">
        <v>87485.56</v>
      </c>
      <c r="E338" s="78">
        <v>78084</v>
      </c>
      <c r="F338" s="78">
        <v>93227</v>
      </c>
      <c r="G338" s="78">
        <v>84505</v>
      </c>
      <c r="H338" s="78">
        <v>81597</v>
      </c>
      <c r="I338" s="78">
        <v>76863</v>
      </c>
      <c r="J338" s="78">
        <v>62959</v>
      </c>
      <c r="K338" s="78">
        <v>76923</v>
      </c>
      <c r="L338" s="78">
        <v>78101</v>
      </c>
      <c r="M338" s="78">
        <v>71826</v>
      </c>
      <c r="N338" s="78">
        <v>78061</v>
      </c>
      <c r="O338" s="78">
        <v>88068</v>
      </c>
      <c r="P338" s="78">
        <v>75032</v>
      </c>
      <c r="Q338" s="78">
        <f t="shared" si="5"/>
        <v>945246</v>
      </c>
    </row>
    <row r="339" spans="1:17" x14ac:dyDescent="0.3">
      <c r="A339" s="177" t="s">
        <v>162</v>
      </c>
      <c r="B339" s="177" t="s">
        <v>2234</v>
      </c>
      <c r="C339" s="78" t="s">
        <v>2235</v>
      </c>
      <c r="D339" s="78">
        <v>20414.25</v>
      </c>
      <c r="E339" s="78">
        <v>3289.88</v>
      </c>
      <c r="F339" s="78">
        <v>3077.68</v>
      </c>
      <c r="G339" s="78">
        <v>3289.88</v>
      </c>
      <c r="H339" s="78">
        <v>3183.77</v>
      </c>
      <c r="I339" s="78">
        <v>3289.86</v>
      </c>
      <c r="J339" s="78">
        <v>3183.76</v>
      </c>
      <c r="K339" s="78">
        <v>3289.86</v>
      </c>
      <c r="L339" s="78">
        <v>3289.86</v>
      </c>
      <c r="M339" s="78">
        <v>3183.76</v>
      </c>
      <c r="N339" s="78">
        <v>3289.86</v>
      </c>
      <c r="O339" s="78">
        <v>3183.77</v>
      </c>
      <c r="P339" s="78">
        <v>3289.89</v>
      </c>
      <c r="Q339" s="78">
        <f t="shared" si="5"/>
        <v>38841.83</v>
      </c>
    </row>
    <row r="340" spans="1:17" x14ac:dyDescent="0.3">
      <c r="A340" s="177" t="s">
        <v>162</v>
      </c>
      <c r="B340" s="177" t="s">
        <v>2236</v>
      </c>
      <c r="C340" s="78" t="s">
        <v>2237</v>
      </c>
      <c r="D340" s="78">
        <v>130898.27</v>
      </c>
      <c r="E340" s="78">
        <v>0</v>
      </c>
      <c r="F340" s="78">
        <v>0</v>
      </c>
      <c r="G340" s="78">
        <v>0</v>
      </c>
      <c r="H340" s="78">
        <v>0</v>
      </c>
      <c r="I340" s="78">
        <v>0</v>
      </c>
      <c r="J340" s="78">
        <v>0</v>
      </c>
      <c r="K340" s="78">
        <v>0</v>
      </c>
      <c r="L340" s="78">
        <v>0</v>
      </c>
      <c r="M340" s="78">
        <v>0</v>
      </c>
      <c r="N340" s="78">
        <v>0</v>
      </c>
      <c r="O340" s="78">
        <v>0</v>
      </c>
      <c r="P340" s="78">
        <v>0</v>
      </c>
      <c r="Q340" s="78">
        <f t="shared" si="5"/>
        <v>0</v>
      </c>
    </row>
    <row r="341" spans="1:17" x14ac:dyDescent="0.3">
      <c r="A341" s="177" t="s">
        <v>162</v>
      </c>
      <c r="B341" s="177" t="s">
        <v>2238</v>
      </c>
      <c r="C341" s="78" t="s">
        <v>2239</v>
      </c>
      <c r="D341" s="78">
        <v>54789.09</v>
      </c>
      <c r="E341" s="78">
        <v>0</v>
      </c>
      <c r="F341" s="78">
        <v>0</v>
      </c>
      <c r="G341" s="78">
        <v>0</v>
      </c>
      <c r="H341" s="78">
        <v>0</v>
      </c>
      <c r="I341" s="78">
        <v>0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0</v>
      </c>
      <c r="P341" s="78">
        <v>0</v>
      </c>
      <c r="Q341" s="78">
        <f t="shared" si="5"/>
        <v>0</v>
      </c>
    </row>
    <row r="342" spans="1:17" x14ac:dyDescent="0.3">
      <c r="A342" s="177" t="s">
        <v>162</v>
      </c>
      <c r="B342" s="177" t="s">
        <v>2240</v>
      </c>
      <c r="C342" s="78" t="s">
        <v>2241</v>
      </c>
      <c r="D342" s="78">
        <v>-159.36000000000001</v>
      </c>
      <c r="E342" s="78">
        <v>0</v>
      </c>
      <c r="F342" s="78">
        <v>0</v>
      </c>
      <c r="G342" s="78">
        <v>0</v>
      </c>
      <c r="H342" s="78">
        <v>0</v>
      </c>
      <c r="I342" s="78">
        <v>0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0</v>
      </c>
      <c r="P342" s="78">
        <v>0</v>
      </c>
      <c r="Q342" s="78">
        <f t="shared" si="5"/>
        <v>0</v>
      </c>
    </row>
    <row r="343" spans="1:17" x14ac:dyDescent="0.3">
      <c r="A343" s="177" t="s">
        <v>162</v>
      </c>
      <c r="B343" s="177" t="s">
        <v>2242</v>
      </c>
      <c r="C343" s="78" t="s">
        <v>2243</v>
      </c>
      <c r="D343" s="78">
        <v>2851.61</v>
      </c>
      <c r="E343" s="78">
        <v>0</v>
      </c>
      <c r="F343" s="78">
        <v>0</v>
      </c>
      <c r="G343" s="78">
        <v>0</v>
      </c>
      <c r="H343" s="78">
        <v>0</v>
      </c>
      <c r="I343" s="78">
        <v>0</v>
      </c>
      <c r="J343" s="78">
        <v>0</v>
      </c>
      <c r="K343" s="78">
        <v>0</v>
      </c>
      <c r="L343" s="78">
        <v>0</v>
      </c>
      <c r="M343" s="78">
        <v>0</v>
      </c>
      <c r="N343" s="78">
        <v>0</v>
      </c>
      <c r="O343" s="78">
        <v>0</v>
      </c>
      <c r="P343" s="78">
        <v>0</v>
      </c>
      <c r="Q343" s="78">
        <f t="shared" si="5"/>
        <v>0</v>
      </c>
    </row>
    <row r="344" spans="1:17" x14ac:dyDescent="0.3">
      <c r="A344" s="177" t="s">
        <v>162</v>
      </c>
      <c r="B344" s="177" t="s">
        <v>2244</v>
      </c>
      <c r="C344" s="78" t="s">
        <v>2245</v>
      </c>
      <c r="D344" s="78">
        <v>910.8</v>
      </c>
      <c r="E344" s="78">
        <v>0</v>
      </c>
      <c r="F344" s="78">
        <v>0</v>
      </c>
      <c r="G344" s="78">
        <v>0</v>
      </c>
      <c r="H344" s="78">
        <v>0</v>
      </c>
      <c r="I344" s="78">
        <v>0</v>
      </c>
      <c r="J344" s="78">
        <v>0</v>
      </c>
      <c r="K344" s="78">
        <v>0</v>
      </c>
      <c r="L344" s="78">
        <v>0</v>
      </c>
      <c r="M344" s="78">
        <v>0</v>
      </c>
      <c r="N344" s="78">
        <v>0</v>
      </c>
      <c r="O344" s="78">
        <v>0</v>
      </c>
      <c r="P344" s="78">
        <v>0</v>
      </c>
      <c r="Q344" s="78">
        <f t="shared" si="5"/>
        <v>0</v>
      </c>
    </row>
    <row r="345" spans="1:17" x14ac:dyDescent="0.3">
      <c r="A345" s="177" t="s">
        <v>162</v>
      </c>
      <c r="B345" s="177" t="s">
        <v>2246</v>
      </c>
      <c r="C345" s="78" t="s">
        <v>2247</v>
      </c>
      <c r="D345" s="78">
        <v>6058.59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8">
        <v>0</v>
      </c>
      <c r="L345" s="78">
        <v>0</v>
      </c>
      <c r="M345" s="78">
        <v>0</v>
      </c>
      <c r="N345" s="78">
        <v>0</v>
      </c>
      <c r="O345" s="78">
        <v>0</v>
      </c>
      <c r="P345" s="78">
        <v>0</v>
      </c>
      <c r="Q345" s="78">
        <f t="shared" si="5"/>
        <v>0</v>
      </c>
    </row>
    <row r="346" spans="1:17" x14ac:dyDescent="0.3">
      <c r="A346" s="177" t="s">
        <v>162</v>
      </c>
      <c r="B346" s="177" t="s">
        <v>2248</v>
      </c>
      <c r="C346" s="78" t="s">
        <v>2249</v>
      </c>
      <c r="D346" s="78">
        <v>4230.59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8">
        <v>0</v>
      </c>
      <c r="L346" s="78">
        <v>0</v>
      </c>
      <c r="M346" s="78">
        <v>0</v>
      </c>
      <c r="N346" s="78">
        <v>0</v>
      </c>
      <c r="O346" s="78">
        <v>0</v>
      </c>
      <c r="P346" s="78">
        <v>0</v>
      </c>
      <c r="Q346" s="78">
        <f t="shared" si="5"/>
        <v>0</v>
      </c>
    </row>
    <row r="347" spans="1:17" x14ac:dyDescent="0.3">
      <c r="A347" s="177" t="s">
        <v>162</v>
      </c>
      <c r="B347" s="177" t="s">
        <v>2250</v>
      </c>
      <c r="C347" s="78" t="s">
        <v>2251</v>
      </c>
      <c r="D347" s="78">
        <v>5614.72</v>
      </c>
      <c r="E347" s="78">
        <v>0</v>
      </c>
      <c r="F347" s="78">
        <v>0</v>
      </c>
      <c r="G347" s="78">
        <v>0</v>
      </c>
      <c r="H347" s="78">
        <v>0</v>
      </c>
      <c r="I347" s="78">
        <v>0</v>
      </c>
      <c r="J347" s="78">
        <v>0</v>
      </c>
      <c r="K347" s="78">
        <v>0</v>
      </c>
      <c r="L347" s="78">
        <v>0</v>
      </c>
      <c r="M347" s="78">
        <v>0</v>
      </c>
      <c r="N347" s="78">
        <v>0</v>
      </c>
      <c r="O347" s="78">
        <v>0</v>
      </c>
      <c r="P347" s="78">
        <v>0</v>
      </c>
      <c r="Q347" s="78">
        <f t="shared" si="5"/>
        <v>0</v>
      </c>
    </row>
    <row r="348" spans="1:17" x14ac:dyDescent="0.3">
      <c r="A348" s="177" t="s">
        <v>162</v>
      </c>
      <c r="B348" s="177" t="s">
        <v>2252</v>
      </c>
      <c r="C348" s="78" t="s">
        <v>2253</v>
      </c>
      <c r="D348" s="78">
        <v>3950.87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f t="shared" si="5"/>
        <v>0</v>
      </c>
    </row>
    <row r="349" spans="1:17" x14ac:dyDescent="0.3">
      <c r="A349" s="177" t="s">
        <v>162</v>
      </c>
      <c r="B349" s="177" t="s">
        <v>2254</v>
      </c>
      <c r="C349" s="78" t="s">
        <v>2255</v>
      </c>
      <c r="D349" s="78">
        <v>10133.07</v>
      </c>
      <c r="E349" s="78">
        <v>0</v>
      </c>
      <c r="F349" s="78">
        <v>0</v>
      </c>
      <c r="G349" s="78">
        <v>0</v>
      </c>
      <c r="H349" s="78">
        <v>0</v>
      </c>
      <c r="I349" s="78">
        <v>0</v>
      </c>
      <c r="J349" s="78">
        <v>0</v>
      </c>
      <c r="K349" s="78">
        <v>0</v>
      </c>
      <c r="L349" s="78">
        <v>0</v>
      </c>
      <c r="M349" s="78">
        <v>0</v>
      </c>
      <c r="N349" s="78">
        <v>0</v>
      </c>
      <c r="O349" s="78">
        <v>0</v>
      </c>
      <c r="P349" s="78">
        <v>0</v>
      </c>
      <c r="Q349" s="78">
        <f t="shared" si="5"/>
        <v>0</v>
      </c>
    </row>
    <row r="350" spans="1:17" x14ac:dyDescent="0.3">
      <c r="A350" s="177" t="s">
        <v>162</v>
      </c>
      <c r="B350" s="177" t="s">
        <v>2256</v>
      </c>
      <c r="C350" s="78" t="s">
        <v>2257</v>
      </c>
      <c r="D350" s="78">
        <v>3663119.52</v>
      </c>
      <c r="E350" s="78">
        <v>3751414</v>
      </c>
      <c r="F350" s="78">
        <v>3751601</v>
      </c>
      <c r="G350" s="78">
        <v>3850652</v>
      </c>
      <c r="H350" s="78">
        <v>4071248</v>
      </c>
      <c r="I350" s="78">
        <v>4196080</v>
      </c>
      <c r="J350" s="78">
        <v>4173749</v>
      </c>
      <c r="K350" s="78">
        <v>4202015</v>
      </c>
      <c r="L350" s="78">
        <v>4180341</v>
      </c>
      <c r="M350" s="78">
        <v>4110417</v>
      </c>
      <c r="N350" s="78">
        <v>4099874</v>
      </c>
      <c r="O350" s="78">
        <v>3877263</v>
      </c>
      <c r="P350" s="78">
        <v>3818275</v>
      </c>
      <c r="Q350" s="78">
        <f t="shared" si="5"/>
        <v>48082929</v>
      </c>
    </row>
    <row r="351" spans="1:17" x14ac:dyDescent="0.3">
      <c r="A351" s="177" t="s">
        <v>162</v>
      </c>
      <c r="B351" s="177" t="s">
        <v>2258</v>
      </c>
      <c r="C351" s="78" t="s">
        <v>2259</v>
      </c>
      <c r="D351" s="78">
        <v>4970512.45</v>
      </c>
      <c r="E351" s="78">
        <v>3581270</v>
      </c>
      <c r="F351" s="78">
        <v>3441640</v>
      </c>
      <c r="G351" s="78">
        <v>3623416</v>
      </c>
      <c r="H351" s="78">
        <v>3838303</v>
      </c>
      <c r="I351" s="78">
        <v>3941611</v>
      </c>
      <c r="J351" s="78">
        <v>3956813</v>
      </c>
      <c r="K351" s="78">
        <v>4013216</v>
      </c>
      <c r="L351" s="78">
        <v>3963293</v>
      </c>
      <c r="M351" s="78">
        <v>3985800</v>
      </c>
      <c r="N351" s="78">
        <v>3817536</v>
      </c>
      <c r="O351" s="78">
        <v>3636676</v>
      </c>
      <c r="P351" s="78">
        <v>3629374</v>
      </c>
      <c r="Q351" s="78">
        <f t="shared" si="5"/>
        <v>45428948</v>
      </c>
    </row>
    <row r="352" spans="1:17" x14ac:dyDescent="0.3">
      <c r="A352" s="177" t="s">
        <v>162</v>
      </c>
      <c r="B352" s="177" t="s">
        <v>2260</v>
      </c>
      <c r="C352" s="78" t="s">
        <v>2261</v>
      </c>
      <c r="D352" s="78">
        <v>-11698.04</v>
      </c>
      <c r="E352" s="78">
        <v>39314</v>
      </c>
      <c r="F352" s="78">
        <v>40293</v>
      </c>
      <c r="G352" s="78">
        <v>40999</v>
      </c>
      <c r="H352" s="78">
        <v>41475</v>
      </c>
      <c r="I352" s="78">
        <v>43901</v>
      </c>
      <c r="J352" s="78">
        <v>44004</v>
      </c>
      <c r="K352" s="78">
        <v>44571</v>
      </c>
      <c r="L352" s="78">
        <v>44824</v>
      </c>
      <c r="M352" s="78">
        <v>43327</v>
      </c>
      <c r="N352" s="78">
        <v>43905</v>
      </c>
      <c r="O352" s="78">
        <v>41482</v>
      </c>
      <c r="P352" s="78">
        <v>40618</v>
      </c>
      <c r="Q352" s="78">
        <f t="shared" si="5"/>
        <v>508713</v>
      </c>
    </row>
    <row r="353" spans="1:17" x14ac:dyDescent="0.3">
      <c r="A353" s="177" t="s">
        <v>162</v>
      </c>
      <c r="B353" s="177" t="s">
        <v>2262</v>
      </c>
      <c r="C353" s="78" t="s">
        <v>2263</v>
      </c>
      <c r="D353" s="78">
        <v>178218.68</v>
      </c>
      <c r="E353" s="78">
        <v>145781</v>
      </c>
      <c r="F353" s="78">
        <v>149471</v>
      </c>
      <c r="G353" s="78">
        <v>152195</v>
      </c>
      <c r="H353" s="78">
        <v>153896</v>
      </c>
      <c r="I353" s="78">
        <v>162940</v>
      </c>
      <c r="J353" s="78">
        <v>163124</v>
      </c>
      <c r="K353" s="78">
        <v>165174</v>
      </c>
      <c r="L353" s="78">
        <v>166113</v>
      </c>
      <c r="M353" s="78">
        <v>160556</v>
      </c>
      <c r="N353" s="78">
        <v>162768</v>
      </c>
      <c r="O353" s="78">
        <v>153822</v>
      </c>
      <c r="P353" s="78">
        <v>150707</v>
      </c>
      <c r="Q353" s="78">
        <f t="shared" si="5"/>
        <v>1886547</v>
      </c>
    </row>
    <row r="354" spans="1:17" x14ac:dyDescent="0.3">
      <c r="A354" s="177" t="s">
        <v>162</v>
      </c>
      <c r="B354" s="177" t="s">
        <v>2264</v>
      </c>
      <c r="C354" s="78" t="s">
        <v>2265</v>
      </c>
      <c r="D354" s="78">
        <v>78046.31</v>
      </c>
      <c r="E354" s="78">
        <v>73479</v>
      </c>
      <c r="F354" s="78">
        <v>70696</v>
      </c>
      <c r="G354" s="78">
        <v>74234</v>
      </c>
      <c r="H354" s="78">
        <v>78645</v>
      </c>
      <c r="I354" s="78">
        <v>80728</v>
      </c>
      <c r="J354" s="78">
        <v>81250</v>
      </c>
      <c r="K354" s="78">
        <v>82404</v>
      </c>
      <c r="L354" s="78">
        <v>81356</v>
      </c>
      <c r="M354" s="78">
        <v>81958</v>
      </c>
      <c r="N354" s="78">
        <v>78313</v>
      </c>
      <c r="O354" s="78">
        <v>74718</v>
      </c>
      <c r="P354" s="78">
        <v>74535</v>
      </c>
      <c r="Q354" s="78">
        <f t="shared" si="5"/>
        <v>932316</v>
      </c>
    </row>
    <row r="355" spans="1:17" x14ac:dyDescent="0.3">
      <c r="A355" s="177" t="s">
        <v>162</v>
      </c>
      <c r="B355" s="177" t="s">
        <v>2266</v>
      </c>
      <c r="C355" s="78" t="s">
        <v>2267</v>
      </c>
      <c r="D355" s="78">
        <v>390801.04</v>
      </c>
      <c r="E355" s="78">
        <v>334033.59999999998</v>
      </c>
      <c r="F355" s="78">
        <v>328208.26</v>
      </c>
      <c r="G355" s="78">
        <v>340482.57</v>
      </c>
      <c r="H355" s="78">
        <v>359743.23</v>
      </c>
      <c r="I355" s="78">
        <v>371424.69</v>
      </c>
      <c r="J355" s="78">
        <v>371136.97</v>
      </c>
      <c r="K355" s="78">
        <v>375001.81</v>
      </c>
      <c r="L355" s="78">
        <v>372006.95</v>
      </c>
      <c r="M355" s="78">
        <v>369403.74</v>
      </c>
      <c r="N355" s="78">
        <v>361703.49</v>
      </c>
      <c r="O355" s="78">
        <v>343418.32</v>
      </c>
      <c r="P355" s="78">
        <v>339954.16</v>
      </c>
      <c r="Q355" s="78">
        <f t="shared" si="5"/>
        <v>4266517.79</v>
      </c>
    </row>
    <row r="356" spans="1:17" x14ac:dyDescent="0.3">
      <c r="A356" s="177" t="s">
        <v>162</v>
      </c>
      <c r="B356" s="177" t="s">
        <v>2268</v>
      </c>
      <c r="C356" s="78" t="s">
        <v>2269</v>
      </c>
      <c r="D356" s="78">
        <v>229357.83</v>
      </c>
      <c r="E356" s="78">
        <v>203195.87</v>
      </c>
      <c r="F356" s="78">
        <v>199652.26</v>
      </c>
      <c r="G356" s="78">
        <v>207118.84</v>
      </c>
      <c r="H356" s="78">
        <v>218835.29</v>
      </c>
      <c r="I356" s="78">
        <v>225941.23</v>
      </c>
      <c r="J356" s="78">
        <v>225766.21</v>
      </c>
      <c r="K356" s="78">
        <v>228117.23</v>
      </c>
      <c r="L356" s="78">
        <v>226295.43</v>
      </c>
      <c r="M356" s="78">
        <v>224711.87</v>
      </c>
      <c r="N356" s="78">
        <v>220027.73</v>
      </c>
      <c r="O356" s="78">
        <v>208904.69</v>
      </c>
      <c r="P356" s="78">
        <v>206797.4</v>
      </c>
      <c r="Q356" s="78">
        <f t="shared" si="5"/>
        <v>2595364.0499999998</v>
      </c>
    </row>
    <row r="357" spans="1:17" x14ac:dyDescent="0.3">
      <c r="A357" s="177" t="s">
        <v>162</v>
      </c>
      <c r="B357" s="177" t="s">
        <v>2270</v>
      </c>
      <c r="C357" s="78" t="s">
        <v>2271</v>
      </c>
      <c r="D357" s="78">
        <v>17502.400000000001</v>
      </c>
      <c r="E357" s="78">
        <v>0</v>
      </c>
      <c r="F357" s="78">
        <v>0</v>
      </c>
      <c r="G357" s="78">
        <v>0</v>
      </c>
      <c r="H357" s="78">
        <v>0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f t="shared" si="5"/>
        <v>0</v>
      </c>
    </row>
    <row r="358" spans="1:17" x14ac:dyDescent="0.3">
      <c r="A358" s="177" t="s">
        <v>162</v>
      </c>
      <c r="B358" s="177" t="s">
        <v>2272</v>
      </c>
      <c r="C358" s="78" t="s">
        <v>2273</v>
      </c>
      <c r="D358" s="78">
        <v>118771.73</v>
      </c>
      <c r="E358" s="78">
        <v>145889.21</v>
      </c>
      <c r="F358" s="78">
        <v>146175.70000000001</v>
      </c>
      <c r="G358" s="78">
        <v>146752.9</v>
      </c>
      <c r="H358" s="78">
        <v>151713.18</v>
      </c>
      <c r="I358" s="78">
        <v>165168.44</v>
      </c>
      <c r="J358" s="78">
        <v>165085.28</v>
      </c>
      <c r="K358" s="78">
        <v>166202.15</v>
      </c>
      <c r="L358" s="78">
        <v>166559.9</v>
      </c>
      <c r="M358" s="78">
        <v>163494.5</v>
      </c>
      <c r="N358" s="78">
        <v>162809.42000000001</v>
      </c>
      <c r="O358" s="78">
        <v>157253.57</v>
      </c>
      <c r="P358" s="78">
        <v>152683.54</v>
      </c>
      <c r="Q358" s="78">
        <f t="shared" si="5"/>
        <v>1889787.7899999998</v>
      </c>
    </row>
    <row r="359" spans="1:17" x14ac:dyDescent="0.3">
      <c r="A359" s="177" t="s">
        <v>162</v>
      </c>
      <c r="B359" s="177" t="s">
        <v>2274</v>
      </c>
      <c r="C359" s="78" t="s">
        <v>2275</v>
      </c>
      <c r="D359" s="78">
        <v>216153.9</v>
      </c>
      <c r="E359" s="78">
        <v>210784</v>
      </c>
      <c r="F359" s="78">
        <v>211025</v>
      </c>
      <c r="G359" s="78">
        <v>212409</v>
      </c>
      <c r="H359" s="78">
        <v>219495</v>
      </c>
      <c r="I359" s="78">
        <v>240107</v>
      </c>
      <c r="J359" s="78">
        <v>238939</v>
      </c>
      <c r="K359" s="78">
        <v>240323</v>
      </c>
      <c r="L359" s="78">
        <v>240923</v>
      </c>
      <c r="M359" s="78">
        <v>235359</v>
      </c>
      <c r="N359" s="78">
        <v>235769</v>
      </c>
      <c r="O359" s="78">
        <v>228010</v>
      </c>
      <c r="P359" s="78">
        <v>221349</v>
      </c>
      <c r="Q359" s="78">
        <f t="shared" si="5"/>
        <v>2734492</v>
      </c>
    </row>
    <row r="360" spans="1:17" x14ac:dyDescent="0.3">
      <c r="A360" s="177" t="s">
        <v>162</v>
      </c>
      <c r="B360" s="177" t="s">
        <v>2276</v>
      </c>
      <c r="C360" s="78" t="s">
        <v>2277</v>
      </c>
      <c r="D360" s="78">
        <v>189600.75</v>
      </c>
      <c r="E360" s="78">
        <v>42040.57</v>
      </c>
      <c r="F360" s="78">
        <v>40868.32</v>
      </c>
      <c r="G360" s="78">
        <v>42308.71</v>
      </c>
      <c r="H360" s="78">
        <v>45134.25</v>
      </c>
      <c r="I360" s="78">
        <v>46505.54</v>
      </c>
      <c r="J360" s="78">
        <v>47251.199999999997</v>
      </c>
      <c r="K360" s="78">
        <v>47999.85</v>
      </c>
      <c r="L360" s="78">
        <v>47443.87</v>
      </c>
      <c r="M360" s="78">
        <v>48184.34</v>
      </c>
      <c r="N360" s="78">
        <v>45439.86</v>
      </c>
      <c r="O360" s="78">
        <v>43390.59</v>
      </c>
      <c r="P360" s="78">
        <v>42888.23</v>
      </c>
      <c r="Q360" s="78">
        <f t="shared" si="5"/>
        <v>539455.32999999996</v>
      </c>
    </row>
    <row r="361" spans="1:17" x14ac:dyDescent="0.3">
      <c r="A361" s="177" t="s">
        <v>162</v>
      </c>
      <c r="B361" s="177" t="s">
        <v>2278</v>
      </c>
      <c r="C361" s="78" t="s">
        <v>2279</v>
      </c>
      <c r="D361" s="78">
        <v>2982699.42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8">
        <v>0</v>
      </c>
      <c r="L361" s="78">
        <v>0</v>
      </c>
      <c r="M361" s="78">
        <v>0</v>
      </c>
      <c r="N361" s="78">
        <v>0</v>
      </c>
      <c r="O361" s="78">
        <v>0</v>
      </c>
      <c r="P361" s="78">
        <v>0</v>
      </c>
      <c r="Q361" s="78">
        <f t="shared" si="5"/>
        <v>0</v>
      </c>
    </row>
    <row r="362" spans="1:17" x14ac:dyDescent="0.3">
      <c r="A362" s="177" t="s">
        <v>162</v>
      </c>
      <c r="B362" s="177" t="s">
        <v>2280</v>
      </c>
      <c r="C362" s="78" t="s">
        <v>2281</v>
      </c>
      <c r="D362" s="78">
        <v>223685.27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8">
        <v>0</v>
      </c>
      <c r="L362" s="78">
        <v>0</v>
      </c>
      <c r="M362" s="78">
        <v>0</v>
      </c>
      <c r="N362" s="78">
        <v>0</v>
      </c>
      <c r="O362" s="78">
        <v>0</v>
      </c>
      <c r="P362" s="78">
        <v>0</v>
      </c>
      <c r="Q362" s="78">
        <f t="shared" si="5"/>
        <v>0</v>
      </c>
    </row>
    <row r="363" spans="1:17" x14ac:dyDescent="0.3">
      <c r="A363" s="177" t="s">
        <v>162</v>
      </c>
      <c r="B363" s="177" t="s">
        <v>2282</v>
      </c>
      <c r="C363" s="78" t="s">
        <v>2283</v>
      </c>
      <c r="D363" s="78">
        <v>-130.69</v>
      </c>
      <c r="E363" s="78">
        <v>0</v>
      </c>
      <c r="F363" s="78">
        <v>0</v>
      </c>
      <c r="G363" s="78">
        <v>0</v>
      </c>
      <c r="H363" s="78">
        <v>0</v>
      </c>
      <c r="I363" s="78">
        <v>0</v>
      </c>
      <c r="J363" s="78">
        <v>0</v>
      </c>
      <c r="K363" s="78">
        <v>0</v>
      </c>
      <c r="L363" s="78">
        <v>0</v>
      </c>
      <c r="M363" s="78">
        <v>0</v>
      </c>
      <c r="N363" s="78">
        <v>0</v>
      </c>
      <c r="O363" s="78">
        <v>0</v>
      </c>
      <c r="P363" s="78">
        <v>0</v>
      </c>
      <c r="Q363" s="78">
        <f t="shared" si="5"/>
        <v>0</v>
      </c>
    </row>
    <row r="364" spans="1:17" x14ac:dyDescent="0.3">
      <c r="A364" s="177" t="s">
        <v>162</v>
      </c>
      <c r="B364" s="177" t="s">
        <v>2284</v>
      </c>
      <c r="C364" s="78" t="s">
        <v>2285</v>
      </c>
      <c r="D364" s="78">
        <v>10949.25</v>
      </c>
      <c r="E364" s="78">
        <v>0</v>
      </c>
      <c r="F364" s="78">
        <v>0</v>
      </c>
      <c r="G364" s="78">
        <v>0</v>
      </c>
      <c r="H364" s="78">
        <v>0</v>
      </c>
      <c r="I364" s="78">
        <v>0</v>
      </c>
      <c r="J364" s="78">
        <v>0</v>
      </c>
      <c r="K364" s="78">
        <v>0</v>
      </c>
      <c r="L364" s="78">
        <v>0</v>
      </c>
      <c r="M364" s="78">
        <v>0</v>
      </c>
      <c r="N364" s="78">
        <v>0</v>
      </c>
      <c r="O364" s="78">
        <v>0</v>
      </c>
      <c r="P364" s="78">
        <v>0</v>
      </c>
      <c r="Q364" s="78">
        <f t="shared" si="5"/>
        <v>0</v>
      </c>
    </row>
    <row r="365" spans="1:17" x14ac:dyDescent="0.3">
      <c r="A365" s="177" t="s">
        <v>162</v>
      </c>
      <c r="B365" s="177" t="s">
        <v>2286</v>
      </c>
      <c r="C365" s="78" t="s">
        <v>2287</v>
      </c>
      <c r="D365" s="78">
        <v>2856.8</v>
      </c>
      <c r="E365" s="78">
        <v>0</v>
      </c>
      <c r="F365" s="78">
        <v>0</v>
      </c>
      <c r="G365" s="78">
        <v>0</v>
      </c>
      <c r="H365" s="78">
        <v>0</v>
      </c>
      <c r="I365" s="78">
        <v>0</v>
      </c>
      <c r="J365" s="78">
        <v>0</v>
      </c>
      <c r="K365" s="78">
        <v>0</v>
      </c>
      <c r="L365" s="78">
        <v>0</v>
      </c>
      <c r="M365" s="78">
        <v>0</v>
      </c>
      <c r="N365" s="78">
        <v>0</v>
      </c>
      <c r="O365" s="78">
        <v>0</v>
      </c>
      <c r="P365" s="78">
        <v>0</v>
      </c>
      <c r="Q365" s="78">
        <f t="shared" si="5"/>
        <v>0</v>
      </c>
    </row>
    <row r="366" spans="1:17" x14ac:dyDescent="0.3">
      <c r="A366" s="177" t="s">
        <v>162</v>
      </c>
      <c r="B366" s="177" t="s">
        <v>2288</v>
      </c>
      <c r="C366" s="78" t="s">
        <v>2289</v>
      </c>
      <c r="D366" s="78">
        <v>85641.15</v>
      </c>
      <c r="E366" s="78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f t="shared" si="5"/>
        <v>0</v>
      </c>
    </row>
    <row r="367" spans="1:17" x14ac:dyDescent="0.3">
      <c r="A367" s="177" t="s">
        <v>162</v>
      </c>
      <c r="B367" s="177" t="s">
        <v>2290</v>
      </c>
      <c r="C367" s="78" t="s">
        <v>2291</v>
      </c>
      <c r="D367" s="78">
        <v>11769.68</v>
      </c>
      <c r="E367" s="78">
        <v>0</v>
      </c>
      <c r="F367" s="78">
        <v>0</v>
      </c>
      <c r="G367" s="78">
        <v>0</v>
      </c>
      <c r="H367" s="78">
        <v>0</v>
      </c>
      <c r="I367" s="78">
        <v>0</v>
      </c>
      <c r="J367" s="78">
        <v>0</v>
      </c>
      <c r="K367" s="78">
        <v>0</v>
      </c>
      <c r="L367" s="78">
        <v>0</v>
      </c>
      <c r="M367" s="78">
        <v>0</v>
      </c>
      <c r="N367" s="78">
        <v>0</v>
      </c>
      <c r="O367" s="78">
        <v>0</v>
      </c>
      <c r="P367" s="78">
        <v>0</v>
      </c>
      <c r="Q367" s="78">
        <f t="shared" si="5"/>
        <v>0</v>
      </c>
    </row>
    <row r="368" spans="1:17" x14ac:dyDescent="0.3">
      <c r="A368" s="177" t="s">
        <v>162</v>
      </c>
      <c r="B368" s="177" t="s">
        <v>2292</v>
      </c>
      <c r="C368" s="78" t="s">
        <v>2293</v>
      </c>
      <c r="D368" s="78">
        <v>63439.94</v>
      </c>
      <c r="E368" s="78">
        <v>0</v>
      </c>
      <c r="F368" s="78">
        <v>0</v>
      </c>
      <c r="G368" s="78">
        <v>0</v>
      </c>
      <c r="H368" s="78">
        <v>0</v>
      </c>
      <c r="I368" s="78">
        <v>0</v>
      </c>
      <c r="J368" s="78">
        <v>0</v>
      </c>
      <c r="K368" s="78">
        <v>0</v>
      </c>
      <c r="L368" s="78">
        <v>0</v>
      </c>
      <c r="M368" s="78">
        <v>0</v>
      </c>
      <c r="N368" s="78">
        <v>0</v>
      </c>
      <c r="O368" s="78">
        <v>0</v>
      </c>
      <c r="P368" s="78">
        <v>0</v>
      </c>
      <c r="Q368" s="78">
        <f t="shared" si="5"/>
        <v>0</v>
      </c>
    </row>
    <row r="369" spans="1:17" x14ac:dyDescent="0.3">
      <c r="A369" s="177" t="s">
        <v>162</v>
      </c>
      <c r="B369" s="177" t="s">
        <v>2294</v>
      </c>
      <c r="C369" s="78" t="s">
        <v>2295</v>
      </c>
      <c r="D369" s="78">
        <v>1558.15</v>
      </c>
      <c r="E369" s="78">
        <v>0</v>
      </c>
      <c r="F369" s="78">
        <v>0</v>
      </c>
      <c r="G369" s="78">
        <v>0</v>
      </c>
      <c r="H369" s="78">
        <v>0</v>
      </c>
      <c r="I369" s="78">
        <v>0</v>
      </c>
      <c r="J369" s="78">
        <v>0</v>
      </c>
      <c r="K369" s="78">
        <v>0</v>
      </c>
      <c r="L369" s="78">
        <v>0</v>
      </c>
      <c r="M369" s="78">
        <v>0</v>
      </c>
      <c r="N369" s="78">
        <v>0</v>
      </c>
      <c r="O369" s="78">
        <v>0</v>
      </c>
      <c r="P369" s="78">
        <v>0</v>
      </c>
      <c r="Q369" s="78">
        <f t="shared" si="5"/>
        <v>0</v>
      </c>
    </row>
    <row r="370" spans="1:17" x14ac:dyDescent="0.3">
      <c r="A370" s="177" t="s">
        <v>162</v>
      </c>
      <c r="B370" s="177" t="s">
        <v>2296</v>
      </c>
      <c r="C370" s="78" t="s">
        <v>2297</v>
      </c>
      <c r="D370" s="78">
        <v>14107.38</v>
      </c>
      <c r="E370" s="78">
        <v>0</v>
      </c>
      <c r="F370" s="78">
        <v>0</v>
      </c>
      <c r="G370" s="78">
        <v>0</v>
      </c>
      <c r="H370" s="78">
        <v>0</v>
      </c>
      <c r="I370" s="78">
        <v>0</v>
      </c>
      <c r="J370" s="78">
        <v>0</v>
      </c>
      <c r="K370" s="78">
        <v>0</v>
      </c>
      <c r="L370" s="78">
        <v>0</v>
      </c>
      <c r="M370" s="78">
        <v>0</v>
      </c>
      <c r="N370" s="78">
        <v>0</v>
      </c>
      <c r="O370" s="78">
        <v>0</v>
      </c>
      <c r="P370" s="78">
        <v>0</v>
      </c>
      <c r="Q370" s="78">
        <f t="shared" si="5"/>
        <v>0</v>
      </c>
    </row>
    <row r="371" spans="1:17" x14ac:dyDescent="0.3">
      <c r="A371" s="177" t="s">
        <v>162</v>
      </c>
      <c r="B371" s="177" t="s">
        <v>2298</v>
      </c>
      <c r="C371" s="78" t="s">
        <v>2299</v>
      </c>
      <c r="D371" s="78">
        <v>6624653.4100000001</v>
      </c>
      <c r="E371" s="78">
        <v>9653399</v>
      </c>
      <c r="F371" s="78">
        <v>9723697</v>
      </c>
      <c r="G371" s="78">
        <v>9660660</v>
      </c>
      <c r="H371" s="78">
        <v>9830621</v>
      </c>
      <c r="I371" s="78">
        <v>10146098</v>
      </c>
      <c r="J371" s="78">
        <v>10580699</v>
      </c>
      <c r="K371" s="78">
        <v>10533548</v>
      </c>
      <c r="L371" s="78">
        <v>10649483</v>
      </c>
      <c r="M371" s="78">
        <v>10816164</v>
      </c>
      <c r="N371" s="78">
        <v>10669841</v>
      </c>
      <c r="O371" s="78">
        <v>9976642</v>
      </c>
      <c r="P371" s="78">
        <v>9741378</v>
      </c>
      <c r="Q371" s="78">
        <f t="shared" si="5"/>
        <v>121982230</v>
      </c>
    </row>
    <row r="372" spans="1:17" x14ac:dyDescent="0.3">
      <c r="A372" s="177" t="s">
        <v>162</v>
      </c>
      <c r="B372" s="177" t="s">
        <v>2300</v>
      </c>
      <c r="C372" s="78" t="s">
        <v>2301</v>
      </c>
      <c r="D372" s="78">
        <v>7760342.5099999998</v>
      </c>
      <c r="E372" s="78">
        <v>5715755</v>
      </c>
      <c r="F372" s="78">
        <v>5588106</v>
      </c>
      <c r="G372" s="78">
        <v>5680510</v>
      </c>
      <c r="H372" s="78">
        <v>5906351</v>
      </c>
      <c r="I372" s="78">
        <v>6298232</v>
      </c>
      <c r="J372" s="78">
        <v>6789270</v>
      </c>
      <c r="K372" s="78">
        <v>7015888</v>
      </c>
      <c r="L372" s="78">
        <v>7031396</v>
      </c>
      <c r="M372" s="78">
        <v>7077480</v>
      </c>
      <c r="N372" s="78">
        <v>6754024</v>
      </c>
      <c r="O372" s="78">
        <v>6150157</v>
      </c>
      <c r="P372" s="78">
        <v>5784894</v>
      </c>
      <c r="Q372" s="78">
        <f t="shared" si="5"/>
        <v>75792063</v>
      </c>
    </row>
    <row r="373" spans="1:17" x14ac:dyDescent="0.3">
      <c r="A373" s="177" t="s">
        <v>162</v>
      </c>
      <c r="B373" s="177" t="s">
        <v>2302</v>
      </c>
      <c r="C373" s="78" t="s">
        <v>2303</v>
      </c>
      <c r="D373" s="78">
        <v>-20042.310000000001</v>
      </c>
      <c r="E373" s="78">
        <v>67243</v>
      </c>
      <c r="F373" s="78">
        <v>68391</v>
      </c>
      <c r="G373" s="78">
        <v>67329</v>
      </c>
      <c r="H373" s="78">
        <v>68782</v>
      </c>
      <c r="I373" s="78">
        <v>72033</v>
      </c>
      <c r="J373" s="78">
        <v>76228</v>
      </c>
      <c r="K373" s="78">
        <v>74410</v>
      </c>
      <c r="L373" s="78">
        <v>75808</v>
      </c>
      <c r="M373" s="78">
        <v>77244</v>
      </c>
      <c r="N373" s="78">
        <v>76747</v>
      </c>
      <c r="O373" s="78">
        <v>70357</v>
      </c>
      <c r="P373" s="78">
        <v>68854</v>
      </c>
      <c r="Q373" s="78">
        <f t="shared" si="5"/>
        <v>863426</v>
      </c>
    </row>
    <row r="374" spans="1:17" x14ac:dyDescent="0.3">
      <c r="A374" s="177" t="s">
        <v>162</v>
      </c>
      <c r="B374" s="177" t="s">
        <v>2304</v>
      </c>
      <c r="C374" s="78" t="s">
        <v>2305</v>
      </c>
      <c r="D374" s="78">
        <v>305623.51</v>
      </c>
      <c r="E374" s="78">
        <v>250853</v>
      </c>
      <c r="F374" s="78">
        <v>255322</v>
      </c>
      <c r="G374" s="78">
        <v>251432</v>
      </c>
      <c r="H374" s="78">
        <v>256735</v>
      </c>
      <c r="I374" s="78">
        <v>268777</v>
      </c>
      <c r="J374" s="78">
        <v>284402</v>
      </c>
      <c r="K374" s="78">
        <v>277659</v>
      </c>
      <c r="L374" s="78">
        <v>282770</v>
      </c>
      <c r="M374" s="78">
        <v>287930</v>
      </c>
      <c r="N374" s="78">
        <v>286229</v>
      </c>
      <c r="O374" s="78">
        <v>262761</v>
      </c>
      <c r="P374" s="78">
        <v>256995</v>
      </c>
      <c r="Q374" s="78">
        <f t="shared" si="5"/>
        <v>3221865</v>
      </c>
    </row>
    <row r="375" spans="1:17" x14ac:dyDescent="0.3">
      <c r="A375" s="177" t="s">
        <v>162</v>
      </c>
      <c r="B375" s="177" t="s">
        <v>2306</v>
      </c>
      <c r="C375" s="78" t="s">
        <v>2307</v>
      </c>
      <c r="D375" s="78">
        <v>121542.24</v>
      </c>
      <c r="E375" s="78">
        <v>115282</v>
      </c>
      <c r="F375" s="78">
        <v>112582</v>
      </c>
      <c r="G375" s="78">
        <v>114454</v>
      </c>
      <c r="H375" s="78">
        <v>119062</v>
      </c>
      <c r="I375" s="78">
        <v>127096</v>
      </c>
      <c r="J375" s="78">
        <v>137346</v>
      </c>
      <c r="K375" s="78">
        <v>142056</v>
      </c>
      <c r="L375" s="78">
        <v>142332</v>
      </c>
      <c r="M375" s="78">
        <v>143334</v>
      </c>
      <c r="N375" s="78">
        <v>136570</v>
      </c>
      <c r="O375" s="78">
        <v>124099</v>
      </c>
      <c r="P375" s="78">
        <v>116682</v>
      </c>
      <c r="Q375" s="78">
        <f t="shared" si="5"/>
        <v>1530895</v>
      </c>
    </row>
    <row r="376" spans="1:17" x14ac:dyDescent="0.3">
      <c r="A376" s="177" t="s">
        <v>162</v>
      </c>
      <c r="B376" s="177" t="s">
        <v>2308</v>
      </c>
      <c r="C376" s="78" t="s">
        <v>2309</v>
      </c>
      <c r="D376" s="78">
        <v>439720.72</v>
      </c>
      <c r="E376" s="78">
        <v>450891.62</v>
      </c>
      <c r="F376" s="78">
        <v>449524.34</v>
      </c>
      <c r="G376" s="78">
        <v>449958.05</v>
      </c>
      <c r="H376" s="78">
        <v>461458.58</v>
      </c>
      <c r="I376" s="78">
        <v>482269.79</v>
      </c>
      <c r="J376" s="78">
        <v>509562.67</v>
      </c>
      <c r="K376" s="78">
        <v>514022.78</v>
      </c>
      <c r="L376" s="78">
        <v>518099.75</v>
      </c>
      <c r="M376" s="78">
        <v>524577.51</v>
      </c>
      <c r="N376" s="78">
        <v>511168.89</v>
      </c>
      <c r="O376" s="78">
        <v>472895.4</v>
      </c>
      <c r="P376" s="78">
        <v>455824.11</v>
      </c>
      <c r="Q376" s="78">
        <f t="shared" si="5"/>
        <v>5800253.4900000002</v>
      </c>
    </row>
    <row r="377" spans="1:17" x14ac:dyDescent="0.3">
      <c r="A377" s="177" t="s">
        <v>162</v>
      </c>
      <c r="B377" s="177" t="s">
        <v>2310</v>
      </c>
      <c r="C377" s="78" t="s">
        <v>2311</v>
      </c>
      <c r="D377" s="78">
        <v>401009.41</v>
      </c>
      <c r="E377" s="78">
        <v>260002.5</v>
      </c>
      <c r="F377" s="78">
        <v>258584.16</v>
      </c>
      <c r="G377" s="78">
        <v>258865.81</v>
      </c>
      <c r="H377" s="78">
        <v>269594.09000000003</v>
      </c>
      <c r="I377" s="78">
        <v>289111.13</v>
      </c>
      <c r="J377" s="78">
        <v>314746.38</v>
      </c>
      <c r="K377" s="78">
        <v>318828.08</v>
      </c>
      <c r="L377" s="78">
        <v>322547.93</v>
      </c>
      <c r="M377" s="78">
        <v>328533.89</v>
      </c>
      <c r="N377" s="78">
        <v>315747.59999999998</v>
      </c>
      <c r="O377" s="78">
        <v>279489.62</v>
      </c>
      <c r="P377" s="78">
        <v>263252.53000000003</v>
      </c>
      <c r="Q377" s="78">
        <f t="shared" si="5"/>
        <v>3479303.7200000007</v>
      </c>
    </row>
    <row r="378" spans="1:17" x14ac:dyDescent="0.3">
      <c r="A378" s="177" t="s">
        <v>162</v>
      </c>
      <c r="B378" s="177" t="s">
        <v>2312</v>
      </c>
      <c r="C378" s="78" t="s">
        <v>2313</v>
      </c>
      <c r="D378" s="78">
        <v>87.25</v>
      </c>
      <c r="E378" s="78">
        <v>0</v>
      </c>
      <c r="F378" s="78">
        <v>0</v>
      </c>
      <c r="G378" s="78">
        <v>0</v>
      </c>
      <c r="H378" s="78">
        <v>0</v>
      </c>
      <c r="I378" s="78">
        <v>0</v>
      </c>
      <c r="J378" s="78">
        <v>0</v>
      </c>
      <c r="K378" s="78">
        <v>0</v>
      </c>
      <c r="L378" s="78">
        <v>0</v>
      </c>
      <c r="M378" s="78">
        <v>0</v>
      </c>
      <c r="N378" s="78">
        <v>0</v>
      </c>
      <c r="O378" s="78">
        <v>0</v>
      </c>
      <c r="P378" s="78">
        <v>0</v>
      </c>
      <c r="Q378" s="78">
        <f t="shared" si="5"/>
        <v>0</v>
      </c>
    </row>
    <row r="379" spans="1:17" x14ac:dyDescent="0.3">
      <c r="A379" s="177" t="s">
        <v>162</v>
      </c>
      <c r="B379" s="177" t="s">
        <v>2314</v>
      </c>
      <c r="C379" s="78" t="s">
        <v>2315</v>
      </c>
      <c r="D379" s="78">
        <v>218242.87</v>
      </c>
      <c r="E379" s="78">
        <v>438541.44</v>
      </c>
      <c r="F379" s="78">
        <v>439601.97</v>
      </c>
      <c r="G379" s="78">
        <v>434442.89</v>
      </c>
      <c r="H379" s="78">
        <v>439059.41</v>
      </c>
      <c r="I379" s="78">
        <v>450888.94</v>
      </c>
      <c r="J379" s="78">
        <v>469014.11</v>
      </c>
      <c r="K379" s="78">
        <v>463900.73</v>
      </c>
      <c r="L379" s="78">
        <v>468212.56</v>
      </c>
      <c r="M379" s="78">
        <v>476538.25</v>
      </c>
      <c r="N379" s="78">
        <v>470474.51</v>
      </c>
      <c r="O379" s="78">
        <v>445821.63</v>
      </c>
      <c r="P379" s="78">
        <v>444737.22</v>
      </c>
      <c r="Q379" s="78">
        <f t="shared" si="5"/>
        <v>5441233.6599999992</v>
      </c>
    </row>
    <row r="380" spans="1:17" x14ac:dyDescent="0.3">
      <c r="A380" s="177" t="s">
        <v>162</v>
      </c>
      <c r="B380" s="177" t="s">
        <v>2316</v>
      </c>
      <c r="C380" s="78" t="s">
        <v>2317</v>
      </c>
      <c r="D380" s="78">
        <v>377199.65</v>
      </c>
      <c r="E380" s="78">
        <v>374721</v>
      </c>
      <c r="F380" s="78">
        <v>380164</v>
      </c>
      <c r="G380" s="78">
        <v>374121</v>
      </c>
      <c r="H380" s="78">
        <v>382536</v>
      </c>
      <c r="I380" s="78">
        <v>400765</v>
      </c>
      <c r="J380" s="78">
        <v>424383</v>
      </c>
      <c r="K380" s="78">
        <v>414711</v>
      </c>
      <c r="L380" s="78">
        <v>422348</v>
      </c>
      <c r="M380" s="78">
        <v>430939</v>
      </c>
      <c r="N380" s="78">
        <v>427261</v>
      </c>
      <c r="O380" s="78">
        <v>391015</v>
      </c>
      <c r="P380" s="78">
        <v>383189</v>
      </c>
      <c r="Q380" s="78">
        <f t="shared" si="5"/>
        <v>4806153</v>
      </c>
    </row>
    <row r="381" spans="1:17" x14ac:dyDescent="0.3">
      <c r="A381" s="177" t="s">
        <v>162</v>
      </c>
      <c r="B381" s="177" t="s">
        <v>2318</v>
      </c>
      <c r="C381" s="78" t="s">
        <v>2319</v>
      </c>
      <c r="D381" s="78">
        <v>344464.1</v>
      </c>
      <c r="E381" s="78">
        <v>76914.070000000007</v>
      </c>
      <c r="F381" s="78">
        <v>74506.78</v>
      </c>
      <c r="G381" s="78">
        <v>75390.600000000006</v>
      </c>
      <c r="H381" s="78">
        <v>78582.09</v>
      </c>
      <c r="I381" s="78">
        <v>83996.17</v>
      </c>
      <c r="J381" s="78">
        <v>91323.36</v>
      </c>
      <c r="K381" s="78">
        <v>94691.1</v>
      </c>
      <c r="L381" s="78">
        <v>94607.72</v>
      </c>
      <c r="M381" s="78">
        <v>95805.02</v>
      </c>
      <c r="N381" s="78">
        <v>90652.94</v>
      </c>
      <c r="O381" s="78">
        <v>81918.23</v>
      </c>
      <c r="P381" s="78">
        <v>77565.77</v>
      </c>
      <c r="Q381" s="78">
        <f t="shared" si="5"/>
        <v>1015953.8500000001</v>
      </c>
    </row>
    <row r="382" spans="1:17" x14ac:dyDescent="0.3">
      <c r="A382" s="177" t="s">
        <v>162</v>
      </c>
      <c r="B382" s="177" t="s">
        <v>2320</v>
      </c>
      <c r="C382" s="78" t="s">
        <v>2321</v>
      </c>
      <c r="D382" s="78">
        <v>597553.55000000005</v>
      </c>
      <c r="E382" s="78">
        <v>177595</v>
      </c>
      <c r="F382" s="78">
        <v>188062.29999969999</v>
      </c>
      <c r="G382" s="78">
        <v>161751.6</v>
      </c>
      <c r="H382" s="78">
        <v>121443.8</v>
      </c>
      <c r="I382" s="78">
        <v>143303.39999969999</v>
      </c>
      <c r="J382" s="78">
        <v>116796.6</v>
      </c>
      <c r="K382" s="78">
        <v>129162</v>
      </c>
      <c r="L382" s="78">
        <v>133076.6</v>
      </c>
      <c r="M382" s="78">
        <v>168100.8</v>
      </c>
      <c r="N382" s="78">
        <v>137746.0000003</v>
      </c>
      <c r="O382" s="78">
        <v>176115</v>
      </c>
      <c r="P382" s="78">
        <v>152361.9999996</v>
      </c>
      <c r="Q382" s="78">
        <f t="shared" si="5"/>
        <v>1805515.0999993002</v>
      </c>
    </row>
    <row r="383" spans="1:17" x14ac:dyDescent="0.3">
      <c r="A383" s="177" t="s">
        <v>162</v>
      </c>
      <c r="B383" s="177" t="s">
        <v>2322</v>
      </c>
      <c r="C383" s="78" t="s">
        <v>2323</v>
      </c>
      <c r="D383" s="78">
        <v>37665.440000000002</v>
      </c>
      <c r="E383" s="78">
        <v>0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8">
        <v>0</v>
      </c>
      <c r="L383" s="78">
        <v>0</v>
      </c>
      <c r="M383" s="78">
        <v>0</v>
      </c>
      <c r="N383" s="78">
        <v>0</v>
      </c>
      <c r="O383" s="78">
        <v>0</v>
      </c>
      <c r="P383" s="78">
        <v>0</v>
      </c>
      <c r="Q383" s="78">
        <f t="shared" si="5"/>
        <v>0</v>
      </c>
    </row>
    <row r="384" spans="1:17" x14ac:dyDescent="0.3">
      <c r="A384" s="177" t="s">
        <v>162</v>
      </c>
      <c r="B384" s="177" t="s">
        <v>2324</v>
      </c>
      <c r="C384" s="78" t="s">
        <v>2325</v>
      </c>
      <c r="D384" s="78">
        <v>166678.32</v>
      </c>
      <c r="E384" s="78">
        <v>4001</v>
      </c>
      <c r="F384" s="78">
        <v>4306</v>
      </c>
      <c r="G384" s="78">
        <v>3539</v>
      </c>
      <c r="H384" s="78">
        <v>2365</v>
      </c>
      <c r="I384" s="78">
        <v>3002</v>
      </c>
      <c r="J384" s="78">
        <v>2230</v>
      </c>
      <c r="K384" s="78">
        <v>2590</v>
      </c>
      <c r="L384" s="78">
        <v>2704</v>
      </c>
      <c r="M384" s="78">
        <v>3724</v>
      </c>
      <c r="N384" s="78">
        <v>2840</v>
      </c>
      <c r="O384" s="78">
        <v>3958</v>
      </c>
      <c r="P384" s="78">
        <v>3266</v>
      </c>
      <c r="Q384" s="78">
        <f t="shared" si="5"/>
        <v>38525</v>
      </c>
    </row>
    <row r="385" spans="1:17" x14ac:dyDescent="0.3">
      <c r="A385" s="177" t="s">
        <v>162</v>
      </c>
      <c r="B385" s="177" t="s">
        <v>2326</v>
      </c>
      <c r="C385" s="78" t="s">
        <v>2327</v>
      </c>
      <c r="D385" s="78">
        <v>33510</v>
      </c>
      <c r="E385" s="78">
        <v>35670</v>
      </c>
      <c r="F385" s="78">
        <v>34102</v>
      </c>
      <c r="G385" s="78">
        <v>40108</v>
      </c>
      <c r="H385" s="78">
        <v>35035</v>
      </c>
      <c r="I385" s="78">
        <v>44490</v>
      </c>
      <c r="J385" s="78">
        <v>53320</v>
      </c>
      <c r="K385" s="78">
        <v>48749</v>
      </c>
      <c r="L385" s="78">
        <v>46740</v>
      </c>
      <c r="M385" s="78">
        <v>56244</v>
      </c>
      <c r="N385" s="78">
        <v>56524</v>
      </c>
      <c r="O385" s="78">
        <v>56808</v>
      </c>
      <c r="P385" s="78">
        <v>57091</v>
      </c>
      <c r="Q385" s="78">
        <f t="shared" si="5"/>
        <v>564881</v>
      </c>
    </row>
    <row r="386" spans="1:17" x14ac:dyDescent="0.3">
      <c r="A386" s="177" t="s">
        <v>162</v>
      </c>
      <c r="B386" s="177" t="s">
        <v>2328</v>
      </c>
      <c r="C386" s="78" t="s">
        <v>2329</v>
      </c>
      <c r="D386" s="78">
        <v>6220</v>
      </c>
      <c r="E386" s="78">
        <v>4203.3541667</v>
      </c>
      <c r="F386" s="78">
        <v>4203.3541667</v>
      </c>
      <c r="G386" s="78">
        <v>4203.3541667</v>
      </c>
      <c r="H386" s="78">
        <v>4203.3541667</v>
      </c>
      <c r="I386" s="78">
        <v>4203.3541667</v>
      </c>
      <c r="J386" s="78">
        <v>4203.3541667</v>
      </c>
      <c r="K386" s="78">
        <v>4203.3541667</v>
      </c>
      <c r="L386" s="78">
        <v>4203.3541667</v>
      </c>
      <c r="M386" s="78">
        <v>4203.3541667</v>
      </c>
      <c r="N386" s="78">
        <v>4203.3541667</v>
      </c>
      <c r="O386" s="78">
        <v>4203.3541667</v>
      </c>
      <c r="P386" s="78">
        <v>4203.3541667</v>
      </c>
      <c r="Q386" s="78">
        <f t="shared" si="5"/>
        <v>50440.25000040001</v>
      </c>
    </row>
    <row r="387" spans="1:17" x14ac:dyDescent="0.3">
      <c r="A387" s="177" t="s">
        <v>162</v>
      </c>
      <c r="B387" s="177" t="s">
        <v>2330</v>
      </c>
      <c r="C387" s="78" t="s">
        <v>2331</v>
      </c>
      <c r="D387" s="78">
        <v>185</v>
      </c>
      <c r="E387" s="78">
        <v>0</v>
      </c>
      <c r="F387" s="78">
        <v>190</v>
      </c>
      <c r="G387" s="78">
        <v>948</v>
      </c>
      <c r="H387" s="78">
        <v>379</v>
      </c>
      <c r="I387" s="78">
        <v>379</v>
      </c>
      <c r="J387" s="78">
        <v>379</v>
      </c>
      <c r="K387" s="78">
        <v>948</v>
      </c>
      <c r="L387" s="78">
        <v>569</v>
      </c>
      <c r="M387" s="78">
        <v>569</v>
      </c>
      <c r="N387" s="78">
        <v>569</v>
      </c>
      <c r="O387" s="78">
        <v>569</v>
      </c>
      <c r="P387" s="78">
        <v>569</v>
      </c>
      <c r="Q387" s="78">
        <f t="shared" si="5"/>
        <v>6068</v>
      </c>
    </row>
    <row r="388" spans="1:17" x14ac:dyDescent="0.3">
      <c r="A388" s="177" t="s">
        <v>162</v>
      </c>
      <c r="B388" s="177" t="s">
        <v>2332</v>
      </c>
      <c r="C388" s="78" t="s">
        <v>2333</v>
      </c>
      <c r="D388" s="78">
        <v>90233.02</v>
      </c>
      <c r="E388" s="78">
        <v>99646</v>
      </c>
      <c r="F388" s="78">
        <v>102857</v>
      </c>
      <c r="G388" s="78">
        <v>125349</v>
      </c>
      <c r="H388" s="78">
        <v>101268</v>
      </c>
      <c r="I388" s="78">
        <v>121454</v>
      </c>
      <c r="J388" s="78">
        <v>130046</v>
      </c>
      <c r="K388" s="78">
        <v>117777</v>
      </c>
      <c r="L388" s="78">
        <v>127176</v>
      </c>
      <c r="M388" s="78">
        <v>127176</v>
      </c>
      <c r="N388" s="78">
        <v>127176</v>
      </c>
      <c r="O388" s="78">
        <v>127176</v>
      </c>
      <c r="P388" s="78">
        <v>127176</v>
      </c>
      <c r="Q388" s="78">
        <f t="shared" si="5"/>
        <v>1434277</v>
      </c>
    </row>
    <row r="389" spans="1:17" x14ac:dyDescent="0.3">
      <c r="A389" s="177" t="s">
        <v>162</v>
      </c>
      <c r="B389" s="177" t="s">
        <v>2334</v>
      </c>
      <c r="C389" s="78" t="s">
        <v>2335</v>
      </c>
      <c r="D389" s="78">
        <v>72958</v>
      </c>
      <c r="E389" s="78">
        <v>154513</v>
      </c>
      <c r="F389" s="78">
        <v>157834</v>
      </c>
      <c r="G389" s="78">
        <v>205336</v>
      </c>
      <c r="H389" s="78">
        <v>161450</v>
      </c>
      <c r="I389" s="78">
        <v>188042</v>
      </c>
      <c r="J389" s="78">
        <v>191831</v>
      </c>
      <c r="K389" s="78">
        <v>129064</v>
      </c>
      <c r="L389" s="78">
        <v>128125</v>
      </c>
      <c r="M389" s="78">
        <v>128125</v>
      </c>
      <c r="N389" s="78">
        <v>128125</v>
      </c>
      <c r="O389" s="78">
        <v>128125</v>
      </c>
      <c r="P389" s="78">
        <v>128125</v>
      </c>
      <c r="Q389" s="78">
        <f t="shared" si="5"/>
        <v>1828695</v>
      </c>
    </row>
    <row r="390" spans="1:17" x14ac:dyDescent="0.3">
      <c r="A390" s="177" t="s">
        <v>162</v>
      </c>
      <c r="B390" s="177" t="s">
        <v>2336</v>
      </c>
      <c r="C390" s="78" t="s">
        <v>2337</v>
      </c>
      <c r="D390" s="78">
        <v>1133122.03</v>
      </c>
      <c r="E390" s="78">
        <v>943258.91</v>
      </c>
      <c r="F390" s="78">
        <v>943258.91</v>
      </c>
      <c r="G390" s="78">
        <v>943258.91</v>
      </c>
      <c r="H390" s="78">
        <v>943258.91</v>
      </c>
      <c r="I390" s="78">
        <v>943258.91</v>
      </c>
      <c r="J390" s="78">
        <v>943258.91</v>
      </c>
      <c r="K390" s="78">
        <v>943258.91</v>
      </c>
      <c r="L390" s="78">
        <v>943258.91</v>
      </c>
      <c r="M390" s="78">
        <v>943258.91</v>
      </c>
      <c r="N390" s="78">
        <v>943258.91</v>
      </c>
      <c r="O390" s="78">
        <v>943258.91</v>
      </c>
      <c r="P390" s="78">
        <v>943258.91</v>
      </c>
      <c r="Q390" s="78">
        <f t="shared" si="5"/>
        <v>11319106.92</v>
      </c>
    </row>
    <row r="391" spans="1:17" x14ac:dyDescent="0.3">
      <c r="A391" s="177" t="s">
        <v>162</v>
      </c>
      <c r="B391" s="177" t="s">
        <v>2338</v>
      </c>
      <c r="C391" s="78" t="s">
        <v>2339</v>
      </c>
      <c r="D391" s="78">
        <v>129920</v>
      </c>
      <c r="E391" s="78">
        <v>153482.98749999999</v>
      </c>
      <c r="F391" s="78">
        <v>153482.98749999999</v>
      </c>
      <c r="G391" s="78">
        <v>153482.98749999999</v>
      </c>
      <c r="H391" s="78">
        <v>153482.98749999999</v>
      </c>
      <c r="I391" s="78">
        <v>153482.98749999999</v>
      </c>
      <c r="J391" s="78">
        <v>153482.98749999999</v>
      </c>
      <c r="K391" s="78">
        <v>153482.98749999999</v>
      </c>
      <c r="L391" s="78">
        <v>153482.98749999999</v>
      </c>
      <c r="M391" s="78">
        <v>153482.98749999999</v>
      </c>
      <c r="N391" s="78">
        <v>153482.98749999999</v>
      </c>
      <c r="O391" s="78">
        <v>153482.98749999999</v>
      </c>
      <c r="P391" s="78">
        <v>153482.98749999999</v>
      </c>
      <c r="Q391" s="78">
        <f t="shared" si="5"/>
        <v>1841795.8500000003</v>
      </c>
    </row>
    <row r="392" spans="1:17" x14ac:dyDescent="0.3">
      <c r="A392" s="177" t="s">
        <v>162</v>
      </c>
      <c r="B392" s="177" t="s">
        <v>2340</v>
      </c>
      <c r="C392" s="78" t="s">
        <v>2341</v>
      </c>
      <c r="D392" s="78">
        <v>16320</v>
      </c>
      <c r="E392" s="78">
        <v>33159</v>
      </c>
      <c r="F392" s="78">
        <v>32800</v>
      </c>
      <c r="G392" s="78">
        <v>42312</v>
      </c>
      <c r="H392" s="78">
        <v>31160</v>
      </c>
      <c r="I392" s="78">
        <v>38048</v>
      </c>
      <c r="J392" s="78">
        <v>36736</v>
      </c>
      <c r="K392" s="78">
        <v>24928</v>
      </c>
      <c r="L392" s="78">
        <v>25625</v>
      </c>
      <c r="M392" s="78">
        <v>25625</v>
      </c>
      <c r="N392" s="78">
        <v>25625</v>
      </c>
      <c r="O392" s="78">
        <v>25625</v>
      </c>
      <c r="P392" s="78">
        <v>25625</v>
      </c>
      <c r="Q392" s="78">
        <f t="shared" si="5"/>
        <v>367268</v>
      </c>
    </row>
    <row r="393" spans="1:17" x14ac:dyDescent="0.3">
      <c r="A393" s="177" t="s">
        <v>162</v>
      </c>
      <c r="B393" s="177" t="s">
        <v>2342</v>
      </c>
      <c r="C393" s="78" t="s">
        <v>2343</v>
      </c>
      <c r="D393" s="78">
        <v>200</v>
      </c>
      <c r="E393" s="78">
        <v>906.3</v>
      </c>
      <c r="F393" s="78">
        <v>906.3</v>
      </c>
      <c r="G393" s="78">
        <v>906.3</v>
      </c>
      <c r="H393" s="78">
        <v>906.3</v>
      </c>
      <c r="I393" s="78">
        <v>906.3</v>
      </c>
      <c r="J393" s="78">
        <v>906.3</v>
      </c>
      <c r="K393" s="78">
        <v>906.3</v>
      </c>
      <c r="L393" s="78">
        <v>906.3</v>
      </c>
      <c r="M393" s="78">
        <v>906.3</v>
      </c>
      <c r="N393" s="78">
        <v>906.3</v>
      </c>
      <c r="O393" s="78">
        <v>906.3</v>
      </c>
      <c r="P393" s="78">
        <v>906.3</v>
      </c>
      <c r="Q393" s="78">
        <f t="shared" si="5"/>
        <v>10875.599999999999</v>
      </c>
    </row>
    <row r="394" spans="1:17" x14ac:dyDescent="0.3">
      <c r="A394" s="177" t="s">
        <v>162</v>
      </c>
      <c r="B394" s="177" t="s">
        <v>2344</v>
      </c>
      <c r="C394" s="78" t="s">
        <v>2345</v>
      </c>
      <c r="D394" s="78">
        <v>146412.9</v>
      </c>
      <c r="E394" s="78">
        <v>121534.91</v>
      </c>
      <c r="F394" s="78">
        <v>121534.91</v>
      </c>
      <c r="G394" s="78">
        <v>121534.91</v>
      </c>
      <c r="H394" s="78">
        <v>121534.91</v>
      </c>
      <c r="I394" s="78">
        <v>121534.91</v>
      </c>
      <c r="J394" s="78">
        <v>121534.91</v>
      </c>
      <c r="K394" s="78">
        <v>121534.91</v>
      </c>
      <c r="L394" s="78">
        <v>121534.91</v>
      </c>
      <c r="M394" s="78">
        <v>121534.91</v>
      </c>
      <c r="N394" s="78">
        <v>121534.91</v>
      </c>
      <c r="O394" s="78">
        <v>121534.91</v>
      </c>
      <c r="P394" s="78">
        <v>121534.91</v>
      </c>
      <c r="Q394" s="78">
        <f t="shared" si="5"/>
        <v>1458418.92</v>
      </c>
    </row>
    <row r="395" spans="1:17" x14ac:dyDescent="0.3">
      <c r="A395" s="177" t="s">
        <v>162</v>
      </c>
      <c r="B395" s="177" t="s">
        <v>2346</v>
      </c>
      <c r="C395" s="78" t="s">
        <v>2347</v>
      </c>
      <c r="D395" s="78">
        <v>2850</v>
      </c>
      <c r="E395" s="78">
        <v>7739</v>
      </c>
      <c r="F395" s="78">
        <v>5766</v>
      </c>
      <c r="G395" s="78">
        <v>5099</v>
      </c>
      <c r="H395" s="78">
        <v>1537</v>
      </c>
      <c r="I395" s="78">
        <v>1179</v>
      </c>
      <c r="J395" s="78">
        <v>3075</v>
      </c>
      <c r="K395" s="78">
        <v>2819</v>
      </c>
      <c r="L395" s="78">
        <v>2890</v>
      </c>
      <c r="M395" s="78">
        <v>2890</v>
      </c>
      <c r="N395" s="78">
        <v>2890</v>
      </c>
      <c r="O395" s="78">
        <v>2890</v>
      </c>
      <c r="P395" s="78">
        <v>2890</v>
      </c>
      <c r="Q395" s="78">
        <f t="shared" si="5"/>
        <v>41664</v>
      </c>
    </row>
    <row r="396" spans="1:17" x14ac:dyDescent="0.3">
      <c r="A396" s="177" t="s">
        <v>162</v>
      </c>
      <c r="B396" s="177" t="s">
        <v>2348</v>
      </c>
      <c r="C396" s="78" t="s">
        <v>2349</v>
      </c>
      <c r="D396" s="78">
        <v>-975.28</v>
      </c>
      <c r="E396" s="78">
        <v>0</v>
      </c>
      <c r="F396" s="78">
        <v>0</v>
      </c>
      <c r="G396" s="78">
        <v>0</v>
      </c>
      <c r="H396" s="78">
        <v>0</v>
      </c>
      <c r="I396" s="78">
        <v>0</v>
      </c>
      <c r="J396" s="78">
        <v>0</v>
      </c>
      <c r="K396" s="78">
        <v>0</v>
      </c>
      <c r="L396" s="78">
        <v>0</v>
      </c>
      <c r="M396" s="78">
        <v>0</v>
      </c>
      <c r="N396" s="78">
        <v>0</v>
      </c>
      <c r="O396" s="78">
        <v>0</v>
      </c>
      <c r="P396" s="78">
        <v>0</v>
      </c>
      <c r="Q396" s="78">
        <f t="shared" si="5"/>
        <v>0</v>
      </c>
    </row>
    <row r="397" spans="1:17" x14ac:dyDescent="0.3">
      <c r="A397" s="177" t="s">
        <v>162</v>
      </c>
      <c r="B397" s="177" t="s">
        <v>2350</v>
      </c>
      <c r="C397" s="78" t="s">
        <v>2351</v>
      </c>
      <c r="D397" s="78">
        <v>9008.02</v>
      </c>
      <c r="E397" s="78">
        <v>8508.5147500000003</v>
      </c>
      <c r="F397" s="78">
        <v>7316.31675</v>
      </c>
      <c r="G397" s="78">
        <v>8847.8512499999997</v>
      </c>
      <c r="H397" s="78">
        <v>8622.8534999999993</v>
      </c>
      <c r="I397" s="78">
        <v>8795.9247500000001</v>
      </c>
      <c r="J397" s="78">
        <v>8002.134</v>
      </c>
      <c r="K397" s="78">
        <v>8788.7189999999991</v>
      </c>
      <c r="L397" s="78">
        <v>8791.4249999999993</v>
      </c>
      <c r="M397" s="78">
        <v>8880.6</v>
      </c>
      <c r="N397" s="78">
        <v>8968.75</v>
      </c>
      <c r="O397" s="78">
        <v>9057.9249999999993</v>
      </c>
      <c r="P397" s="78">
        <v>9149.15</v>
      </c>
      <c r="Q397" s="78">
        <f t="shared" si="5"/>
        <v>103730.16399999999</v>
      </c>
    </row>
    <row r="398" spans="1:17" x14ac:dyDescent="0.3">
      <c r="A398" s="177" t="s">
        <v>162</v>
      </c>
      <c r="B398" s="177" t="s">
        <v>2352</v>
      </c>
      <c r="C398" s="78" t="s">
        <v>2353</v>
      </c>
      <c r="D398" s="78">
        <v>0</v>
      </c>
      <c r="E398" s="78">
        <v>27939</v>
      </c>
      <c r="F398" s="78">
        <v>440242</v>
      </c>
      <c r="G398" s="78">
        <v>20417</v>
      </c>
      <c r="H398" s="78">
        <v>33945</v>
      </c>
      <c r="I398" s="78">
        <v>248</v>
      </c>
      <c r="J398" s="78">
        <v>3636</v>
      </c>
      <c r="K398" s="78">
        <v>8456</v>
      </c>
      <c r="L398" s="78">
        <v>85863</v>
      </c>
      <c r="M398" s="78">
        <v>19148</v>
      </c>
      <c r="N398" s="78">
        <v>32749</v>
      </c>
      <c r="O398" s="78">
        <v>24511</v>
      </c>
      <c r="P398" s="78">
        <v>31119</v>
      </c>
      <c r="Q398" s="78">
        <f t="shared" si="5"/>
        <v>728273</v>
      </c>
    </row>
    <row r="399" spans="1:17" x14ac:dyDescent="0.3">
      <c r="A399" s="177" t="s">
        <v>162</v>
      </c>
      <c r="B399" s="177" t="s">
        <v>2354</v>
      </c>
      <c r="C399" s="78" t="s">
        <v>2355</v>
      </c>
      <c r="D399" s="78">
        <v>0</v>
      </c>
      <c r="E399" s="78">
        <v>4021</v>
      </c>
      <c r="F399" s="78">
        <v>369</v>
      </c>
      <c r="G399" s="78">
        <v>377</v>
      </c>
      <c r="H399" s="78">
        <v>6685</v>
      </c>
      <c r="I399" s="78">
        <v>2178</v>
      </c>
      <c r="J399" s="78">
        <v>0</v>
      </c>
      <c r="K399" s="78">
        <v>0</v>
      </c>
      <c r="L399" s="78">
        <v>4624</v>
      </c>
      <c r="M399" s="78">
        <v>2235</v>
      </c>
      <c r="N399" s="78">
        <v>6324</v>
      </c>
      <c r="O399" s="78">
        <v>543</v>
      </c>
      <c r="P399" s="78">
        <v>102</v>
      </c>
      <c r="Q399" s="78">
        <f t="shared" ref="Q399:Q462" si="6">SUM(E399:P399)</f>
        <v>27458</v>
      </c>
    </row>
    <row r="400" spans="1:17" x14ac:dyDescent="0.3">
      <c r="A400" s="177" t="s">
        <v>162</v>
      </c>
      <c r="B400" s="177" t="s">
        <v>2356</v>
      </c>
      <c r="C400" s="78" t="s">
        <v>2357</v>
      </c>
      <c r="D400" s="78">
        <v>9913.81</v>
      </c>
      <c r="E400" s="78">
        <v>9913.81</v>
      </c>
      <c r="F400" s="78">
        <v>9913.81</v>
      </c>
      <c r="G400" s="78">
        <v>9913.81</v>
      </c>
      <c r="H400" s="78">
        <v>9913.81</v>
      </c>
      <c r="I400" s="78">
        <v>9913.81</v>
      </c>
      <c r="J400" s="78">
        <v>9913.81</v>
      </c>
      <c r="K400" s="78">
        <v>9913.81</v>
      </c>
      <c r="L400" s="78">
        <v>9913.81</v>
      </c>
      <c r="M400" s="78">
        <v>9913.81</v>
      </c>
      <c r="N400" s="78">
        <v>9913.81</v>
      </c>
      <c r="O400" s="78">
        <v>9913.81</v>
      </c>
      <c r="P400" s="78">
        <v>9913.81</v>
      </c>
      <c r="Q400" s="78">
        <f t="shared" si="6"/>
        <v>118965.71999999999</v>
      </c>
    </row>
    <row r="401" spans="1:17" x14ac:dyDescent="0.3">
      <c r="A401" s="177" t="s">
        <v>162</v>
      </c>
      <c r="B401" s="177" t="s">
        <v>2358</v>
      </c>
      <c r="C401" s="78" t="s">
        <v>2359</v>
      </c>
      <c r="D401" s="78">
        <v>12839.22</v>
      </c>
      <c r="E401" s="78">
        <v>33184</v>
      </c>
      <c r="F401" s="78">
        <v>33184</v>
      </c>
      <c r="G401" s="78">
        <v>33184</v>
      </c>
      <c r="H401" s="78">
        <v>33184</v>
      </c>
      <c r="I401" s="78">
        <v>33184</v>
      </c>
      <c r="J401" s="78">
        <v>33184</v>
      </c>
      <c r="K401" s="78">
        <v>33184</v>
      </c>
      <c r="L401" s="78">
        <v>33184</v>
      </c>
      <c r="M401" s="78">
        <v>33184</v>
      </c>
      <c r="N401" s="78">
        <v>33184</v>
      </c>
      <c r="O401" s="78">
        <v>33184</v>
      </c>
      <c r="P401" s="78">
        <v>33184</v>
      </c>
      <c r="Q401" s="78">
        <f t="shared" si="6"/>
        <v>398208</v>
      </c>
    </row>
    <row r="402" spans="1:17" x14ac:dyDescent="0.3">
      <c r="A402" s="177" t="s">
        <v>162</v>
      </c>
      <c r="B402" s="177" t="s">
        <v>2360</v>
      </c>
      <c r="C402" s="78" t="s">
        <v>2361</v>
      </c>
      <c r="D402" s="78">
        <v>393868.77</v>
      </c>
      <c r="E402" s="78">
        <v>398377.16625000001</v>
      </c>
      <c r="F402" s="78">
        <v>398377.1765</v>
      </c>
      <c r="G402" s="78">
        <v>402926.31099999999</v>
      </c>
      <c r="H402" s="78">
        <v>402926.31099999999</v>
      </c>
      <c r="I402" s="78">
        <v>402926.30074999999</v>
      </c>
      <c r="J402" s="78">
        <v>402926.31099999999</v>
      </c>
      <c r="K402" s="78">
        <v>402912.49400000001</v>
      </c>
      <c r="L402" s="78">
        <v>402992.07500000001</v>
      </c>
      <c r="M402" s="78">
        <v>402992.07500000001</v>
      </c>
      <c r="N402" s="78">
        <v>402992.07500000001</v>
      </c>
      <c r="O402" s="78">
        <v>402992.07500000001</v>
      </c>
      <c r="P402" s="78">
        <v>402992.07500000001</v>
      </c>
      <c r="Q402" s="78">
        <f t="shared" si="6"/>
        <v>4826332.4455000004</v>
      </c>
    </row>
    <row r="403" spans="1:17" x14ac:dyDescent="0.3">
      <c r="A403" s="177" t="s">
        <v>162</v>
      </c>
      <c r="B403" s="177" t="s">
        <v>2362</v>
      </c>
      <c r="C403" s="78" t="s">
        <v>2363</v>
      </c>
      <c r="D403" s="78">
        <v>1464.47</v>
      </c>
      <c r="E403" s="78">
        <v>57739.139166699999</v>
      </c>
      <c r="F403" s="78">
        <v>57739.139166699999</v>
      </c>
      <c r="G403" s="78">
        <v>57739.139166699999</v>
      </c>
      <c r="H403" s="78">
        <v>57739.139166699999</v>
      </c>
      <c r="I403" s="78">
        <v>57739.139166699999</v>
      </c>
      <c r="J403" s="78">
        <v>57739.139166699999</v>
      </c>
      <c r="K403" s="78">
        <v>57739.139166699999</v>
      </c>
      <c r="L403" s="78">
        <v>57739.139166699999</v>
      </c>
      <c r="M403" s="78">
        <v>57739.139166699999</v>
      </c>
      <c r="N403" s="78">
        <v>57739.139166699999</v>
      </c>
      <c r="O403" s="78">
        <v>57739.139166699999</v>
      </c>
      <c r="P403" s="78">
        <v>57739.139166699999</v>
      </c>
      <c r="Q403" s="78">
        <f t="shared" si="6"/>
        <v>692869.67000039993</v>
      </c>
    </row>
    <row r="404" spans="1:17" x14ac:dyDescent="0.3">
      <c r="A404" s="177" t="s">
        <v>162</v>
      </c>
      <c r="B404" s="177" t="s">
        <v>2364</v>
      </c>
      <c r="C404" s="78" t="s">
        <v>2365</v>
      </c>
      <c r="D404" s="78">
        <v>150336.56</v>
      </c>
      <c r="E404" s="78">
        <v>475326.28387879999</v>
      </c>
      <c r="F404" s="78">
        <v>471816.36935950001</v>
      </c>
      <c r="G404" s="78">
        <v>471188.67020290002</v>
      </c>
      <c r="H404" s="78">
        <v>470721.6286316</v>
      </c>
      <c r="I404" s="78">
        <v>470826.50004710001</v>
      </c>
      <c r="J404" s="78">
        <v>471538.563517</v>
      </c>
      <c r="K404" s="78">
        <v>470431.93575210002</v>
      </c>
      <c r="L404" s="78">
        <v>467407.4423998</v>
      </c>
      <c r="M404" s="78">
        <v>466815.35742160003</v>
      </c>
      <c r="N404" s="78">
        <v>467926.06866759999</v>
      </c>
      <c r="O404" s="78">
        <v>466782.60341679998</v>
      </c>
      <c r="P404" s="78">
        <v>470569.48109199997</v>
      </c>
      <c r="Q404" s="78">
        <f t="shared" si="6"/>
        <v>5641350.9043867998</v>
      </c>
    </row>
    <row r="405" spans="1:17" x14ac:dyDescent="0.3">
      <c r="A405" s="177" t="s">
        <v>162</v>
      </c>
      <c r="B405" s="177" t="s">
        <v>2366</v>
      </c>
      <c r="C405" s="78" t="s">
        <v>2367</v>
      </c>
      <c r="D405" s="78">
        <v>222714.47</v>
      </c>
      <c r="E405" s="78">
        <v>226833.33333329999</v>
      </c>
      <c r="F405" s="78">
        <v>226833.33333329999</v>
      </c>
      <c r="G405" s="78">
        <v>226833.33333329999</v>
      </c>
      <c r="H405" s="78">
        <v>226833.33333329999</v>
      </c>
      <c r="I405" s="78">
        <v>226833.33333329999</v>
      </c>
      <c r="J405" s="78">
        <v>226833.33333329999</v>
      </c>
      <c r="K405" s="78">
        <v>226833.33333329999</v>
      </c>
      <c r="L405" s="78">
        <v>226833.33333329999</v>
      </c>
      <c r="M405" s="78">
        <v>226833.33333329999</v>
      </c>
      <c r="N405" s="78">
        <v>226833.33333329999</v>
      </c>
      <c r="O405" s="78">
        <v>226833.33333329999</v>
      </c>
      <c r="P405" s="78">
        <v>226833.33333329999</v>
      </c>
      <c r="Q405" s="78">
        <f t="shared" si="6"/>
        <v>2721999.9999996</v>
      </c>
    </row>
    <row r="406" spans="1:17" x14ac:dyDescent="0.3">
      <c r="A406" s="177" t="s">
        <v>162</v>
      </c>
      <c r="B406" s="177" t="s">
        <v>2368</v>
      </c>
      <c r="C406" s="78" t="s">
        <v>2369</v>
      </c>
      <c r="D406" s="78">
        <v>45742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8">
        <v>0</v>
      </c>
      <c r="L406" s="78">
        <v>0</v>
      </c>
      <c r="M406" s="78">
        <v>0</v>
      </c>
      <c r="N406" s="78">
        <v>0</v>
      </c>
      <c r="O406" s="78">
        <v>0</v>
      </c>
      <c r="P406" s="78">
        <v>0</v>
      </c>
      <c r="Q406" s="78">
        <f t="shared" si="6"/>
        <v>0</v>
      </c>
    </row>
    <row r="407" spans="1:17" x14ac:dyDescent="0.3">
      <c r="A407" s="177" t="s">
        <v>162</v>
      </c>
      <c r="B407" s="177" t="s">
        <v>2370</v>
      </c>
      <c r="C407" s="78" t="s">
        <v>2371</v>
      </c>
      <c r="D407" s="78">
        <v>302851.84000000003</v>
      </c>
      <c r="E407" s="78">
        <v>0</v>
      </c>
      <c r="F407" s="78">
        <v>0</v>
      </c>
      <c r="G407" s="78">
        <v>0</v>
      </c>
      <c r="H407" s="78">
        <v>0</v>
      </c>
      <c r="I407" s="78">
        <v>0</v>
      </c>
      <c r="J407" s="78">
        <v>0</v>
      </c>
      <c r="K407" s="78">
        <v>0</v>
      </c>
      <c r="L407" s="78">
        <v>0</v>
      </c>
      <c r="M407" s="78">
        <v>0</v>
      </c>
      <c r="N407" s="78">
        <v>0</v>
      </c>
      <c r="O407" s="78">
        <v>0</v>
      </c>
      <c r="P407" s="78">
        <v>0</v>
      </c>
      <c r="Q407" s="78">
        <f t="shared" si="6"/>
        <v>0</v>
      </c>
    </row>
    <row r="408" spans="1:17" x14ac:dyDescent="0.3">
      <c r="A408" s="177" t="s">
        <v>162</v>
      </c>
      <c r="B408" s="177" t="s">
        <v>2372</v>
      </c>
      <c r="C408" s="78" t="s">
        <v>2373</v>
      </c>
      <c r="D408" s="78">
        <v>0</v>
      </c>
      <c r="E408" s="78">
        <v>167000</v>
      </c>
      <c r="F408" s="78">
        <v>267000</v>
      </c>
      <c r="G408" s="78">
        <v>167000</v>
      </c>
      <c r="H408" s="78">
        <v>266000</v>
      </c>
      <c r="I408" s="78">
        <v>167000</v>
      </c>
      <c r="J408" s="78">
        <v>267000</v>
      </c>
      <c r="K408" s="78">
        <v>166000</v>
      </c>
      <c r="L408" s="78">
        <v>267000</v>
      </c>
      <c r="M408" s="78">
        <v>166000</v>
      </c>
      <c r="N408" s="78">
        <v>267000</v>
      </c>
      <c r="O408" s="78">
        <v>167000</v>
      </c>
      <c r="P408" s="78">
        <v>266000</v>
      </c>
      <c r="Q408" s="78">
        <f t="shared" si="6"/>
        <v>2600000</v>
      </c>
    </row>
    <row r="409" spans="1:17" x14ac:dyDescent="0.3">
      <c r="A409" s="177" t="s">
        <v>162</v>
      </c>
      <c r="B409" s="177" t="s">
        <v>2374</v>
      </c>
      <c r="C409" s="78" t="s">
        <v>2375</v>
      </c>
      <c r="D409" s="78">
        <v>7398.84</v>
      </c>
      <c r="E409" s="78">
        <v>8000</v>
      </c>
      <c r="F409" s="78">
        <v>8000</v>
      </c>
      <c r="G409" s="78">
        <v>8000</v>
      </c>
      <c r="H409" s="78">
        <v>8000</v>
      </c>
      <c r="I409" s="78">
        <v>8000</v>
      </c>
      <c r="J409" s="78">
        <v>9000</v>
      </c>
      <c r="K409" s="78">
        <v>10000</v>
      </c>
      <c r="L409" s="78">
        <v>11000</v>
      </c>
      <c r="M409" s="78">
        <v>11000</v>
      </c>
      <c r="N409" s="78">
        <v>10000</v>
      </c>
      <c r="O409" s="78">
        <v>8000</v>
      </c>
      <c r="P409" s="78">
        <v>8000</v>
      </c>
      <c r="Q409" s="78">
        <f t="shared" si="6"/>
        <v>107000</v>
      </c>
    </row>
    <row r="410" spans="1:17" x14ac:dyDescent="0.3">
      <c r="A410" s="177" t="s">
        <v>162</v>
      </c>
      <c r="B410" s="177" t="s">
        <v>2376</v>
      </c>
      <c r="C410" s="78" t="s">
        <v>2377</v>
      </c>
      <c r="D410" s="78">
        <v>10164.23</v>
      </c>
      <c r="E410" s="78">
        <v>10100</v>
      </c>
      <c r="F410" s="78">
        <v>10100</v>
      </c>
      <c r="G410" s="78">
        <v>10100</v>
      </c>
      <c r="H410" s="78">
        <v>10100</v>
      </c>
      <c r="I410" s="78">
        <v>10100</v>
      </c>
      <c r="J410" s="78">
        <v>10100</v>
      </c>
      <c r="K410" s="78">
        <v>10100</v>
      </c>
      <c r="L410" s="78">
        <v>10100</v>
      </c>
      <c r="M410" s="78">
        <v>10100</v>
      </c>
      <c r="N410" s="78">
        <v>10100</v>
      </c>
      <c r="O410" s="78">
        <v>10100</v>
      </c>
      <c r="P410" s="78">
        <v>10100</v>
      </c>
      <c r="Q410" s="78">
        <f t="shared" si="6"/>
        <v>121200</v>
      </c>
    </row>
    <row r="411" spans="1:17" x14ac:dyDescent="0.3">
      <c r="A411" s="177" t="s">
        <v>162</v>
      </c>
      <c r="B411" s="177" t="s">
        <v>2378</v>
      </c>
      <c r="C411" s="78" t="s">
        <v>2379</v>
      </c>
      <c r="D411" s="78">
        <v>1378.08</v>
      </c>
      <c r="E411" s="78">
        <v>1685.4748861999999</v>
      </c>
      <c r="F411" s="78">
        <v>1400.1439657000001</v>
      </c>
      <c r="G411" s="78">
        <v>1394.3385529</v>
      </c>
      <c r="H411" s="78">
        <v>76486.400451299996</v>
      </c>
      <c r="I411" s="78">
        <v>1670.1983868</v>
      </c>
      <c r="J411" s="78">
        <v>1353.4910098</v>
      </c>
      <c r="K411" s="78">
        <v>11551.610468700001</v>
      </c>
      <c r="L411" s="78">
        <v>6480.5363907999999</v>
      </c>
      <c r="M411" s="78">
        <v>76442.304907099999</v>
      </c>
      <c r="N411" s="78">
        <v>1646.5444324</v>
      </c>
      <c r="O411" s="78">
        <v>1428.1843684999999</v>
      </c>
      <c r="P411" s="78">
        <v>1502.5124473999999</v>
      </c>
      <c r="Q411" s="78">
        <f t="shared" si="6"/>
        <v>183041.74026759996</v>
      </c>
    </row>
    <row r="412" spans="1:17" x14ac:dyDescent="0.3">
      <c r="A412" s="177" t="s">
        <v>162</v>
      </c>
      <c r="B412" s="177" t="s">
        <v>2380</v>
      </c>
      <c r="C412" s="78" t="s">
        <v>2381</v>
      </c>
      <c r="D412" s="78">
        <v>130049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8">
        <v>170000</v>
      </c>
      <c r="L412" s="78">
        <v>410000</v>
      </c>
      <c r="M412" s="78">
        <v>410000</v>
      </c>
      <c r="N412" s="78">
        <v>410000</v>
      </c>
      <c r="O412" s="78">
        <v>410000</v>
      </c>
      <c r="P412" s="78">
        <v>390000</v>
      </c>
      <c r="Q412" s="78">
        <f t="shared" si="6"/>
        <v>2200000</v>
      </c>
    </row>
    <row r="413" spans="1:17" x14ac:dyDescent="0.3">
      <c r="A413" s="177" t="s">
        <v>162</v>
      </c>
      <c r="B413" s="177" t="s">
        <v>2382</v>
      </c>
      <c r="C413" s="78" t="s">
        <v>2383</v>
      </c>
      <c r="D413" s="78">
        <v>0</v>
      </c>
      <c r="E413" s="78">
        <v>8333.34</v>
      </c>
      <c r="F413" s="78">
        <v>8333.34</v>
      </c>
      <c r="G413" s="78">
        <v>8333.34</v>
      </c>
      <c r="H413" s="78">
        <v>8333.34</v>
      </c>
      <c r="I413" s="78">
        <v>8333.33</v>
      </c>
      <c r="J413" s="78">
        <v>8333.33</v>
      </c>
      <c r="K413" s="78">
        <v>8333.33</v>
      </c>
      <c r="L413" s="78">
        <v>8333.33</v>
      </c>
      <c r="M413" s="78">
        <v>8333.33</v>
      </c>
      <c r="N413" s="78">
        <v>8333.33</v>
      </c>
      <c r="O413" s="78">
        <v>8333.33</v>
      </c>
      <c r="P413" s="78">
        <v>8333.33</v>
      </c>
      <c r="Q413" s="78">
        <f t="shared" si="6"/>
        <v>100000.00000000001</v>
      </c>
    </row>
    <row r="414" spans="1:17" x14ac:dyDescent="0.3">
      <c r="A414" s="177" t="s">
        <v>162</v>
      </c>
      <c r="B414" s="177" t="s">
        <v>2384</v>
      </c>
      <c r="C414" s="78" t="s">
        <v>2385</v>
      </c>
      <c r="D414" s="78">
        <v>501741.3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8">
        <v>0</v>
      </c>
      <c r="L414" s="78">
        <v>0</v>
      </c>
      <c r="M414" s="78">
        <v>0</v>
      </c>
      <c r="N414" s="78">
        <v>0</v>
      </c>
      <c r="O414" s="78">
        <v>0</v>
      </c>
      <c r="P414" s="78">
        <v>0</v>
      </c>
      <c r="Q414" s="78">
        <f t="shared" si="6"/>
        <v>0</v>
      </c>
    </row>
    <row r="415" spans="1:17" x14ac:dyDescent="0.3">
      <c r="A415" s="177" t="s">
        <v>162</v>
      </c>
      <c r="B415" s="177" t="s">
        <v>2386</v>
      </c>
      <c r="C415" s="78" t="s">
        <v>2387</v>
      </c>
      <c r="D415" s="78">
        <v>168042.89</v>
      </c>
      <c r="E415" s="78">
        <v>697996.55769229995</v>
      </c>
      <c r="F415" s="78">
        <v>697996.55769229995</v>
      </c>
      <c r="G415" s="78">
        <v>97996.56</v>
      </c>
      <c r="H415" s="78">
        <v>697996.55769229995</v>
      </c>
      <c r="I415" s="78">
        <v>697996.55769229995</v>
      </c>
      <c r="J415" s="78">
        <v>662429.25</v>
      </c>
      <c r="K415" s="78">
        <v>662429.25</v>
      </c>
      <c r="L415" s="78">
        <v>662429.25</v>
      </c>
      <c r="M415" s="78">
        <v>662429.25</v>
      </c>
      <c r="N415" s="78">
        <v>697996.55769229995</v>
      </c>
      <c r="O415" s="78">
        <v>697996.55769229995</v>
      </c>
      <c r="P415" s="78">
        <v>697996.55769229995</v>
      </c>
      <c r="Q415" s="78">
        <f t="shared" si="6"/>
        <v>7633689.4638460986</v>
      </c>
    </row>
    <row r="416" spans="1:17" x14ac:dyDescent="0.3">
      <c r="A416" s="177" t="s">
        <v>162</v>
      </c>
      <c r="B416" s="177" t="s">
        <v>2388</v>
      </c>
      <c r="C416" s="78" t="s">
        <v>2389</v>
      </c>
      <c r="D416" s="78">
        <v>17358.68</v>
      </c>
      <c r="E416" s="78">
        <v>17648.3901099</v>
      </c>
      <c r="F416" s="78">
        <v>17648.3901099</v>
      </c>
      <c r="G416" s="78">
        <v>17648.3901099</v>
      </c>
      <c r="H416" s="78">
        <v>17648.3901099</v>
      </c>
      <c r="I416" s="78">
        <v>17648.3901099</v>
      </c>
      <c r="J416" s="78">
        <v>17038.5</v>
      </c>
      <c r="K416" s="78">
        <v>17038.5</v>
      </c>
      <c r="L416" s="78">
        <v>17038.5</v>
      </c>
      <c r="M416" s="78">
        <v>17038.5</v>
      </c>
      <c r="N416" s="78">
        <v>17648.3901099</v>
      </c>
      <c r="O416" s="78">
        <v>17648.3901099</v>
      </c>
      <c r="P416" s="78">
        <v>17648.3901099</v>
      </c>
      <c r="Q416" s="78">
        <f t="shared" si="6"/>
        <v>209341.12087920003</v>
      </c>
    </row>
    <row r="417" spans="1:17" x14ac:dyDescent="0.3">
      <c r="A417" s="177" t="s">
        <v>162</v>
      </c>
      <c r="B417" s="177" t="s">
        <v>2390</v>
      </c>
      <c r="C417" s="78" t="s">
        <v>2391</v>
      </c>
      <c r="D417" s="78">
        <v>231.73</v>
      </c>
      <c r="E417" s="78">
        <v>0</v>
      </c>
      <c r="F417" s="78">
        <v>0</v>
      </c>
      <c r="G417" s="78">
        <v>0</v>
      </c>
      <c r="H417" s="78">
        <v>0</v>
      </c>
      <c r="I417" s="78">
        <v>0</v>
      </c>
      <c r="J417" s="78">
        <v>0</v>
      </c>
      <c r="K417" s="78">
        <v>0</v>
      </c>
      <c r="L417" s="78">
        <v>0</v>
      </c>
      <c r="M417" s="78">
        <v>0</v>
      </c>
      <c r="N417" s="78">
        <v>0</v>
      </c>
      <c r="O417" s="78">
        <v>0</v>
      </c>
      <c r="P417" s="78">
        <v>0</v>
      </c>
      <c r="Q417" s="78">
        <f t="shared" si="6"/>
        <v>0</v>
      </c>
    </row>
    <row r="418" spans="1:17" x14ac:dyDescent="0.3">
      <c r="A418" s="177" t="s">
        <v>162</v>
      </c>
      <c r="B418" s="177" t="s">
        <v>2392</v>
      </c>
      <c r="C418" s="78" t="s">
        <v>2393</v>
      </c>
      <c r="D418" s="78">
        <v>45556.46</v>
      </c>
      <c r="E418" s="78">
        <v>0</v>
      </c>
      <c r="F418" s="78">
        <v>0</v>
      </c>
      <c r="G418" s="78">
        <v>0</v>
      </c>
      <c r="H418" s="78">
        <v>0</v>
      </c>
      <c r="I418" s="78">
        <v>0</v>
      </c>
      <c r="J418" s="78">
        <v>0</v>
      </c>
      <c r="K418" s="78">
        <v>0</v>
      </c>
      <c r="L418" s="78">
        <v>0</v>
      </c>
      <c r="M418" s="78">
        <v>0</v>
      </c>
      <c r="N418" s="78">
        <v>0</v>
      </c>
      <c r="O418" s="78">
        <v>0</v>
      </c>
      <c r="P418" s="78">
        <v>0</v>
      </c>
      <c r="Q418" s="78">
        <f t="shared" si="6"/>
        <v>0</v>
      </c>
    </row>
    <row r="419" spans="1:17" x14ac:dyDescent="0.3">
      <c r="A419" s="177" t="s">
        <v>162</v>
      </c>
      <c r="B419" s="177" t="s">
        <v>2394</v>
      </c>
      <c r="C419" s="78" t="s">
        <v>2395</v>
      </c>
      <c r="D419" s="78">
        <v>1185.42</v>
      </c>
      <c r="E419" s="78">
        <v>0</v>
      </c>
      <c r="F419" s="78">
        <v>0</v>
      </c>
      <c r="G419" s="78">
        <v>0</v>
      </c>
      <c r="H419" s="78">
        <v>0</v>
      </c>
      <c r="I419" s="78">
        <v>0</v>
      </c>
      <c r="J419" s="78">
        <v>0</v>
      </c>
      <c r="K419" s="78">
        <v>0</v>
      </c>
      <c r="L419" s="78">
        <v>0</v>
      </c>
      <c r="M419" s="78">
        <v>0</v>
      </c>
      <c r="N419" s="78">
        <v>0</v>
      </c>
      <c r="O419" s="78">
        <v>0</v>
      </c>
      <c r="P419" s="78">
        <v>0</v>
      </c>
      <c r="Q419" s="78">
        <f t="shared" si="6"/>
        <v>0</v>
      </c>
    </row>
    <row r="420" spans="1:17" x14ac:dyDescent="0.3">
      <c r="A420" s="177" t="s">
        <v>162</v>
      </c>
      <c r="B420" s="177" t="s">
        <v>2396</v>
      </c>
      <c r="C420" s="78" t="s">
        <v>2397</v>
      </c>
      <c r="D420" s="78">
        <v>27010.89</v>
      </c>
      <c r="E420" s="78">
        <v>38542.506999999998</v>
      </c>
      <c r="F420" s="78">
        <v>28976.334999999999</v>
      </c>
      <c r="G420" s="78">
        <v>30265.414000000001</v>
      </c>
      <c r="H420" s="78">
        <v>25000</v>
      </c>
      <c r="I420" s="78">
        <v>33326.857000000004</v>
      </c>
      <c r="J420" s="78">
        <v>30571.653999999999</v>
      </c>
      <c r="K420" s="78">
        <v>26630.727999999999</v>
      </c>
      <c r="L420" s="78">
        <v>30545.814999999999</v>
      </c>
      <c r="M420" s="78">
        <v>28843.312000000002</v>
      </c>
      <c r="N420" s="78">
        <v>33238.813000000002</v>
      </c>
      <c r="O420" s="78">
        <v>60504.7</v>
      </c>
      <c r="P420" s="78">
        <v>120427.255</v>
      </c>
      <c r="Q420" s="78">
        <f t="shared" si="6"/>
        <v>486873.39000000007</v>
      </c>
    </row>
    <row r="421" spans="1:17" x14ac:dyDescent="0.3">
      <c r="A421" s="177" t="s">
        <v>162</v>
      </c>
      <c r="B421" s="177" t="s">
        <v>2398</v>
      </c>
      <c r="C421" s="78" t="s">
        <v>2399</v>
      </c>
      <c r="D421" s="78">
        <v>257352.14</v>
      </c>
      <c r="E421" s="78">
        <v>500</v>
      </c>
      <c r="F421" s="78">
        <v>0</v>
      </c>
      <c r="G421" s="78">
        <v>1250</v>
      </c>
      <c r="H421" s="78">
        <v>500</v>
      </c>
      <c r="I421" s="78">
        <v>0</v>
      </c>
      <c r="J421" s="78">
        <v>0</v>
      </c>
      <c r="K421" s="78">
        <v>1000</v>
      </c>
      <c r="L421" s="78">
        <v>750</v>
      </c>
      <c r="M421" s="78">
        <v>750</v>
      </c>
      <c r="N421" s="78">
        <v>750</v>
      </c>
      <c r="O421" s="78">
        <v>750</v>
      </c>
      <c r="P421" s="78">
        <v>750</v>
      </c>
      <c r="Q421" s="78">
        <f t="shared" si="6"/>
        <v>7000</v>
      </c>
    </row>
    <row r="422" spans="1:17" x14ac:dyDescent="0.3">
      <c r="A422" s="177" t="s">
        <v>162</v>
      </c>
      <c r="B422" s="177" t="s">
        <v>2400</v>
      </c>
      <c r="C422" s="78" t="s">
        <v>2401</v>
      </c>
      <c r="D422" s="78">
        <v>-2516313</v>
      </c>
      <c r="E422" s="78">
        <v>-2305890</v>
      </c>
      <c r="F422" s="78">
        <v>-5047357</v>
      </c>
      <c r="G422" s="78">
        <v>4670984</v>
      </c>
      <c r="H422" s="78">
        <v>4396310</v>
      </c>
      <c r="I422" s="78">
        <v>10309305</v>
      </c>
      <c r="J422" s="78">
        <v>3556585</v>
      </c>
      <c r="K422" s="78">
        <v>2441278</v>
      </c>
      <c r="L422" s="78">
        <v>4593783</v>
      </c>
      <c r="M422" s="78">
        <v>-8997628</v>
      </c>
      <c r="N422" s="78">
        <v>-4950171</v>
      </c>
      <c r="O422" s="78">
        <v>-9116241</v>
      </c>
      <c r="P422" s="78">
        <v>449043</v>
      </c>
      <c r="Q422" s="78">
        <f t="shared" si="6"/>
        <v>1</v>
      </c>
    </row>
    <row r="423" spans="1:17" x14ac:dyDescent="0.3">
      <c r="A423" s="177" t="s">
        <v>162</v>
      </c>
      <c r="B423" s="177" t="s">
        <v>2402</v>
      </c>
      <c r="C423" s="78" t="s">
        <v>2403</v>
      </c>
      <c r="D423" s="78">
        <v>10211947.23</v>
      </c>
      <c r="E423" s="78">
        <v>0</v>
      </c>
      <c r="F423" s="78">
        <v>0</v>
      </c>
      <c r="G423" s="78">
        <v>0</v>
      </c>
      <c r="H423" s="78">
        <v>0</v>
      </c>
      <c r="I423" s="78">
        <v>0</v>
      </c>
      <c r="J423" s="78">
        <v>0</v>
      </c>
      <c r="K423" s="78">
        <v>0</v>
      </c>
      <c r="L423" s="78">
        <v>0</v>
      </c>
      <c r="M423" s="78">
        <v>0</v>
      </c>
      <c r="N423" s="78">
        <v>0</v>
      </c>
      <c r="O423" s="78">
        <v>0</v>
      </c>
      <c r="P423" s="78">
        <v>0</v>
      </c>
      <c r="Q423" s="78">
        <f t="shared" si="6"/>
        <v>0</v>
      </c>
    </row>
    <row r="424" spans="1:17" x14ac:dyDescent="0.3">
      <c r="A424" s="177" t="s">
        <v>162</v>
      </c>
      <c r="B424" s="177" t="s">
        <v>2404</v>
      </c>
      <c r="C424" s="78" t="s">
        <v>2405</v>
      </c>
      <c r="D424" s="78">
        <v>500213.87</v>
      </c>
      <c r="E424" s="78">
        <v>0</v>
      </c>
      <c r="F424" s="78">
        <v>0</v>
      </c>
      <c r="G424" s="78">
        <v>0</v>
      </c>
      <c r="H424" s="78">
        <v>0</v>
      </c>
      <c r="I424" s="78">
        <v>0</v>
      </c>
      <c r="J424" s="78">
        <v>0</v>
      </c>
      <c r="K424" s="78">
        <v>0</v>
      </c>
      <c r="L424" s="78">
        <v>0</v>
      </c>
      <c r="M424" s="78">
        <v>0</v>
      </c>
      <c r="N424" s="78">
        <v>0</v>
      </c>
      <c r="O424" s="78">
        <v>0</v>
      </c>
      <c r="P424" s="78">
        <v>0</v>
      </c>
      <c r="Q424" s="78">
        <f t="shared" si="6"/>
        <v>0</v>
      </c>
    </row>
    <row r="425" spans="1:17" x14ac:dyDescent="0.3">
      <c r="A425" s="177" t="s">
        <v>162</v>
      </c>
      <c r="B425" s="177" t="s">
        <v>2406</v>
      </c>
      <c r="C425" s="78" t="s">
        <v>2407</v>
      </c>
      <c r="D425" s="78">
        <v>2146618.91</v>
      </c>
      <c r="E425" s="78">
        <v>0</v>
      </c>
      <c r="F425" s="78">
        <v>0</v>
      </c>
      <c r="G425" s="78">
        <v>0</v>
      </c>
      <c r="H425" s="78">
        <v>0</v>
      </c>
      <c r="I425" s="78">
        <v>0</v>
      </c>
      <c r="J425" s="78">
        <v>0</v>
      </c>
      <c r="K425" s="78">
        <v>0</v>
      </c>
      <c r="L425" s="78">
        <v>0</v>
      </c>
      <c r="M425" s="78">
        <v>0</v>
      </c>
      <c r="N425" s="78">
        <v>0</v>
      </c>
      <c r="O425" s="78">
        <v>0</v>
      </c>
      <c r="P425" s="78">
        <v>0</v>
      </c>
      <c r="Q425" s="78">
        <f t="shared" si="6"/>
        <v>0</v>
      </c>
    </row>
    <row r="426" spans="1:17" x14ac:dyDescent="0.3">
      <c r="A426" s="177" t="s">
        <v>162</v>
      </c>
      <c r="B426" s="177" t="s">
        <v>2408</v>
      </c>
      <c r="C426" s="78" t="s">
        <v>2409</v>
      </c>
      <c r="D426" s="78">
        <v>1242803.6399999999</v>
      </c>
      <c r="E426" s="78">
        <v>0</v>
      </c>
      <c r="F426" s="78">
        <v>0</v>
      </c>
      <c r="G426" s="78">
        <v>0</v>
      </c>
      <c r="H426" s="78">
        <v>0</v>
      </c>
      <c r="I426" s="78">
        <v>0</v>
      </c>
      <c r="J426" s="78">
        <v>0</v>
      </c>
      <c r="K426" s="78">
        <v>0</v>
      </c>
      <c r="L426" s="78">
        <v>0</v>
      </c>
      <c r="M426" s="78">
        <v>0</v>
      </c>
      <c r="N426" s="78">
        <v>0</v>
      </c>
      <c r="O426" s="78">
        <v>0</v>
      </c>
      <c r="P426" s="78">
        <v>0</v>
      </c>
      <c r="Q426" s="78">
        <f t="shared" si="6"/>
        <v>0</v>
      </c>
    </row>
    <row r="427" spans="1:17" x14ac:dyDescent="0.3">
      <c r="A427" s="177" t="s">
        <v>162</v>
      </c>
      <c r="B427" s="177" t="s">
        <v>2410</v>
      </c>
      <c r="C427" s="78" t="s">
        <v>2411</v>
      </c>
      <c r="D427" s="78">
        <v>188549.04</v>
      </c>
      <c r="E427" s="78">
        <v>0</v>
      </c>
      <c r="F427" s="78">
        <v>0</v>
      </c>
      <c r="G427" s="78">
        <v>0</v>
      </c>
      <c r="H427" s="78">
        <v>0</v>
      </c>
      <c r="I427" s="78">
        <v>0</v>
      </c>
      <c r="J427" s="78">
        <v>0</v>
      </c>
      <c r="K427" s="78">
        <v>0</v>
      </c>
      <c r="L427" s="78">
        <v>0</v>
      </c>
      <c r="M427" s="78">
        <v>0</v>
      </c>
      <c r="N427" s="78">
        <v>0</v>
      </c>
      <c r="O427" s="78">
        <v>0</v>
      </c>
      <c r="P427" s="78">
        <v>0</v>
      </c>
      <c r="Q427" s="78">
        <f t="shared" si="6"/>
        <v>0</v>
      </c>
    </row>
    <row r="428" spans="1:17" x14ac:dyDescent="0.3">
      <c r="A428" s="177" t="s">
        <v>162</v>
      </c>
      <c r="B428" s="177" t="s">
        <v>2412</v>
      </c>
      <c r="C428" s="78" t="s">
        <v>2413</v>
      </c>
      <c r="D428" s="78">
        <v>198768.5</v>
      </c>
      <c r="E428" s="78">
        <v>0</v>
      </c>
      <c r="F428" s="78">
        <v>0</v>
      </c>
      <c r="G428" s="78">
        <v>0</v>
      </c>
      <c r="H428" s="78">
        <v>0</v>
      </c>
      <c r="I428" s="78">
        <v>0</v>
      </c>
      <c r="J428" s="78">
        <v>0</v>
      </c>
      <c r="K428" s="78">
        <v>0</v>
      </c>
      <c r="L428" s="78">
        <v>0</v>
      </c>
      <c r="M428" s="78">
        <v>0</v>
      </c>
      <c r="N428" s="78">
        <v>0</v>
      </c>
      <c r="O428" s="78">
        <v>0</v>
      </c>
      <c r="P428" s="78">
        <v>0</v>
      </c>
      <c r="Q428" s="78">
        <f t="shared" si="6"/>
        <v>0</v>
      </c>
    </row>
    <row r="429" spans="1:17" x14ac:dyDescent="0.3">
      <c r="A429" s="177" t="s">
        <v>162</v>
      </c>
      <c r="B429" s="177" t="s">
        <v>2414</v>
      </c>
      <c r="C429" s="78" t="s">
        <v>2415</v>
      </c>
      <c r="D429" s="78">
        <v>4906100.29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f t="shared" si="6"/>
        <v>0</v>
      </c>
    </row>
    <row r="430" spans="1:17" x14ac:dyDescent="0.3">
      <c r="A430" s="177" t="s">
        <v>162</v>
      </c>
      <c r="B430" s="177" t="s">
        <v>2416</v>
      </c>
      <c r="C430" s="78" t="s">
        <v>2417</v>
      </c>
      <c r="D430" s="78">
        <v>1680333.75</v>
      </c>
      <c r="E430" s="78">
        <v>0</v>
      </c>
      <c r="F430" s="78">
        <v>0</v>
      </c>
      <c r="G430" s="78">
        <v>0</v>
      </c>
      <c r="H430" s="78">
        <v>0</v>
      </c>
      <c r="I430" s="78">
        <v>0</v>
      </c>
      <c r="J430" s="78">
        <v>0</v>
      </c>
      <c r="K430" s="78">
        <v>0</v>
      </c>
      <c r="L430" s="78">
        <v>0</v>
      </c>
      <c r="M430" s="78">
        <v>0</v>
      </c>
      <c r="N430" s="78">
        <v>0</v>
      </c>
      <c r="O430" s="78">
        <v>0</v>
      </c>
      <c r="P430" s="78">
        <v>0</v>
      </c>
      <c r="Q430" s="78">
        <f t="shared" si="6"/>
        <v>0</v>
      </c>
    </row>
    <row r="431" spans="1:17" x14ac:dyDescent="0.3">
      <c r="A431" s="177" t="s">
        <v>162</v>
      </c>
      <c r="B431" s="177" t="s">
        <v>2418</v>
      </c>
      <c r="C431" s="78" t="s">
        <v>2419</v>
      </c>
      <c r="D431" s="78">
        <v>828982.29</v>
      </c>
      <c r="E431" s="78">
        <v>0</v>
      </c>
      <c r="F431" s="78">
        <v>0</v>
      </c>
      <c r="G431" s="78">
        <v>0</v>
      </c>
      <c r="H431" s="78">
        <v>0</v>
      </c>
      <c r="I431" s="78">
        <v>0</v>
      </c>
      <c r="J431" s="78">
        <v>0</v>
      </c>
      <c r="K431" s="78">
        <v>0</v>
      </c>
      <c r="L431" s="78">
        <v>0</v>
      </c>
      <c r="M431" s="78">
        <v>0</v>
      </c>
      <c r="N431" s="78">
        <v>0</v>
      </c>
      <c r="O431" s="78">
        <v>0</v>
      </c>
      <c r="P431" s="78">
        <v>0</v>
      </c>
      <c r="Q431" s="78">
        <f t="shared" si="6"/>
        <v>0</v>
      </c>
    </row>
    <row r="432" spans="1:17" x14ac:dyDescent="0.3">
      <c r="A432" s="177" t="s">
        <v>162</v>
      </c>
      <c r="B432" s="177" t="s">
        <v>2420</v>
      </c>
      <c r="C432" s="78" t="s">
        <v>2421</v>
      </c>
      <c r="D432" s="78">
        <v>7208.21</v>
      </c>
      <c r="E432" s="78">
        <v>0</v>
      </c>
      <c r="F432" s="78">
        <v>0</v>
      </c>
      <c r="G432" s="78">
        <v>0</v>
      </c>
      <c r="H432" s="78">
        <v>0</v>
      </c>
      <c r="I432" s="78">
        <v>0</v>
      </c>
      <c r="J432" s="78">
        <v>0</v>
      </c>
      <c r="K432" s="78">
        <v>0</v>
      </c>
      <c r="L432" s="78">
        <v>0</v>
      </c>
      <c r="M432" s="78">
        <v>0</v>
      </c>
      <c r="N432" s="78">
        <v>0</v>
      </c>
      <c r="O432" s="78">
        <v>0</v>
      </c>
      <c r="P432" s="78">
        <v>0</v>
      </c>
      <c r="Q432" s="78">
        <f t="shared" si="6"/>
        <v>0</v>
      </c>
    </row>
    <row r="433" spans="1:17" x14ac:dyDescent="0.3">
      <c r="A433" s="177" t="s">
        <v>162</v>
      </c>
      <c r="B433" s="177" t="s">
        <v>2422</v>
      </c>
      <c r="C433" s="78" t="s">
        <v>2423</v>
      </c>
      <c r="D433" s="78">
        <v>32586.53</v>
      </c>
      <c r="E433" s="78">
        <v>0</v>
      </c>
      <c r="F433" s="78">
        <v>0</v>
      </c>
      <c r="G433" s="78">
        <v>0</v>
      </c>
      <c r="H433" s="78">
        <v>0</v>
      </c>
      <c r="I433" s="78">
        <v>0</v>
      </c>
      <c r="J433" s="78">
        <v>0</v>
      </c>
      <c r="K433" s="78">
        <v>0</v>
      </c>
      <c r="L433" s="78">
        <v>0</v>
      </c>
      <c r="M433" s="78">
        <v>0</v>
      </c>
      <c r="N433" s="78">
        <v>0</v>
      </c>
      <c r="O433" s="78">
        <v>0</v>
      </c>
      <c r="P433" s="78">
        <v>0</v>
      </c>
      <c r="Q433" s="78">
        <f t="shared" si="6"/>
        <v>0</v>
      </c>
    </row>
    <row r="434" spans="1:17" x14ac:dyDescent="0.3">
      <c r="A434" s="177" t="s">
        <v>162</v>
      </c>
      <c r="B434" s="177" t="s">
        <v>2424</v>
      </c>
      <c r="C434" s="78" t="s">
        <v>2425</v>
      </c>
      <c r="D434" s="78">
        <v>126339.49</v>
      </c>
      <c r="E434" s="78">
        <v>0</v>
      </c>
      <c r="F434" s="78">
        <v>0</v>
      </c>
      <c r="G434" s="78">
        <v>0</v>
      </c>
      <c r="H434" s="78">
        <v>0</v>
      </c>
      <c r="I434" s="78">
        <v>0</v>
      </c>
      <c r="J434" s="78">
        <v>0</v>
      </c>
      <c r="K434" s="78">
        <v>0</v>
      </c>
      <c r="L434" s="78">
        <v>0</v>
      </c>
      <c r="M434" s="78">
        <v>0</v>
      </c>
      <c r="N434" s="78">
        <v>0</v>
      </c>
      <c r="O434" s="78">
        <v>0</v>
      </c>
      <c r="P434" s="78">
        <v>0</v>
      </c>
      <c r="Q434" s="78">
        <f t="shared" si="6"/>
        <v>0</v>
      </c>
    </row>
    <row r="435" spans="1:17" x14ac:dyDescent="0.3">
      <c r="A435" s="177" t="s">
        <v>162</v>
      </c>
      <c r="B435" s="177" t="s">
        <v>2426</v>
      </c>
      <c r="C435" s="78" t="s">
        <v>2427</v>
      </c>
      <c r="D435" s="78">
        <v>-137514.71</v>
      </c>
      <c r="E435" s="78">
        <v>-526003.81128649996</v>
      </c>
      <c r="F435" s="78">
        <v>-526003.81128649996</v>
      </c>
      <c r="G435" s="78">
        <v>-526003.81128649996</v>
      </c>
      <c r="H435" s="78">
        <v>-517457.58773129998</v>
      </c>
      <c r="I435" s="78">
        <v>-517457.58773129998</v>
      </c>
      <c r="J435" s="78">
        <v>-517457.58773129998</v>
      </c>
      <c r="K435" s="78">
        <v>-513184.47595380002</v>
      </c>
      <c r="L435" s="78">
        <v>-513184.47595380002</v>
      </c>
      <c r="M435" s="78">
        <v>-513184.47595380002</v>
      </c>
      <c r="N435" s="78">
        <v>-508911.3641762</v>
      </c>
      <c r="O435" s="78">
        <v>-508911.3641762</v>
      </c>
      <c r="P435" s="78">
        <v>-487541.80528819998</v>
      </c>
      <c r="Q435" s="78">
        <f t="shared" si="6"/>
        <v>-6175302.1585553996</v>
      </c>
    </row>
    <row r="436" spans="1:17" x14ac:dyDescent="0.3">
      <c r="A436" s="177" t="s">
        <v>162</v>
      </c>
      <c r="B436" s="177" t="s">
        <v>2428</v>
      </c>
      <c r="C436" s="78" t="s">
        <v>2429</v>
      </c>
      <c r="D436" s="78">
        <v>-259468.73</v>
      </c>
      <c r="E436" s="78">
        <v>0</v>
      </c>
      <c r="F436" s="78">
        <v>0</v>
      </c>
      <c r="G436" s="78">
        <v>0</v>
      </c>
      <c r="H436" s="78">
        <v>0</v>
      </c>
      <c r="I436" s="78">
        <v>0</v>
      </c>
      <c r="J436" s="78">
        <v>0</v>
      </c>
      <c r="K436" s="78">
        <v>0</v>
      </c>
      <c r="L436" s="78">
        <v>0</v>
      </c>
      <c r="M436" s="78">
        <v>0</v>
      </c>
      <c r="N436" s="78">
        <v>0</v>
      </c>
      <c r="O436" s="78">
        <v>0</v>
      </c>
      <c r="P436" s="78">
        <v>0</v>
      </c>
      <c r="Q436" s="78">
        <f t="shared" si="6"/>
        <v>0</v>
      </c>
    </row>
    <row r="437" spans="1:17" x14ac:dyDescent="0.3">
      <c r="A437" s="177" t="s">
        <v>162</v>
      </c>
      <c r="B437" s="177" t="s">
        <v>2430</v>
      </c>
      <c r="C437" s="78" t="s">
        <v>2431</v>
      </c>
      <c r="D437" s="78">
        <v>-5713205.9800000004</v>
      </c>
      <c r="E437" s="78">
        <v>0</v>
      </c>
      <c r="F437" s="78">
        <v>0</v>
      </c>
      <c r="G437" s="78">
        <v>0</v>
      </c>
      <c r="H437" s="78">
        <v>0</v>
      </c>
      <c r="I437" s="78">
        <v>0</v>
      </c>
      <c r="J437" s="78">
        <v>0</v>
      </c>
      <c r="K437" s="78">
        <v>0</v>
      </c>
      <c r="L437" s="78">
        <v>0</v>
      </c>
      <c r="M437" s="78">
        <v>0</v>
      </c>
      <c r="N437" s="78">
        <v>0</v>
      </c>
      <c r="O437" s="78">
        <v>0</v>
      </c>
      <c r="P437" s="78">
        <v>0</v>
      </c>
      <c r="Q437" s="78">
        <f t="shared" si="6"/>
        <v>0</v>
      </c>
    </row>
    <row r="438" spans="1:17" x14ac:dyDescent="0.3">
      <c r="A438" s="177" t="s">
        <v>162</v>
      </c>
      <c r="B438" s="177" t="s">
        <v>2432</v>
      </c>
      <c r="C438" s="78" t="s">
        <v>2433</v>
      </c>
      <c r="D438" s="78">
        <v>-879764.37</v>
      </c>
      <c r="E438" s="78">
        <v>0</v>
      </c>
      <c r="F438" s="78">
        <v>0</v>
      </c>
      <c r="G438" s="78">
        <v>0</v>
      </c>
      <c r="H438" s="78">
        <v>0</v>
      </c>
      <c r="I438" s="78">
        <v>0</v>
      </c>
      <c r="J438" s="78">
        <v>0</v>
      </c>
      <c r="K438" s="78">
        <v>0</v>
      </c>
      <c r="L438" s="78">
        <v>0</v>
      </c>
      <c r="M438" s="78">
        <v>0</v>
      </c>
      <c r="N438" s="78">
        <v>0</v>
      </c>
      <c r="O438" s="78">
        <v>0</v>
      </c>
      <c r="P438" s="78">
        <v>0</v>
      </c>
      <c r="Q438" s="78">
        <f t="shared" si="6"/>
        <v>0</v>
      </c>
    </row>
    <row r="439" spans="1:17" x14ac:dyDescent="0.3">
      <c r="A439" s="177" t="s">
        <v>162</v>
      </c>
      <c r="B439" s="177" t="s">
        <v>2434</v>
      </c>
      <c r="C439" s="78" t="s">
        <v>2435</v>
      </c>
      <c r="D439" s="78">
        <v>24112.81</v>
      </c>
      <c r="E439" s="78">
        <v>0</v>
      </c>
      <c r="F439" s="78">
        <v>0</v>
      </c>
      <c r="G439" s="78">
        <v>0</v>
      </c>
      <c r="H439" s="78">
        <v>0</v>
      </c>
      <c r="I439" s="78">
        <v>0</v>
      </c>
      <c r="J439" s="78">
        <v>0</v>
      </c>
      <c r="K439" s="78">
        <v>0</v>
      </c>
      <c r="L439" s="78">
        <v>0</v>
      </c>
      <c r="M439" s="78">
        <v>0</v>
      </c>
      <c r="N439" s="78">
        <v>0</v>
      </c>
      <c r="O439" s="78">
        <v>0</v>
      </c>
      <c r="P439" s="78">
        <v>0</v>
      </c>
      <c r="Q439" s="78">
        <f t="shared" si="6"/>
        <v>0</v>
      </c>
    </row>
    <row r="440" spans="1:17" x14ac:dyDescent="0.3">
      <c r="A440" s="177" t="s">
        <v>162</v>
      </c>
      <c r="B440" s="177" t="s">
        <v>2436</v>
      </c>
      <c r="C440" s="78" t="s">
        <v>2437</v>
      </c>
      <c r="D440" s="78">
        <v>23985.66</v>
      </c>
      <c r="E440" s="78">
        <v>0</v>
      </c>
      <c r="F440" s="78">
        <v>0</v>
      </c>
      <c r="G440" s="78">
        <v>0</v>
      </c>
      <c r="H440" s="78">
        <v>0</v>
      </c>
      <c r="I440" s="78">
        <v>0</v>
      </c>
      <c r="J440" s="78">
        <v>0</v>
      </c>
      <c r="K440" s="78">
        <v>0</v>
      </c>
      <c r="L440" s="78">
        <v>0</v>
      </c>
      <c r="M440" s="78">
        <v>0</v>
      </c>
      <c r="N440" s="78">
        <v>0</v>
      </c>
      <c r="O440" s="78">
        <v>0</v>
      </c>
      <c r="P440" s="78">
        <v>0</v>
      </c>
      <c r="Q440" s="78">
        <f t="shared" si="6"/>
        <v>0</v>
      </c>
    </row>
    <row r="441" spans="1:17" x14ac:dyDescent="0.3">
      <c r="A441" s="177" t="s">
        <v>162</v>
      </c>
      <c r="B441" s="177" t="s">
        <v>2438</v>
      </c>
      <c r="C441" s="78" t="s">
        <v>2439</v>
      </c>
      <c r="D441" s="78">
        <v>40225.61</v>
      </c>
      <c r="E441" s="78">
        <v>0</v>
      </c>
      <c r="F441" s="78">
        <v>0</v>
      </c>
      <c r="G441" s="78">
        <v>0</v>
      </c>
      <c r="H441" s="78">
        <v>0</v>
      </c>
      <c r="I441" s="78">
        <v>0</v>
      </c>
      <c r="J441" s="78">
        <v>0</v>
      </c>
      <c r="K441" s="78">
        <v>0</v>
      </c>
      <c r="L441" s="78">
        <v>0</v>
      </c>
      <c r="M441" s="78">
        <v>0</v>
      </c>
      <c r="N441" s="78">
        <v>0</v>
      </c>
      <c r="O441" s="78">
        <v>0</v>
      </c>
      <c r="P441" s="78">
        <v>0</v>
      </c>
      <c r="Q441" s="78">
        <f t="shared" si="6"/>
        <v>0</v>
      </c>
    </row>
    <row r="442" spans="1:17" x14ac:dyDescent="0.3">
      <c r="A442" s="177" t="s">
        <v>162</v>
      </c>
      <c r="B442" s="177" t="s">
        <v>2440</v>
      </c>
      <c r="C442" s="78" t="s">
        <v>2441</v>
      </c>
      <c r="D442" s="78">
        <v>5838.3</v>
      </c>
      <c r="E442" s="78">
        <v>0</v>
      </c>
      <c r="F442" s="78">
        <v>0</v>
      </c>
      <c r="G442" s="78">
        <v>0</v>
      </c>
      <c r="H442" s="78">
        <v>0</v>
      </c>
      <c r="I442" s="78">
        <v>0</v>
      </c>
      <c r="J442" s="78">
        <v>0</v>
      </c>
      <c r="K442" s="78">
        <v>0</v>
      </c>
      <c r="L442" s="78">
        <v>0</v>
      </c>
      <c r="M442" s="78">
        <v>0</v>
      </c>
      <c r="N442" s="78">
        <v>0</v>
      </c>
      <c r="O442" s="78">
        <v>0</v>
      </c>
      <c r="P442" s="78">
        <v>0</v>
      </c>
      <c r="Q442" s="78">
        <f t="shared" si="6"/>
        <v>0</v>
      </c>
    </row>
    <row r="443" spans="1:17" x14ac:dyDescent="0.3">
      <c r="A443" s="177" t="s">
        <v>162</v>
      </c>
      <c r="B443" s="177" t="s">
        <v>2442</v>
      </c>
      <c r="C443" s="78" t="s">
        <v>2443</v>
      </c>
      <c r="D443" s="78">
        <v>240655.08</v>
      </c>
      <c r="E443" s="78">
        <v>0</v>
      </c>
      <c r="F443" s="78">
        <v>0</v>
      </c>
      <c r="G443" s="78">
        <v>0</v>
      </c>
      <c r="H443" s="78">
        <v>0</v>
      </c>
      <c r="I443" s="78">
        <v>0</v>
      </c>
      <c r="J443" s="78">
        <v>0</v>
      </c>
      <c r="K443" s="78">
        <v>0</v>
      </c>
      <c r="L443" s="78">
        <v>0</v>
      </c>
      <c r="M443" s="78">
        <v>0</v>
      </c>
      <c r="N443" s="78">
        <v>0</v>
      </c>
      <c r="O443" s="78">
        <v>0</v>
      </c>
      <c r="P443" s="78">
        <v>0</v>
      </c>
      <c r="Q443" s="78">
        <f t="shared" si="6"/>
        <v>0</v>
      </c>
    </row>
    <row r="444" spans="1:17" x14ac:dyDescent="0.3">
      <c r="A444" s="177" t="s">
        <v>162</v>
      </c>
      <c r="B444" s="177" t="s">
        <v>2444</v>
      </c>
      <c r="C444" s="78" t="s">
        <v>2445</v>
      </c>
      <c r="D444" s="78">
        <v>-400383.75</v>
      </c>
      <c r="E444" s="78">
        <v>0</v>
      </c>
      <c r="F444" s="78">
        <v>0</v>
      </c>
      <c r="G444" s="78">
        <v>0</v>
      </c>
      <c r="H444" s="78">
        <v>0</v>
      </c>
      <c r="I444" s="78">
        <v>0</v>
      </c>
      <c r="J444" s="78">
        <v>0</v>
      </c>
      <c r="K444" s="78">
        <v>0</v>
      </c>
      <c r="L444" s="78">
        <v>0</v>
      </c>
      <c r="M444" s="78">
        <v>0</v>
      </c>
      <c r="N444" s="78">
        <v>0</v>
      </c>
      <c r="O444" s="78">
        <v>0</v>
      </c>
      <c r="P444" s="78">
        <v>0</v>
      </c>
      <c r="Q444" s="78">
        <f t="shared" si="6"/>
        <v>0</v>
      </c>
    </row>
    <row r="445" spans="1:17" x14ac:dyDescent="0.3">
      <c r="A445" s="177" t="s">
        <v>162</v>
      </c>
      <c r="B445" s="177" t="s">
        <v>2446</v>
      </c>
      <c r="C445" s="78" t="s">
        <v>2447</v>
      </c>
      <c r="D445" s="78">
        <v>475431.5</v>
      </c>
      <c r="E445" s="78">
        <v>0</v>
      </c>
      <c r="F445" s="78">
        <v>0</v>
      </c>
      <c r="G445" s="78">
        <v>0</v>
      </c>
      <c r="H445" s="78">
        <v>0</v>
      </c>
      <c r="I445" s="78">
        <v>0</v>
      </c>
      <c r="J445" s="78">
        <v>0</v>
      </c>
      <c r="K445" s="78">
        <v>0</v>
      </c>
      <c r="L445" s="78">
        <v>0</v>
      </c>
      <c r="M445" s="78">
        <v>0</v>
      </c>
      <c r="N445" s="78">
        <v>0</v>
      </c>
      <c r="O445" s="78">
        <v>0</v>
      </c>
      <c r="P445" s="78">
        <v>0</v>
      </c>
      <c r="Q445" s="78">
        <f t="shared" si="6"/>
        <v>0</v>
      </c>
    </row>
    <row r="446" spans="1:17" x14ac:dyDescent="0.3">
      <c r="A446" s="177" t="s">
        <v>162</v>
      </c>
      <c r="B446" s="177" t="s">
        <v>2448</v>
      </c>
      <c r="C446" s="78" t="s">
        <v>2449</v>
      </c>
      <c r="D446" s="78">
        <v>456745.5</v>
      </c>
      <c r="E446" s="78">
        <v>0</v>
      </c>
      <c r="F446" s="78">
        <v>0</v>
      </c>
      <c r="G446" s="78">
        <v>0</v>
      </c>
      <c r="H446" s="78">
        <v>0</v>
      </c>
      <c r="I446" s="78">
        <v>0</v>
      </c>
      <c r="J446" s="78">
        <v>0</v>
      </c>
      <c r="K446" s="78">
        <v>0</v>
      </c>
      <c r="L446" s="78">
        <v>0</v>
      </c>
      <c r="M446" s="78">
        <v>0</v>
      </c>
      <c r="N446" s="78">
        <v>0</v>
      </c>
      <c r="O446" s="78">
        <v>0</v>
      </c>
      <c r="P446" s="78">
        <v>0</v>
      </c>
      <c r="Q446" s="78">
        <f t="shared" si="6"/>
        <v>0</v>
      </c>
    </row>
    <row r="447" spans="1:17" x14ac:dyDescent="0.3">
      <c r="A447" s="177" t="s">
        <v>162</v>
      </c>
      <c r="B447" s="177" t="s">
        <v>2450</v>
      </c>
      <c r="C447" s="78" t="s">
        <v>2451</v>
      </c>
      <c r="D447" s="78">
        <v>581050.69999999995</v>
      </c>
      <c r="E447" s="78">
        <v>0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f t="shared" si="6"/>
        <v>0</v>
      </c>
    </row>
    <row r="448" spans="1:17" x14ac:dyDescent="0.3">
      <c r="A448" s="177" t="s">
        <v>162</v>
      </c>
      <c r="B448" s="177" t="s">
        <v>2452</v>
      </c>
      <c r="C448" s="78" t="s">
        <v>2453</v>
      </c>
      <c r="D448" s="78">
        <v>14573.52</v>
      </c>
      <c r="E448" s="78">
        <v>0</v>
      </c>
      <c r="F448" s="78">
        <v>0</v>
      </c>
      <c r="G448" s="78">
        <v>0</v>
      </c>
      <c r="H448" s="78">
        <v>0</v>
      </c>
      <c r="I448" s="78">
        <v>0</v>
      </c>
      <c r="J448" s="78">
        <v>0</v>
      </c>
      <c r="K448" s="78">
        <v>0</v>
      </c>
      <c r="L448" s="78">
        <v>0</v>
      </c>
      <c r="M448" s="78">
        <v>0</v>
      </c>
      <c r="N448" s="78">
        <v>0</v>
      </c>
      <c r="O448" s="78">
        <v>0</v>
      </c>
      <c r="P448" s="78">
        <v>0</v>
      </c>
      <c r="Q448" s="78">
        <f t="shared" si="6"/>
        <v>0</v>
      </c>
    </row>
    <row r="449" spans="1:17" x14ac:dyDescent="0.3">
      <c r="A449" s="177" t="s">
        <v>162</v>
      </c>
      <c r="B449" s="177" t="s">
        <v>2454</v>
      </c>
      <c r="C449" s="78" t="s">
        <v>2455</v>
      </c>
      <c r="D449" s="78">
        <v>561346.30000000005</v>
      </c>
      <c r="E449" s="78">
        <v>0</v>
      </c>
      <c r="F449" s="78">
        <v>0</v>
      </c>
      <c r="G449" s="78">
        <v>0</v>
      </c>
      <c r="H449" s="78">
        <v>0</v>
      </c>
      <c r="I449" s="78">
        <v>0</v>
      </c>
      <c r="J449" s="78">
        <v>0</v>
      </c>
      <c r="K449" s="78">
        <v>0</v>
      </c>
      <c r="L449" s="78">
        <v>0</v>
      </c>
      <c r="M449" s="78">
        <v>0</v>
      </c>
      <c r="N449" s="78">
        <v>0</v>
      </c>
      <c r="O449" s="78">
        <v>0</v>
      </c>
      <c r="P449" s="78">
        <v>0</v>
      </c>
      <c r="Q449" s="78">
        <f t="shared" si="6"/>
        <v>0</v>
      </c>
    </row>
    <row r="450" spans="1:17" x14ac:dyDescent="0.3">
      <c r="A450" s="177" t="s">
        <v>162</v>
      </c>
      <c r="B450" s="177" t="s">
        <v>2456</v>
      </c>
      <c r="C450" s="78" t="s">
        <v>2457</v>
      </c>
      <c r="D450" s="78">
        <v>772601.48</v>
      </c>
      <c r="E450" s="78">
        <v>0</v>
      </c>
      <c r="F450" s="78">
        <v>0</v>
      </c>
      <c r="G450" s="78">
        <v>0</v>
      </c>
      <c r="H450" s="78">
        <v>0</v>
      </c>
      <c r="I450" s="78">
        <v>0</v>
      </c>
      <c r="J450" s="78">
        <v>0</v>
      </c>
      <c r="K450" s="78">
        <v>0</v>
      </c>
      <c r="L450" s="78">
        <v>0</v>
      </c>
      <c r="M450" s="78">
        <v>0</v>
      </c>
      <c r="N450" s="78">
        <v>0</v>
      </c>
      <c r="O450" s="78">
        <v>0</v>
      </c>
      <c r="P450" s="78">
        <v>0</v>
      </c>
      <c r="Q450" s="78">
        <f t="shared" si="6"/>
        <v>0</v>
      </c>
    </row>
    <row r="451" spans="1:17" x14ac:dyDescent="0.3">
      <c r="A451" s="177" t="s">
        <v>162</v>
      </c>
      <c r="B451" s="177" t="s">
        <v>2458</v>
      </c>
      <c r="C451" s="78" t="s">
        <v>2459</v>
      </c>
      <c r="D451" s="78">
        <v>-874.81</v>
      </c>
      <c r="E451" s="78">
        <v>0</v>
      </c>
      <c r="F451" s="78">
        <v>0</v>
      </c>
      <c r="G451" s="78">
        <v>0</v>
      </c>
      <c r="H451" s="78">
        <v>0</v>
      </c>
      <c r="I451" s="78">
        <v>0</v>
      </c>
      <c r="J451" s="78">
        <v>0</v>
      </c>
      <c r="K451" s="78">
        <v>0</v>
      </c>
      <c r="L451" s="78">
        <v>0</v>
      </c>
      <c r="M451" s="78">
        <v>0</v>
      </c>
      <c r="N451" s="78">
        <v>0</v>
      </c>
      <c r="O451" s="78">
        <v>0</v>
      </c>
      <c r="P451" s="78">
        <v>0</v>
      </c>
      <c r="Q451" s="78">
        <f t="shared" si="6"/>
        <v>0</v>
      </c>
    </row>
    <row r="452" spans="1:17" x14ac:dyDescent="0.3">
      <c r="A452" s="177" t="s">
        <v>162</v>
      </c>
      <c r="B452" s="177" t="s">
        <v>2460</v>
      </c>
      <c r="C452" s="78" t="s">
        <v>2461</v>
      </c>
      <c r="D452" s="78">
        <v>35897.51</v>
      </c>
      <c r="E452" s="78">
        <v>0</v>
      </c>
      <c r="F452" s="78">
        <v>0</v>
      </c>
      <c r="G452" s="78">
        <v>0</v>
      </c>
      <c r="H452" s="78">
        <v>0</v>
      </c>
      <c r="I452" s="78">
        <v>0</v>
      </c>
      <c r="J452" s="78">
        <v>0</v>
      </c>
      <c r="K452" s="78">
        <v>0</v>
      </c>
      <c r="L452" s="78">
        <v>0</v>
      </c>
      <c r="M452" s="78">
        <v>0</v>
      </c>
      <c r="N452" s="78">
        <v>0</v>
      </c>
      <c r="O452" s="78">
        <v>0</v>
      </c>
      <c r="P452" s="78">
        <v>0</v>
      </c>
      <c r="Q452" s="78">
        <f t="shared" si="6"/>
        <v>0</v>
      </c>
    </row>
    <row r="453" spans="1:17" x14ac:dyDescent="0.3">
      <c r="A453" s="177" t="s">
        <v>162</v>
      </c>
      <c r="B453" s="177" t="s">
        <v>2462</v>
      </c>
      <c r="C453" s="78" t="s">
        <v>2463</v>
      </c>
      <c r="D453" s="78">
        <v>996665</v>
      </c>
      <c r="E453" s="78">
        <v>0</v>
      </c>
      <c r="F453" s="78">
        <v>0</v>
      </c>
      <c r="G453" s="78">
        <v>0</v>
      </c>
      <c r="H453" s="78">
        <v>0</v>
      </c>
      <c r="I453" s="78">
        <v>0</v>
      </c>
      <c r="J453" s="78">
        <v>0</v>
      </c>
      <c r="K453" s="78">
        <v>0</v>
      </c>
      <c r="L453" s="78">
        <v>0</v>
      </c>
      <c r="M453" s="78">
        <v>0</v>
      </c>
      <c r="N453" s="78">
        <v>0</v>
      </c>
      <c r="O453" s="78">
        <v>0</v>
      </c>
      <c r="P453" s="78">
        <v>0</v>
      </c>
      <c r="Q453" s="78">
        <f t="shared" si="6"/>
        <v>0</v>
      </c>
    </row>
    <row r="454" spans="1:17" x14ac:dyDescent="0.3">
      <c r="A454" s="177" t="s">
        <v>162</v>
      </c>
      <c r="B454" s="177" t="s">
        <v>2464</v>
      </c>
      <c r="C454" s="78" t="s">
        <v>2465</v>
      </c>
      <c r="D454" s="78">
        <v>134480.95000000001</v>
      </c>
      <c r="E454" s="78">
        <v>0</v>
      </c>
      <c r="F454" s="78">
        <v>0</v>
      </c>
      <c r="G454" s="78">
        <v>0</v>
      </c>
      <c r="H454" s="78">
        <v>0</v>
      </c>
      <c r="I454" s="78">
        <v>0</v>
      </c>
      <c r="J454" s="78">
        <v>0</v>
      </c>
      <c r="K454" s="78">
        <v>0</v>
      </c>
      <c r="L454" s="78">
        <v>0</v>
      </c>
      <c r="M454" s="78">
        <v>0</v>
      </c>
      <c r="N454" s="78">
        <v>0</v>
      </c>
      <c r="O454" s="78">
        <v>0</v>
      </c>
      <c r="P454" s="78">
        <v>0</v>
      </c>
      <c r="Q454" s="78">
        <f t="shared" si="6"/>
        <v>0</v>
      </c>
    </row>
    <row r="455" spans="1:17" x14ac:dyDescent="0.3">
      <c r="A455" s="177" t="s">
        <v>162</v>
      </c>
      <c r="B455" s="177" t="s">
        <v>2466</v>
      </c>
      <c r="C455" s="78" t="s">
        <v>2467</v>
      </c>
      <c r="D455" s="78">
        <v>561727.67000000004</v>
      </c>
      <c r="E455" s="78">
        <v>0</v>
      </c>
      <c r="F455" s="78">
        <v>0</v>
      </c>
      <c r="G455" s="78">
        <v>0</v>
      </c>
      <c r="H455" s="78">
        <v>0</v>
      </c>
      <c r="I455" s="78">
        <v>0</v>
      </c>
      <c r="J455" s="78">
        <v>0</v>
      </c>
      <c r="K455" s="78">
        <v>0</v>
      </c>
      <c r="L455" s="78">
        <v>0</v>
      </c>
      <c r="M455" s="78">
        <v>0</v>
      </c>
      <c r="N455" s="78">
        <v>0</v>
      </c>
      <c r="O455" s="78">
        <v>0</v>
      </c>
      <c r="P455" s="78">
        <v>0</v>
      </c>
      <c r="Q455" s="78">
        <f t="shared" si="6"/>
        <v>0</v>
      </c>
    </row>
    <row r="456" spans="1:17" x14ac:dyDescent="0.3">
      <c r="A456" s="177" t="s">
        <v>162</v>
      </c>
      <c r="B456" s="177" t="s">
        <v>2468</v>
      </c>
      <c r="C456" s="78" t="s">
        <v>2469</v>
      </c>
      <c r="D456" s="78">
        <v>69908.5</v>
      </c>
      <c r="E456" s="78">
        <v>0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f t="shared" si="6"/>
        <v>0</v>
      </c>
    </row>
    <row r="457" spans="1:17" x14ac:dyDescent="0.3">
      <c r="A457" s="177" t="s">
        <v>162</v>
      </c>
      <c r="B457" s="177" t="s">
        <v>2470</v>
      </c>
      <c r="C457" s="78" t="s">
        <v>2471</v>
      </c>
      <c r="D457" s="78">
        <v>187403.96</v>
      </c>
      <c r="E457" s="78">
        <v>0</v>
      </c>
      <c r="F457" s="78">
        <v>0</v>
      </c>
      <c r="G457" s="78">
        <v>0</v>
      </c>
      <c r="H457" s="78">
        <v>0</v>
      </c>
      <c r="I457" s="78">
        <v>0</v>
      </c>
      <c r="J457" s="78">
        <v>0</v>
      </c>
      <c r="K457" s="78">
        <v>0</v>
      </c>
      <c r="L457" s="78">
        <v>0</v>
      </c>
      <c r="M457" s="78">
        <v>0</v>
      </c>
      <c r="N457" s="78">
        <v>0</v>
      </c>
      <c r="O457" s="78">
        <v>0</v>
      </c>
      <c r="P457" s="78">
        <v>0</v>
      </c>
      <c r="Q457" s="78">
        <f t="shared" si="6"/>
        <v>0</v>
      </c>
    </row>
    <row r="458" spans="1:17" x14ac:dyDescent="0.3">
      <c r="A458" s="177" t="s">
        <v>162</v>
      </c>
      <c r="B458" s="177" t="s">
        <v>2472</v>
      </c>
      <c r="C458" s="78" t="s">
        <v>2473</v>
      </c>
      <c r="D458" s="78">
        <v>790368.66</v>
      </c>
      <c r="E458" s="78">
        <v>0</v>
      </c>
      <c r="F458" s="78">
        <v>0</v>
      </c>
      <c r="G458" s="78">
        <v>0</v>
      </c>
      <c r="H458" s="78">
        <v>0</v>
      </c>
      <c r="I458" s="78">
        <v>0</v>
      </c>
      <c r="J458" s="78">
        <v>0</v>
      </c>
      <c r="K458" s="78">
        <v>0</v>
      </c>
      <c r="L458" s="78">
        <v>0</v>
      </c>
      <c r="M458" s="78">
        <v>0</v>
      </c>
      <c r="N458" s="78">
        <v>0</v>
      </c>
      <c r="O458" s="78">
        <v>0</v>
      </c>
      <c r="P458" s="78">
        <v>0</v>
      </c>
      <c r="Q458" s="78">
        <f t="shared" si="6"/>
        <v>0</v>
      </c>
    </row>
    <row r="459" spans="1:17" x14ac:dyDescent="0.3">
      <c r="A459" s="177" t="s">
        <v>162</v>
      </c>
      <c r="B459" s="177" t="s">
        <v>2474</v>
      </c>
      <c r="C459" s="78" t="s">
        <v>2475</v>
      </c>
      <c r="D459" s="78">
        <v>2250</v>
      </c>
      <c r="E459" s="78">
        <v>0</v>
      </c>
      <c r="F459" s="78">
        <v>0</v>
      </c>
      <c r="G459" s="78">
        <v>0</v>
      </c>
      <c r="H459" s="78">
        <v>0</v>
      </c>
      <c r="I459" s="78">
        <v>0</v>
      </c>
      <c r="J459" s="78">
        <v>0</v>
      </c>
      <c r="K459" s="78">
        <v>0</v>
      </c>
      <c r="L459" s="78">
        <v>0</v>
      </c>
      <c r="M459" s="78">
        <v>0</v>
      </c>
      <c r="N459" s="78">
        <v>0</v>
      </c>
      <c r="O459" s="78">
        <v>0</v>
      </c>
      <c r="P459" s="78">
        <v>0</v>
      </c>
      <c r="Q459" s="78">
        <f t="shared" si="6"/>
        <v>0</v>
      </c>
    </row>
    <row r="460" spans="1:17" x14ac:dyDescent="0.3">
      <c r="A460" s="177" t="s">
        <v>162</v>
      </c>
      <c r="B460" s="177" t="s">
        <v>2476</v>
      </c>
      <c r="C460" s="78" t="s">
        <v>2477</v>
      </c>
      <c r="D460" s="78">
        <v>-46255.85</v>
      </c>
      <c r="E460" s="78">
        <v>-75647.152081499997</v>
      </c>
      <c r="F460" s="78">
        <v>-80020.728791700007</v>
      </c>
      <c r="G460" s="78">
        <v>-80020.728791700007</v>
      </c>
      <c r="H460" s="78">
        <v>-80470.3054366</v>
      </c>
      <c r="I460" s="78">
        <v>-80919.882081500007</v>
      </c>
      <c r="J460" s="78">
        <v>-79571.151165300005</v>
      </c>
      <c r="K460" s="78">
        <v>-80919.882081500007</v>
      </c>
      <c r="L460" s="78">
        <v>-80470.3054366</v>
      </c>
      <c r="M460" s="78">
        <v>-80020.728791700007</v>
      </c>
      <c r="N460" s="78">
        <v>-80919.882081500007</v>
      </c>
      <c r="O460" s="78">
        <v>-80020.728791700007</v>
      </c>
      <c r="P460" s="78">
        <v>-80470.3054366</v>
      </c>
      <c r="Q460" s="78">
        <f t="shared" si="6"/>
        <v>-959471.78096789995</v>
      </c>
    </row>
    <row r="461" spans="1:17" x14ac:dyDescent="0.3">
      <c r="A461" s="177" t="s">
        <v>162</v>
      </c>
      <c r="B461" s="177" t="s">
        <v>2478</v>
      </c>
      <c r="C461" s="78" t="s">
        <v>2479</v>
      </c>
      <c r="D461" s="78">
        <v>-1951738.57</v>
      </c>
      <c r="E461" s="78">
        <v>0</v>
      </c>
      <c r="F461" s="78">
        <v>0</v>
      </c>
      <c r="G461" s="78">
        <v>0</v>
      </c>
      <c r="H461" s="78">
        <v>0</v>
      </c>
      <c r="I461" s="78">
        <v>0</v>
      </c>
      <c r="J461" s="78">
        <v>0</v>
      </c>
      <c r="K461" s="78">
        <v>0</v>
      </c>
      <c r="L461" s="78">
        <v>0</v>
      </c>
      <c r="M461" s="78">
        <v>0</v>
      </c>
      <c r="N461" s="78">
        <v>0</v>
      </c>
      <c r="O461" s="78">
        <v>0</v>
      </c>
      <c r="P461" s="78">
        <v>0</v>
      </c>
      <c r="Q461" s="78">
        <f t="shared" si="6"/>
        <v>0</v>
      </c>
    </row>
    <row r="462" spans="1:17" x14ac:dyDescent="0.3">
      <c r="A462" s="177" t="s">
        <v>162</v>
      </c>
      <c r="B462" s="177" t="s">
        <v>2480</v>
      </c>
      <c r="C462" s="78" t="s">
        <v>2481</v>
      </c>
      <c r="D462" s="78">
        <v>-385368.99</v>
      </c>
      <c r="E462" s="78">
        <v>0</v>
      </c>
      <c r="F462" s="78">
        <v>0</v>
      </c>
      <c r="G462" s="78">
        <v>0</v>
      </c>
      <c r="H462" s="78">
        <v>0</v>
      </c>
      <c r="I462" s="78">
        <v>0</v>
      </c>
      <c r="J462" s="78">
        <v>0</v>
      </c>
      <c r="K462" s="78">
        <v>0</v>
      </c>
      <c r="L462" s="78">
        <v>0</v>
      </c>
      <c r="M462" s="78">
        <v>0</v>
      </c>
      <c r="N462" s="78">
        <v>0</v>
      </c>
      <c r="O462" s="78">
        <v>0</v>
      </c>
      <c r="P462" s="78">
        <v>0</v>
      </c>
      <c r="Q462" s="78">
        <f t="shared" si="6"/>
        <v>0</v>
      </c>
    </row>
    <row r="463" spans="1:17" x14ac:dyDescent="0.3">
      <c r="A463" s="177" t="s">
        <v>162</v>
      </c>
      <c r="B463" s="177" t="s">
        <v>2482</v>
      </c>
      <c r="C463" s="78" t="s">
        <v>2483</v>
      </c>
      <c r="D463" s="78">
        <v>9714.83</v>
      </c>
      <c r="E463" s="78">
        <v>0</v>
      </c>
      <c r="F463" s="78">
        <v>0</v>
      </c>
      <c r="G463" s="78">
        <v>0</v>
      </c>
      <c r="H463" s="78">
        <v>0</v>
      </c>
      <c r="I463" s="78">
        <v>0</v>
      </c>
      <c r="J463" s="78">
        <v>0</v>
      </c>
      <c r="K463" s="78">
        <v>0</v>
      </c>
      <c r="L463" s="78">
        <v>0</v>
      </c>
      <c r="M463" s="78">
        <v>0</v>
      </c>
      <c r="N463" s="78">
        <v>0</v>
      </c>
      <c r="O463" s="78">
        <v>0</v>
      </c>
      <c r="P463" s="78">
        <v>0</v>
      </c>
      <c r="Q463" s="78">
        <f t="shared" ref="Q463:Q526" si="7">SUM(E463:P463)</f>
        <v>0</v>
      </c>
    </row>
    <row r="464" spans="1:17" x14ac:dyDescent="0.3">
      <c r="A464" s="177" t="s">
        <v>162</v>
      </c>
      <c r="B464" s="177" t="s">
        <v>2484</v>
      </c>
      <c r="C464" s="78" t="s">
        <v>2485</v>
      </c>
      <c r="D464" s="78">
        <v>293130.17</v>
      </c>
      <c r="E464" s="78">
        <v>483</v>
      </c>
      <c r="F464" s="78">
        <v>483</v>
      </c>
      <c r="G464" s="78">
        <v>484</v>
      </c>
      <c r="H464" s="78">
        <v>483</v>
      </c>
      <c r="I464" s="78">
        <v>483</v>
      </c>
      <c r="J464" s="78">
        <v>484</v>
      </c>
      <c r="K464" s="78">
        <v>483</v>
      </c>
      <c r="L464" s="78">
        <v>483</v>
      </c>
      <c r="M464" s="78">
        <v>484</v>
      </c>
      <c r="N464" s="78">
        <v>483</v>
      </c>
      <c r="O464" s="78">
        <v>483</v>
      </c>
      <c r="P464" s="78">
        <v>484</v>
      </c>
      <c r="Q464" s="78">
        <f t="shared" si="7"/>
        <v>5800</v>
      </c>
    </row>
    <row r="465" spans="1:17" x14ac:dyDescent="0.3">
      <c r="A465" s="177" t="s">
        <v>162</v>
      </c>
      <c r="B465" s="177" t="s">
        <v>2486</v>
      </c>
      <c r="C465" s="78" t="s">
        <v>2487</v>
      </c>
      <c r="D465" s="78">
        <v>45620.29</v>
      </c>
      <c r="E465" s="78">
        <v>517</v>
      </c>
      <c r="F465" s="78">
        <v>549</v>
      </c>
      <c r="G465" s="78">
        <v>491</v>
      </c>
      <c r="H465" s="78">
        <v>442</v>
      </c>
      <c r="I465" s="78">
        <v>901</v>
      </c>
      <c r="J465" s="78">
        <v>441</v>
      </c>
      <c r="K465" s="78">
        <v>442</v>
      </c>
      <c r="L465" s="78">
        <v>455</v>
      </c>
      <c r="M465" s="78">
        <v>499</v>
      </c>
      <c r="N465" s="78">
        <v>522</v>
      </c>
      <c r="O465" s="78">
        <v>458</v>
      </c>
      <c r="P465" s="78">
        <v>469</v>
      </c>
      <c r="Q465" s="78">
        <f t="shared" si="7"/>
        <v>6186</v>
      </c>
    </row>
    <row r="466" spans="1:17" x14ac:dyDescent="0.3">
      <c r="A466" s="177" t="s">
        <v>162</v>
      </c>
      <c r="B466" s="177" t="s">
        <v>2488</v>
      </c>
      <c r="C466" s="78" t="s">
        <v>2489</v>
      </c>
      <c r="D466" s="78">
        <v>44369.8</v>
      </c>
      <c r="E466" s="78">
        <v>0</v>
      </c>
      <c r="F466" s="78">
        <v>0</v>
      </c>
      <c r="G466" s="78">
        <v>0</v>
      </c>
      <c r="H466" s="78">
        <v>0</v>
      </c>
      <c r="I466" s="78">
        <v>0</v>
      </c>
      <c r="J466" s="78">
        <v>0</v>
      </c>
      <c r="K466" s="78">
        <v>0</v>
      </c>
      <c r="L466" s="78">
        <v>0</v>
      </c>
      <c r="M466" s="78">
        <v>0</v>
      </c>
      <c r="N466" s="78">
        <v>0</v>
      </c>
      <c r="O466" s="78">
        <v>0</v>
      </c>
      <c r="P466" s="78">
        <v>0</v>
      </c>
      <c r="Q466" s="78">
        <f t="shared" si="7"/>
        <v>0</v>
      </c>
    </row>
    <row r="467" spans="1:17" x14ac:dyDescent="0.3">
      <c r="A467" s="177" t="s">
        <v>162</v>
      </c>
      <c r="B467" s="177" t="s">
        <v>2490</v>
      </c>
      <c r="C467" s="78" t="s">
        <v>2491</v>
      </c>
      <c r="D467" s="78">
        <v>79659.63</v>
      </c>
      <c r="E467" s="78">
        <v>1375</v>
      </c>
      <c r="F467" s="78">
        <v>1375</v>
      </c>
      <c r="G467" s="78">
        <v>1375</v>
      </c>
      <c r="H467" s="78">
        <v>1375</v>
      </c>
      <c r="I467" s="78">
        <v>1375</v>
      </c>
      <c r="J467" s="78">
        <v>1375</v>
      </c>
      <c r="K467" s="78">
        <v>1375</v>
      </c>
      <c r="L467" s="78">
        <v>1375</v>
      </c>
      <c r="M467" s="78">
        <v>1375</v>
      </c>
      <c r="N467" s="78">
        <v>1375</v>
      </c>
      <c r="O467" s="78">
        <v>1375</v>
      </c>
      <c r="P467" s="78">
        <v>1375</v>
      </c>
      <c r="Q467" s="78">
        <f t="shared" si="7"/>
        <v>16500</v>
      </c>
    </row>
    <row r="468" spans="1:17" x14ac:dyDescent="0.3">
      <c r="A468" s="177" t="s">
        <v>162</v>
      </c>
      <c r="B468" s="177" t="s">
        <v>2492</v>
      </c>
      <c r="C468" s="78" t="s">
        <v>2493</v>
      </c>
      <c r="D468" s="78">
        <v>164034.41</v>
      </c>
      <c r="E468" s="78">
        <v>6365.25</v>
      </c>
      <c r="F468" s="78">
        <v>17523.84375</v>
      </c>
      <c r="G468" s="78">
        <v>15816.09375</v>
      </c>
      <c r="H468" s="78">
        <v>22527.421875</v>
      </c>
      <c r="I468" s="78">
        <v>13705.918750000001</v>
      </c>
      <c r="J468" s="78">
        <v>34198.125</v>
      </c>
      <c r="K468" s="78">
        <v>16520.109375</v>
      </c>
      <c r="L468" s="78">
        <v>8777.5562499999996</v>
      </c>
      <c r="M468" s="78">
        <v>10414.6875</v>
      </c>
      <c r="N468" s="78">
        <v>21880.546875</v>
      </c>
      <c r="O468" s="78">
        <v>9467.5562499999996</v>
      </c>
      <c r="P468" s="78">
        <v>23035.21875</v>
      </c>
      <c r="Q468" s="78">
        <f t="shared" si="7"/>
        <v>200232.328125</v>
      </c>
    </row>
    <row r="469" spans="1:17" x14ac:dyDescent="0.3">
      <c r="A469" s="177" t="s">
        <v>162</v>
      </c>
      <c r="B469" s="177" t="s">
        <v>2494</v>
      </c>
      <c r="C469" s="78" t="s">
        <v>2495</v>
      </c>
      <c r="D469" s="78">
        <v>71363.28</v>
      </c>
      <c r="E469" s="78">
        <v>717</v>
      </c>
      <c r="F469" s="78">
        <v>717</v>
      </c>
      <c r="G469" s="78">
        <v>717</v>
      </c>
      <c r="H469" s="78">
        <v>717</v>
      </c>
      <c r="I469" s="78">
        <v>717</v>
      </c>
      <c r="J469" s="78">
        <v>717</v>
      </c>
      <c r="K469" s="78">
        <v>717</v>
      </c>
      <c r="L469" s="78">
        <v>717</v>
      </c>
      <c r="M469" s="78">
        <v>717</v>
      </c>
      <c r="N469" s="78">
        <v>717</v>
      </c>
      <c r="O469" s="78">
        <v>717</v>
      </c>
      <c r="P469" s="78">
        <v>1417</v>
      </c>
      <c r="Q469" s="78">
        <f t="shared" si="7"/>
        <v>9304</v>
      </c>
    </row>
    <row r="470" spans="1:17" x14ac:dyDescent="0.3">
      <c r="A470" s="177" t="s">
        <v>162</v>
      </c>
      <c r="B470" s="177" t="s">
        <v>2496</v>
      </c>
      <c r="C470" s="78" t="s">
        <v>2497</v>
      </c>
      <c r="D470" s="78">
        <v>216930.8</v>
      </c>
      <c r="E470" s="78">
        <v>21154.685144800002</v>
      </c>
      <c r="F470" s="78">
        <v>19621.669918299998</v>
      </c>
      <c r="G470" s="78">
        <v>19621.669918299998</v>
      </c>
      <c r="H470" s="78">
        <v>20388.177531599998</v>
      </c>
      <c r="I470" s="78">
        <v>21154.685144800002</v>
      </c>
      <c r="J470" s="78">
        <v>19017.127847399999</v>
      </c>
      <c r="K470" s="78">
        <v>21340.947447300001</v>
      </c>
      <c r="L470" s="78">
        <v>20566.3414777</v>
      </c>
      <c r="M470" s="78">
        <v>26791.735508099999</v>
      </c>
      <c r="N470" s="78">
        <v>21340.947447300001</v>
      </c>
      <c r="O470" s="78">
        <v>19791.735508099999</v>
      </c>
      <c r="P470" s="78">
        <v>20566.3414777</v>
      </c>
      <c r="Q470" s="78">
        <f t="shared" si="7"/>
        <v>251356.06437139999</v>
      </c>
    </row>
    <row r="471" spans="1:17" x14ac:dyDescent="0.3">
      <c r="A471" s="177" t="s">
        <v>162</v>
      </c>
      <c r="B471" s="177" t="s">
        <v>2498</v>
      </c>
      <c r="C471" s="78" t="s">
        <v>2499</v>
      </c>
      <c r="D471" s="78">
        <v>1896.42</v>
      </c>
      <c r="E471" s="78">
        <v>0</v>
      </c>
      <c r="F471" s="78">
        <v>0</v>
      </c>
      <c r="G471" s="78">
        <v>0</v>
      </c>
      <c r="H471" s="78">
        <v>0</v>
      </c>
      <c r="I471" s="78">
        <v>0</v>
      </c>
      <c r="J471" s="78">
        <v>0</v>
      </c>
      <c r="K471" s="78">
        <v>0</v>
      </c>
      <c r="L471" s="78">
        <v>0</v>
      </c>
      <c r="M471" s="78">
        <v>0</v>
      </c>
      <c r="N471" s="78">
        <v>0</v>
      </c>
      <c r="O471" s="78">
        <v>0</v>
      </c>
      <c r="P471" s="78">
        <v>0</v>
      </c>
      <c r="Q471" s="78">
        <f t="shared" si="7"/>
        <v>0</v>
      </c>
    </row>
    <row r="472" spans="1:17" x14ac:dyDescent="0.3">
      <c r="A472" s="177" t="s">
        <v>162</v>
      </c>
      <c r="B472" s="177" t="s">
        <v>2500</v>
      </c>
      <c r="C472" s="78" t="s">
        <v>2501</v>
      </c>
      <c r="D472" s="78">
        <v>316646.51</v>
      </c>
      <c r="E472" s="78">
        <v>0</v>
      </c>
      <c r="F472" s="78">
        <v>0</v>
      </c>
      <c r="G472" s="78">
        <v>0</v>
      </c>
      <c r="H472" s="78">
        <v>0</v>
      </c>
      <c r="I472" s="78">
        <v>0</v>
      </c>
      <c r="J472" s="78">
        <v>0</v>
      </c>
      <c r="K472" s="78">
        <v>0</v>
      </c>
      <c r="L472" s="78">
        <v>0</v>
      </c>
      <c r="M472" s="78">
        <v>0</v>
      </c>
      <c r="N472" s="78">
        <v>0</v>
      </c>
      <c r="O472" s="78">
        <v>0</v>
      </c>
      <c r="P472" s="78">
        <v>0</v>
      </c>
      <c r="Q472" s="78">
        <f t="shared" si="7"/>
        <v>0</v>
      </c>
    </row>
    <row r="473" spans="1:17" x14ac:dyDescent="0.3">
      <c r="A473" s="177" t="s">
        <v>162</v>
      </c>
      <c r="B473" s="177" t="s">
        <v>2502</v>
      </c>
      <c r="C473" s="78" t="s">
        <v>2503</v>
      </c>
      <c r="D473" s="78">
        <v>232300.67</v>
      </c>
      <c r="E473" s="78">
        <v>0</v>
      </c>
      <c r="F473" s="78">
        <v>0</v>
      </c>
      <c r="G473" s="78">
        <v>0</v>
      </c>
      <c r="H473" s="78">
        <v>0</v>
      </c>
      <c r="I473" s="78">
        <v>0</v>
      </c>
      <c r="J473" s="78">
        <v>0</v>
      </c>
      <c r="K473" s="78">
        <v>0</v>
      </c>
      <c r="L473" s="78">
        <v>0</v>
      </c>
      <c r="M473" s="78">
        <v>0</v>
      </c>
      <c r="N473" s="78">
        <v>0</v>
      </c>
      <c r="O473" s="78">
        <v>0</v>
      </c>
      <c r="P473" s="78">
        <v>0</v>
      </c>
      <c r="Q473" s="78">
        <f t="shared" si="7"/>
        <v>0</v>
      </c>
    </row>
    <row r="474" spans="1:17" x14ac:dyDescent="0.3">
      <c r="A474" s="177" t="s">
        <v>162</v>
      </c>
      <c r="B474" s="177" t="s">
        <v>2504</v>
      </c>
      <c r="C474" s="78" t="s">
        <v>2505</v>
      </c>
      <c r="D474" s="78">
        <v>100000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f t="shared" si="7"/>
        <v>0</v>
      </c>
    </row>
    <row r="475" spans="1:17" x14ac:dyDescent="0.3">
      <c r="A475" s="177" t="s">
        <v>162</v>
      </c>
      <c r="B475" s="177" t="s">
        <v>2506</v>
      </c>
      <c r="C475" s="78" t="s">
        <v>2507</v>
      </c>
      <c r="D475" s="78">
        <v>3722137.61</v>
      </c>
      <c r="E475" s="78">
        <v>6599.33</v>
      </c>
      <c r="F475" s="78">
        <v>6599.33</v>
      </c>
      <c r="G475" s="78">
        <v>6599.33</v>
      </c>
      <c r="H475" s="78">
        <v>6599.33</v>
      </c>
      <c r="I475" s="78">
        <v>6599.33</v>
      </c>
      <c r="J475" s="78">
        <v>6599.33</v>
      </c>
      <c r="K475" s="78">
        <v>6599.33</v>
      </c>
      <c r="L475" s="78">
        <v>6599.33</v>
      </c>
      <c r="M475" s="78">
        <v>6599.33</v>
      </c>
      <c r="N475" s="78">
        <v>6599.33</v>
      </c>
      <c r="O475" s="78">
        <v>6599.33</v>
      </c>
      <c r="P475" s="78">
        <v>6599.33</v>
      </c>
      <c r="Q475" s="78">
        <f t="shared" si="7"/>
        <v>79191.960000000006</v>
      </c>
    </row>
    <row r="476" spans="1:17" x14ac:dyDescent="0.3">
      <c r="A476" s="177" t="s">
        <v>162</v>
      </c>
      <c r="B476" s="177" t="s">
        <v>2508</v>
      </c>
      <c r="C476" s="78" t="s">
        <v>2509</v>
      </c>
      <c r="D476" s="78">
        <v>206206.03</v>
      </c>
      <c r="E476" s="78">
        <v>0</v>
      </c>
      <c r="F476" s="78">
        <v>0</v>
      </c>
      <c r="G476" s="78">
        <v>0</v>
      </c>
      <c r="H476" s="78">
        <v>0</v>
      </c>
      <c r="I476" s="78">
        <v>0</v>
      </c>
      <c r="J476" s="78">
        <v>0</v>
      </c>
      <c r="K476" s="78">
        <v>0</v>
      </c>
      <c r="L476" s="78">
        <v>0</v>
      </c>
      <c r="M476" s="78">
        <v>0</v>
      </c>
      <c r="N476" s="78">
        <v>0</v>
      </c>
      <c r="O476" s="78">
        <v>0</v>
      </c>
      <c r="P476" s="78">
        <v>0</v>
      </c>
      <c r="Q476" s="78">
        <f t="shared" si="7"/>
        <v>0</v>
      </c>
    </row>
    <row r="477" spans="1:17" x14ac:dyDescent="0.3">
      <c r="A477" s="177" t="s">
        <v>162</v>
      </c>
      <c r="B477" s="177" t="s">
        <v>2510</v>
      </c>
      <c r="C477" s="78" t="s">
        <v>2511</v>
      </c>
      <c r="D477" s="78">
        <v>486740.84</v>
      </c>
      <c r="E477" s="78">
        <v>0</v>
      </c>
      <c r="F477" s="78">
        <v>0</v>
      </c>
      <c r="G477" s="78">
        <v>0</v>
      </c>
      <c r="H477" s="78">
        <v>0</v>
      </c>
      <c r="I477" s="78">
        <v>0</v>
      </c>
      <c r="J477" s="78">
        <v>0</v>
      </c>
      <c r="K477" s="78">
        <v>0</v>
      </c>
      <c r="L477" s="78">
        <v>0</v>
      </c>
      <c r="M477" s="78">
        <v>0</v>
      </c>
      <c r="N477" s="78">
        <v>0</v>
      </c>
      <c r="O477" s="78">
        <v>0</v>
      </c>
      <c r="P477" s="78">
        <v>0</v>
      </c>
      <c r="Q477" s="78">
        <f t="shared" si="7"/>
        <v>0</v>
      </c>
    </row>
    <row r="478" spans="1:17" x14ac:dyDescent="0.3">
      <c r="A478" s="177" t="s">
        <v>162</v>
      </c>
      <c r="B478" s="177" t="s">
        <v>2512</v>
      </c>
      <c r="C478" s="78" t="s">
        <v>2513</v>
      </c>
      <c r="D478" s="78">
        <v>548156.48</v>
      </c>
      <c r="E478" s="78">
        <v>0</v>
      </c>
      <c r="F478" s="78">
        <v>0</v>
      </c>
      <c r="G478" s="78">
        <v>0</v>
      </c>
      <c r="H478" s="78">
        <v>0</v>
      </c>
      <c r="I478" s="78">
        <v>0</v>
      </c>
      <c r="J478" s="78">
        <v>0</v>
      </c>
      <c r="K478" s="78">
        <v>0</v>
      </c>
      <c r="L478" s="78">
        <v>0</v>
      </c>
      <c r="M478" s="78">
        <v>0</v>
      </c>
      <c r="N478" s="78">
        <v>0</v>
      </c>
      <c r="O478" s="78">
        <v>0</v>
      </c>
      <c r="P478" s="78">
        <v>0</v>
      </c>
      <c r="Q478" s="78">
        <f t="shared" si="7"/>
        <v>0</v>
      </c>
    </row>
    <row r="479" spans="1:17" x14ac:dyDescent="0.3">
      <c r="A479" s="177" t="s">
        <v>162</v>
      </c>
      <c r="B479" s="177" t="s">
        <v>2514</v>
      </c>
      <c r="C479" s="78" t="s">
        <v>2515</v>
      </c>
      <c r="D479" s="78">
        <v>12221540.77</v>
      </c>
      <c r="E479" s="78">
        <v>0</v>
      </c>
      <c r="F479" s="78">
        <v>20000</v>
      </c>
      <c r="G479" s="78">
        <v>20000</v>
      </c>
      <c r="H479" s="78">
        <v>20000</v>
      </c>
      <c r="I479" s="78">
        <v>0</v>
      </c>
      <c r="J479" s="78">
        <v>0</v>
      </c>
      <c r="K479" s="78">
        <v>0</v>
      </c>
      <c r="L479" s="78">
        <v>20000</v>
      </c>
      <c r="M479" s="78">
        <v>20000</v>
      </c>
      <c r="N479" s="78">
        <v>20000</v>
      </c>
      <c r="O479" s="78">
        <v>0</v>
      </c>
      <c r="P479" s="78">
        <v>0</v>
      </c>
      <c r="Q479" s="78">
        <f t="shared" si="7"/>
        <v>120000</v>
      </c>
    </row>
    <row r="480" spans="1:17" x14ac:dyDescent="0.3">
      <c r="A480" s="177" t="s">
        <v>162</v>
      </c>
      <c r="B480" s="177" t="s">
        <v>2516</v>
      </c>
      <c r="C480" s="78" t="s">
        <v>2517</v>
      </c>
      <c r="D480" s="78">
        <v>112120.63</v>
      </c>
      <c r="E480" s="78">
        <v>0</v>
      </c>
      <c r="F480" s="78">
        <v>0</v>
      </c>
      <c r="G480" s="78">
        <v>0</v>
      </c>
      <c r="H480" s="78">
        <v>0</v>
      </c>
      <c r="I480" s="78">
        <v>0</v>
      </c>
      <c r="J480" s="78">
        <v>0</v>
      </c>
      <c r="K480" s="78">
        <v>0</v>
      </c>
      <c r="L480" s="78">
        <v>0</v>
      </c>
      <c r="M480" s="78">
        <v>0</v>
      </c>
      <c r="N480" s="78">
        <v>0</v>
      </c>
      <c r="O480" s="78">
        <v>0</v>
      </c>
      <c r="P480" s="78">
        <v>0</v>
      </c>
      <c r="Q480" s="78">
        <f t="shared" si="7"/>
        <v>0</v>
      </c>
    </row>
    <row r="481" spans="1:17" x14ac:dyDescent="0.3">
      <c r="A481" s="177" t="s">
        <v>162</v>
      </c>
      <c r="B481" s="177" t="s">
        <v>2518</v>
      </c>
      <c r="C481" s="78" t="s">
        <v>2519</v>
      </c>
      <c r="D481" s="78">
        <v>170317300.37</v>
      </c>
      <c r="E481" s="78">
        <v>404819.77777769999</v>
      </c>
      <c r="F481" s="78">
        <v>404819.77777769999</v>
      </c>
      <c r="G481" s="78">
        <v>464818.77777769999</v>
      </c>
      <c r="H481" s="78">
        <v>404819.77777769999</v>
      </c>
      <c r="I481" s="78">
        <v>404819.77777769999</v>
      </c>
      <c r="J481" s="78">
        <v>454818.77777769999</v>
      </c>
      <c r="K481" s="78">
        <v>404819.77777769999</v>
      </c>
      <c r="L481" s="78">
        <v>404819.77777769999</v>
      </c>
      <c r="M481" s="78">
        <v>466818.77777769999</v>
      </c>
      <c r="N481" s="78">
        <v>454819.77777769999</v>
      </c>
      <c r="O481" s="78">
        <v>404819.77777769999</v>
      </c>
      <c r="P481" s="78">
        <v>469818.77777769999</v>
      </c>
      <c r="Q481" s="78">
        <f t="shared" si="7"/>
        <v>5144833.3333323989</v>
      </c>
    </row>
    <row r="482" spans="1:17" x14ac:dyDescent="0.3">
      <c r="A482" s="177" t="s">
        <v>162</v>
      </c>
      <c r="B482" s="177" t="s">
        <v>2520</v>
      </c>
      <c r="C482" s="78" t="s">
        <v>2521</v>
      </c>
      <c r="D482" s="78">
        <v>7613.9</v>
      </c>
      <c r="E482" s="78">
        <v>0</v>
      </c>
      <c r="F482" s="78">
        <v>0</v>
      </c>
      <c r="G482" s="78">
        <v>0</v>
      </c>
      <c r="H482" s="78">
        <v>0</v>
      </c>
      <c r="I482" s="78">
        <v>0</v>
      </c>
      <c r="J482" s="78">
        <v>0</v>
      </c>
      <c r="K482" s="78">
        <v>0</v>
      </c>
      <c r="L482" s="78">
        <v>0</v>
      </c>
      <c r="M482" s="78">
        <v>0</v>
      </c>
      <c r="N482" s="78">
        <v>0</v>
      </c>
      <c r="O482" s="78">
        <v>0</v>
      </c>
      <c r="P482" s="78">
        <v>0</v>
      </c>
      <c r="Q482" s="78">
        <f t="shared" si="7"/>
        <v>0</v>
      </c>
    </row>
    <row r="483" spans="1:17" x14ac:dyDescent="0.3">
      <c r="A483" s="177" t="s">
        <v>162</v>
      </c>
      <c r="B483" s="177" t="s">
        <v>2522</v>
      </c>
      <c r="C483" s="78" t="s">
        <v>2523</v>
      </c>
      <c r="D483" s="78">
        <v>33524.019999999997</v>
      </c>
      <c r="E483" s="78">
        <v>0</v>
      </c>
      <c r="F483" s="78">
        <v>0</v>
      </c>
      <c r="G483" s="78">
        <v>0</v>
      </c>
      <c r="H483" s="78">
        <v>0</v>
      </c>
      <c r="I483" s="78">
        <v>0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f t="shared" si="7"/>
        <v>0</v>
      </c>
    </row>
    <row r="484" spans="1:17" x14ac:dyDescent="0.3">
      <c r="A484" s="177" t="s">
        <v>162</v>
      </c>
      <c r="B484" s="177" t="s">
        <v>2524</v>
      </c>
      <c r="C484" s="78" t="s">
        <v>2525</v>
      </c>
      <c r="D484" s="78">
        <v>3339231.54</v>
      </c>
      <c r="E484" s="78">
        <v>0</v>
      </c>
      <c r="F484" s="78">
        <v>0</v>
      </c>
      <c r="G484" s="78">
        <v>0</v>
      </c>
      <c r="H484" s="78">
        <v>0</v>
      </c>
      <c r="I484" s="78">
        <v>0</v>
      </c>
      <c r="J484" s="78">
        <v>0</v>
      </c>
      <c r="K484" s="78">
        <v>0</v>
      </c>
      <c r="L484" s="78">
        <v>0</v>
      </c>
      <c r="M484" s="78">
        <v>0</v>
      </c>
      <c r="N484" s="78">
        <v>0</v>
      </c>
      <c r="O484" s="78">
        <v>0</v>
      </c>
      <c r="P484" s="78">
        <v>0</v>
      </c>
      <c r="Q484" s="78">
        <f t="shared" si="7"/>
        <v>0</v>
      </c>
    </row>
    <row r="485" spans="1:17" x14ac:dyDescent="0.3">
      <c r="A485" s="177" t="s">
        <v>162</v>
      </c>
      <c r="B485" s="177" t="s">
        <v>2526</v>
      </c>
      <c r="C485" s="78" t="s">
        <v>2527</v>
      </c>
      <c r="D485" s="78">
        <v>38.380000000000003</v>
      </c>
      <c r="E485" s="78">
        <v>0</v>
      </c>
      <c r="F485" s="78">
        <v>0</v>
      </c>
      <c r="G485" s="78">
        <v>0</v>
      </c>
      <c r="H485" s="78">
        <v>0</v>
      </c>
      <c r="I485" s="78">
        <v>0</v>
      </c>
      <c r="J485" s="78">
        <v>0</v>
      </c>
      <c r="K485" s="78">
        <v>0</v>
      </c>
      <c r="L485" s="78">
        <v>0</v>
      </c>
      <c r="M485" s="78">
        <v>0</v>
      </c>
      <c r="N485" s="78">
        <v>0</v>
      </c>
      <c r="O485" s="78">
        <v>0</v>
      </c>
      <c r="P485" s="78">
        <v>0</v>
      </c>
      <c r="Q485" s="78">
        <f t="shared" si="7"/>
        <v>0</v>
      </c>
    </row>
    <row r="486" spans="1:17" x14ac:dyDescent="0.3">
      <c r="A486" s="177" t="s">
        <v>162</v>
      </c>
      <c r="B486" s="177" t="s">
        <v>2528</v>
      </c>
      <c r="C486" s="78" t="s">
        <v>2529</v>
      </c>
      <c r="D486" s="78">
        <v>1893909.58</v>
      </c>
      <c r="E486" s="78">
        <v>0</v>
      </c>
      <c r="F486" s="78">
        <v>0</v>
      </c>
      <c r="G486" s="78">
        <v>0</v>
      </c>
      <c r="H486" s="78">
        <v>0</v>
      </c>
      <c r="I486" s="78">
        <v>0</v>
      </c>
      <c r="J486" s="78">
        <v>0</v>
      </c>
      <c r="K486" s="78">
        <v>0</v>
      </c>
      <c r="L486" s="78">
        <v>0</v>
      </c>
      <c r="M486" s="78">
        <v>0</v>
      </c>
      <c r="N486" s="78">
        <v>0</v>
      </c>
      <c r="O486" s="78">
        <v>0</v>
      </c>
      <c r="P486" s="78">
        <v>0</v>
      </c>
      <c r="Q486" s="78">
        <f t="shared" si="7"/>
        <v>0</v>
      </c>
    </row>
    <row r="487" spans="1:17" x14ac:dyDescent="0.3">
      <c r="A487" s="177" t="s">
        <v>162</v>
      </c>
      <c r="B487" s="177" t="s">
        <v>2530</v>
      </c>
      <c r="C487" s="78" t="s">
        <v>2531</v>
      </c>
      <c r="D487" s="78">
        <v>13672.05</v>
      </c>
      <c r="E487" s="78">
        <v>0</v>
      </c>
      <c r="F487" s="78">
        <v>0</v>
      </c>
      <c r="G487" s="78">
        <v>0</v>
      </c>
      <c r="H487" s="78">
        <v>0</v>
      </c>
      <c r="I487" s="78">
        <v>0</v>
      </c>
      <c r="J487" s="78">
        <v>0</v>
      </c>
      <c r="K487" s="78">
        <v>0</v>
      </c>
      <c r="L487" s="78">
        <v>3828</v>
      </c>
      <c r="M487" s="78">
        <v>0</v>
      </c>
      <c r="N487" s="78">
        <v>0</v>
      </c>
      <c r="O487" s="78">
        <v>0</v>
      </c>
      <c r="P487" s="78">
        <v>249352</v>
      </c>
      <c r="Q487" s="78">
        <f t="shared" si="7"/>
        <v>253180</v>
      </c>
    </row>
    <row r="488" spans="1:17" x14ac:dyDescent="0.3">
      <c r="A488" s="177" t="s">
        <v>162</v>
      </c>
      <c r="B488" s="177" t="s">
        <v>2532</v>
      </c>
      <c r="C488" s="78" t="s">
        <v>2533</v>
      </c>
      <c r="D488" s="78">
        <v>12195.9</v>
      </c>
      <c r="E488" s="78">
        <v>0</v>
      </c>
      <c r="F488" s="78">
        <v>0</v>
      </c>
      <c r="G488" s="78">
        <v>0</v>
      </c>
      <c r="H488" s="78">
        <v>0</v>
      </c>
      <c r="I488" s="78">
        <v>0</v>
      </c>
      <c r="J488" s="78">
        <v>0</v>
      </c>
      <c r="K488" s="78">
        <v>0</v>
      </c>
      <c r="L488" s="78">
        <v>0</v>
      </c>
      <c r="M488" s="78">
        <v>0</v>
      </c>
      <c r="N488" s="78">
        <v>0</v>
      </c>
      <c r="O488" s="78">
        <v>0</v>
      </c>
      <c r="P488" s="78">
        <v>0</v>
      </c>
      <c r="Q488" s="78">
        <f t="shared" si="7"/>
        <v>0</v>
      </c>
    </row>
    <row r="489" spans="1:17" x14ac:dyDescent="0.3">
      <c r="A489" s="177" t="s">
        <v>162</v>
      </c>
      <c r="B489" s="177" t="s">
        <v>2534</v>
      </c>
      <c r="C489" s="78" t="s">
        <v>2535</v>
      </c>
      <c r="D489" s="78">
        <v>3492274.17</v>
      </c>
      <c r="E489" s="78">
        <v>685733.95072129997</v>
      </c>
      <c r="F489" s="78">
        <v>472555.60032129998</v>
      </c>
      <c r="G489" s="78">
        <v>443827.6731213</v>
      </c>
      <c r="H489" s="78">
        <v>729597.95072129997</v>
      </c>
      <c r="I489" s="78">
        <v>473085.34992140002</v>
      </c>
      <c r="J489" s="78">
        <v>486232.9218214</v>
      </c>
      <c r="K489" s="78">
        <v>750612.20102140005</v>
      </c>
      <c r="L489" s="78">
        <v>552741.95828809997</v>
      </c>
      <c r="M489" s="78">
        <v>513221.945488</v>
      </c>
      <c r="N489" s="78">
        <v>698297.62668800005</v>
      </c>
      <c r="O489" s="78">
        <v>612300.14815469994</v>
      </c>
      <c r="P489" s="78">
        <v>544105.56255459995</v>
      </c>
      <c r="Q489" s="78">
        <f t="shared" si="7"/>
        <v>6962312.8888228005</v>
      </c>
    </row>
    <row r="490" spans="1:17" x14ac:dyDescent="0.3">
      <c r="A490" s="177" t="s">
        <v>162</v>
      </c>
      <c r="B490" s="177" t="s">
        <v>2536</v>
      </c>
      <c r="C490" s="78" t="s">
        <v>2537</v>
      </c>
      <c r="D490" s="78">
        <v>-198440.77</v>
      </c>
      <c r="E490" s="78">
        <v>0</v>
      </c>
      <c r="F490" s="78">
        <v>0</v>
      </c>
      <c r="G490" s="78">
        <v>0</v>
      </c>
      <c r="H490" s="78">
        <v>0</v>
      </c>
      <c r="I490" s="78">
        <v>0</v>
      </c>
      <c r="J490" s="78">
        <v>0</v>
      </c>
      <c r="K490" s="78">
        <v>0</v>
      </c>
      <c r="L490" s="78">
        <v>0</v>
      </c>
      <c r="M490" s="78">
        <v>0</v>
      </c>
      <c r="N490" s="78">
        <v>0</v>
      </c>
      <c r="O490" s="78">
        <v>0</v>
      </c>
      <c r="P490" s="78">
        <v>0</v>
      </c>
      <c r="Q490" s="78">
        <f t="shared" si="7"/>
        <v>0</v>
      </c>
    </row>
    <row r="491" spans="1:17" x14ac:dyDescent="0.3">
      <c r="A491" s="177" t="s">
        <v>162</v>
      </c>
      <c r="B491" s="177" t="s">
        <v>2538</v>
      </c>
      <c r="C491" s="78" t="s">
        <v>2539</v>
      </c>
      <c r="D491" s="78">
        <v>-181741056.15000001</v>
      </c>
      <c r="E491" s="78">
        <v>0</v>
      </c>
      <c r="F491" s="78">
        <v>0</v>
      </c>
      <c r="G491" s="78">
        <v>0</v>
      </c>
      <c r="H491" s="78">
        <v>0</v>
      </c>
      <c r="I491" s="78">
        <v>0</v>
      </c>
      <c r="J491" s="78">
        <v>0</v>
      </c>
      <c r="K491" s="78">
        <v>0</v>
      </c>
      <c r="L491" s="78">
        <v>0</v>
      </c>
      <c r="M491" s="78">
        <v>0</v>
      </c>
      <c r="N491" s="78">
        <v>0</v>
      </c>
      <c r="O491" s="78">
        <v>0</v>
      </c>
      <c r="P491" s="78">
        <v>0</v>
      </c>
      <c r="Q491" s="78">
        <f t="shared" si="7"/>
        <v>0</v>
      </c>
    </row>
    <row r="492" spans="1:17" x14ac:dyDescent="0.3">
      <c r="A492" s="177" t="s">
        <v>162</v>
      </c>
      <c r="B492" s="177" t="s">
        <v>2540</v>
      </c>
      <c r="C492" s="78" t="s">
        <v>2541</v>
      </c>
      <c r="D492" s="78">
        <v>6317385.8300000001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f t="shared" si="7"/>
        <v>0</v>
      </c>
    </row>
    <row r="493" spans="1:17" x14ac:dyDescent="0.3">
      <c r="A493" s="177" t="s">
        <v>162</v>
      </c>
      <c r="B493" s="177" t="s">
        <v>2542</v>
      </c>
      <c r="C493" s="78" t="s">
        <v>2543</v>
      </c>
      <c r="D493" s="78">
        <v>35501787.880000003</v>
      </c>
      <c r="E493" s="78">
        <v>0</v>
      </c>
      <c r="F493" s="78">
        <v>0</v>
      </c>
      <c r="G493" s="78">
        <v>0</v>
      </c>
      <c r="H493" s="78">
        <v>0</v>
      </c>
      <c r="I493" s="78">
        <v>0</v>
      </c>
      <c r="J493" s="78">
        <v>0</v>
      </c>
      <c r="K493" s="78">
        <v>0</v>
      </c>
      <c r="L493" s="78">
        <v>0</v>
      </c>
      <c r="M493" s="78">
        <v>0</v>
      </c>
      <c r="N493" s="78">
        <v>0</v>
      </c>
      <c r="O493" s="78">
        <v>0</v>
      </c>
      <c r="P493" s="78">
        <v>0</v>
      </c>
      <c r="Q493" s="78">
        <f t="shared" si="7"/>
        <v>0</v>
      </c>
    </row>
    <row r="494" spans="1:17" x14ac:dyDescent="0.3">
      <c r="A494" s="177" t="s">
        <v>162</v>
      </c>
      <c r="B494" s="177" t="s">
        <v>2544</v>
      </c>
      <c r="C494" s="78" t="s">
        <v>2545</v>
      </c>
      <c r="D494" s="78">
        <v>88584.15</v>
      </c>
      <c r="E494" s="78">
        <v>0</v>
      </c>
      <c r="F494" s="78">
        <v>0</v>
      </c>
      <c r="G494" s="78">
        <v>0</v>
      </c>
      <c r="H494" s="78">
        <v>0</v>
      </c>
      <c r="I494" s="78">
        <v>0</v>
      </c>
      <c r="J494" s="78">
        <v>0</v>
      </c>
      <c r="K494" s="78">
        <v>0</v>
      </c>
      <c r="L494" s="78">
        <v>0</v>
      </c>
      <c r="M494" s="78">
        <v>0</v>
      </c>
      <c r="N494" s="78">
        <v>0</v>
      </c>
      <c r="O494" s="78">
        <v>0</v>
      </c>
      <c r="P494" s="78">
        <v>0</v>
      </c>
      <c r="Q494" s="78">
        <f t="shared" si="7"/>
        <v>0</v>
      </c>
    </row>
    <row r="495" spans="1:17" x14ac:dyDescent="0.3">
      <c r="A495" s="177" t="s">
        <v>162</v>
      </c>
      <c r="B495" s="177" t="s">
        <v>2546</v>
      </c>
      <c r="C495" s="78" t="s">
        <v>2547</v>
      </c>
      <c r="D495" s="78">
        <v>0</v>
      </c>
      <c r="E495" s="78">
        <v>1416</v>
      </c>
      <c r="F495" s="78">
        <v>1325</v>
      </c>
      <c r="G495" s="78">
        <v>1416</v>
      </c>
      <c r="H495" s="78">
        <v>1370</v>
      </c>
      <c r="I495" s="78">
        <v>1416</v>
      </c>
      <c r="J495" s="78">
        <v>757</v>
      </c>
      <c r="K495" s="78">
        <v>0</v>
      </c>
      <c r="L495" s="78">
        <v>0</v>
      </c>
      <c r="M495" s="78">
        <v>2350</v>
      </c>
      <c r="N495" s="78">
        <v>0</v>
      </c>
      <c r="O495" s="78">
        <v>0</v>
      </c>
      <c r="P495" s="78">
        <v>0</v>
      </c>
      <c r="Q495" s="78">
        <f t="shared" si="7"/>
        <v>10050</v>
      </c>
    </row>
    <row r="496" spans="1:17" x14ac:dyDescent="0.3">
      <c r="A496" s="177" t="s">
        <v>162</v>
      </c>
      <c r="B496" s="177" t="s">
        <v>2548</v>
      </c>
      <c r="C496" s="78" t="s">
        <v>49</v>
      </c>
      <c r="D496" s="78">
        <v>2207516.41</v>
      </c>
      <c r="E496" s="78">
        <v>0</v>
      </c>
      <c r="F496" s="78">
        <v>0</v>
      </c>
      <c r="G496" s="78">
        <v>0</v>
      </c>
      <c r="H496" s="78">
        <v>0</v>
      </c>
      <c r="I496" s="78">
        <v>0</v>
      </c>
      <c r="J496" s="78">
        <v>0</v>
      </c>
      <c r="K496" s="78">
        <v>0</v>
      </c>
      <c r="L496" s="78">
        <v>0</v>
      </c>
      <c r="M496" s="78">
        <v>0</v>
      </c>
      <c r="N496" s="78">
        <v>0</v>
      </c>
      <c r="O496" s="78">
        <v>0</v>
      </c>
      <c r="P496" s="78">
        <v>0</v>
      </c>
      <c r="Q496" s="78">
        <f t="shared" si="7"/>
        <v>0</v>
      </c>
    </row>
    <row r="497" spans="1:17" x14ac:dyDescent="0.3">
      <c r="A497" s="177" t="s">
        <v>162</v>
      </c>
      <c r="B497" s="177" t="s">
        <v>2549</v>
      </c>
      <c r="C497" s="78" t="s">
        <v>2550</v>
      </c>
      <c r="D497" s="78">
        <v>8633632.25</v>
      </c>
      <c r="E497" s="78">
        <v>83</v>
      </c>
      <c r="F497" s="78">
        <v>83</v>
      </c>
      <c r="G497" s="78">
        <v>83</v>
      </c>
      <c r="H497" s="78">
        <v>83</v>
      </c>
      <c r="I497" s="78">
        <v>83</v>
      </c>
      <c r="J497" s="78">
        <v>298</v>
      </c>
      <c r="K497" s="78">
        <v>283</v>
      </c>
      <c r="L497" s="78">
        <v>83</v>
      </c>
      <c r="M497" s="78">
        <v>83</v>
      </c>
      <c r="N497" s="78">
        <v>83</v>
      </c>
      <c r="O497" s="78">
        <v>83</v>
      </c>
      <c r="P497" s="78">
        <v>83</v>
      </c>
      <c r="Q497" s="78">
        <f t="shared" si="7"/>
        <v>1411</v>
      </c>
    </row>
    <row r="498" spans="1:17" x14ac:dyDescent="0.3">
      <c r="A498" s="177" t="s">
        <v>162</v>
      </c>
      <c r="B498" s="177" t="s">
        <v>2551</v>
      </c>
      <c r="C498" s="78" t="s">
        <v>2552</v>
      </c>
      <c r="D498" s="78">
        <v>112728.14</v>
      </c>
      <c r="E498" s="78">
        <v>667</v>
      </c>
      <c r="F498" s="78">
        <v>667</v>
      </c>
      <c r="G498" s="78">
        <v>667</v>
      </c>
      <c r="H498" s="78">
        <v>667</v>
      </c>
      <c r="I498" s="78">
        <v>667</v>
      </c>
      <c r="J498" s="78">
        <v>667</v>
      </c>
      <c r="K498" s="78">
        <v>667</v>
      </c>
      <c r="L498" s="78">
        <v>667</v>
      </c>
      <c r="M498" s="78">
        <v>667</v>
      </c>
      <c r="N498" s="78">
        <v>667</v>
      </c>
      <c r="O498" s="78">
        <v>667</v>
      </c>
      <c r="P498" s="78">
        <v>667</v>
      </c>
      <c r="Q498" s="78">
        <f t="shared" si="7"/>
        <v>8004</v>
      </c>
    </row>
    <row r="499" spans="1:17" x14ac:dyDescent="0.3">
      <c r="A499" s="177" t="s">
        <v>162</v>
      </c>
      <c r="B499" s="177" t="s">
        <v>2553</v>
      </c>
      <c r="C499" s="78" t="s">
        <v>2554</v>
      </c>
      <c r="D499" s="78">
        <v>453428.69</v>
      </c>
      <c r="E499" s="78">
        <v>0</v>
      </c>
      <c r="F499" s="78">
        <v>0</v>
      </c>
      <c r="G499" s="78">
        <v>0</v>
      </c>
      <c r="H499" s="78">
        <v>0</v>
      </c>
      <c r="I499" s="78">
        <v>0</v>
      </c>
      <c r="J499" s="78">
        <v>0</v>
      </c>
      <c r="K499" s="78">
        <v>0</v>
      </c>
      <c r="L499" s="78">
        <v>0</v>
      </c>
      <c r="M499" s="78">
        <v>0</v>
      </c>
      <c r="N499" s="78">
        <v>0</v>
      </c>
      <c r="O499" s="78">
        <v>0</v>
      </c>
      <c r="P499" s="78">
        <v>0</v>
      </c>
      <c r="Q499" s="78">
        <f t="shared" si="7"/>
        <v>0</v>
      </c>
    </row>
    <row r="500" spans="1:17" x14ac:dyDescent="0.3">
      <c r="A500" s="177" t="s">
        <v>162</v>
      </c>
      <c r="B500" s="177" t="s">
        <v>2555</v>
      </c>
      <c r="C500" s="78" t="s">
        <v>2556</v>
      </c>
      <c r="D500" s="78">
        <v>16016.42</v>
      </c>
      <c r="E500" s="78">
        <v>0</v>
      </c>
      <c r="F500" s="78">
        <v>0</v>
      </c>
      <c r="G500" s="78">
        <v>0</v>
      </c>
      <c r="H500" s="78">
        <v>0</v>
      </c>
      <c r="I500" s="78">
        <v>0</v>
      </c>
      <c r="J500" s="78">
        <v>0</v>
      </c>
      <c r="K500" s="78">
        <v>0</v>
      </c>
      <c r="L500" s="78">
        <v>0</v>
      </c>
      <c r="M500" s="78">
        <v>0</v>
      </c>
      <c r="N500" s="78">
        <v>0</v>
      </c>
      <c r="O500" s="78">
        <v>0</v>
      </c>
      <c r="P500" s="78">
        <v>0</v>
      </c>
      <c r="Q500" s="78">
        <f t="shared" si="7"/>
        <v>0</v>
      </c>
    </row>
    <row r="501" spans="1:17" x14ac:dyDescent="0.3">
      <c r="A501" s="177" t="s">
        <v>162</v>
      </c>
      <c r="B501" s="177" t="s">
        <v>2557</v>
      </c>
      <c r="C501" s="78" t="s">
        <v>2558</v>
      </c>
      <c r="D501" s="78">
        <v>21805.48</v>
      </c>
      <c r="E501" s="78">
        <v>0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f t="shared" si="7"/>
        <v>0</v>
      </c>
    </row>
    <row r="502" spans="1:17" x14ac:dyDescent="0.3">
      <c r="A502" s="177" t="s">
        <v>162</v>
      </c>
      <c r="B502" s="177" t="s">
        <v>2559</v>
      </c>
      <c r="C502" s="78" t="s">
        <v>2560</v>
      </c>
      <c r="D502" s="78">
        <v>9410.81</v>
      </c>
      <c r="E502" s="78">
        <v>0</v>
      </c>
      <c r="F502" s="78">
        <v>0</v>
      </c>
      <c r="G502" s="78">
        <v>0</v>
      </c>
      <c r="H502" s="78">
        <v>0</v>
      </c>
      <c r="I502" s="78">
        <v>0</v>
      </c>
      <c r="J502" s="78">
        <v>0</v>
      </c>
      <c r="K502" s="78">
        <v>0</v>
      </c>
      <c r="L502" s="78">
        <v>0</v>
      </c>
      <c r="M502" s="78">
        <v>0</v>
      </c>
      <c r="N502" s="78">
        <v>0</v>
      </c>
      <c r="O502" s="78">
        <v>0</v>
      </c>
      <c r="P502" s="78">
        <v>0</v>
      </c>
      <c r="Q502" s="78">
        <f t="shared" si="7"/>
        <v>0</v>
      </c>
    </row>
    <row r="503" spans="1:17" x14ac:dyDescent="0.3">
      <c r="A503" s="177" t="s">
        <v>162</v>
      </c>
      <c r="B503" s="177" t="s">
        <v>2561</v>
      </c>
      <c r="C503" s="78" t="s">
        <v>2562</v>
      </c>
      <c r="D503" s="78">
        <v>28426.13</v>
      </c>
      <c r="E503" s="78">
        <v>0</v>
      </c>
      <c r="F503" s="78">
        <v>0</v>
      </c>
      <c r="G503" s="78">
        <v>0</v>
      </c>
      <c r="H503" s="78">
        <v>0</v>
      </c>
      <c r="I503" s="78">
        <v>0</v>
      </c>
      <c r="J503" s="78">
        <v>0</v>
      </c>
      <c r="K503" s="78">
        <v>0</v>
      </c>
      <c r="L503" s="78">
        <v>0</v>
      </c>
      <c r="M503" s="78">
        <v>0</v>
      </c>
      <c r="N503" s="78">
        <v>0</v>
      </c>
      <c r="O503" s="78">
        <v>0</v>
      </c>
      <c r="P503" s="78">
        <v>0</v>
      </c>
      <c r="Q503" s="78">
        <f t="shared" si="7"/>
        <v>0</v>
      </c>
    </row>
    <row r="504" spans="1:17" x14ac:dyDescent="0.3">
      <c r="A504" s="177" t="s">
        <v>162</v>
      </c>
      <c r="B504" s="177" t="s">
        <v>2563</v>
      </c>
      <c r="C504" s="78" t="s">
        <v>2564</v>
      </c>
      <c r="D504" s="78">
        <v>51668.02</v>
      </c>
      <c r="E504" s="78">
        <v>0</v>
      </c>
      <c r="F504" s="78">
        <v>0</v>
      </c>
      <c r="G504" s="78">
        <v>0</v>
      </c>
      <c r="H504" s="78">
        <v>0</v>
      </c>
      <c r="I504" s="78">
        <v>0</v>
      </c>
      <c r="J504" s="78">
        <v>0</v>
      </c>
      <c r="K504" s="78">
        <v>0</v>
      </c>
      <c r="L504" s="78">
        <v>0</v>
      </c>
      <c r="M504" s="78">
        <v>0</v>
      </c>
      <c r="N504" s="78">
        <v>0</v>
      </c>
      <c r="O504" s="78">
        <v>0</v>
      </c>
      <c r="P504" s="78">
        <v>0</v>
      </c>
      <c r="Q504" s="78">
        <f t="shared" si="7"/>
        <v>0</v>
      </c>
    </row>
    <row r="505" spans="1:17" x14ac:dyDescent="0.3">
      <c r="A505" s="177" t="s">
        <v>162</v>
      </c>
      <c r="B505" s="177" t="s">
        <v>2565</v>
      </c>
      <c r="C505" s="78" t="s">
        <v>2566</v>
      </c>
      <c r="D505" s="78">
        <v>33756373.079999998</v>
      </c>
      <c r="E505" s="78">
        <v>2792</v>
      </c>
      <c r="F505" s="78">
        <v>2792</v>
      </c>
      <c r="G505" s="78">
        <v>2792</v>
      </c>
      <c r="H505" s="78">
        <v>2792</v>
      </c>
      <c r="I505" s="78">
        <v>2792</v>
      </c>
      <c r="J505" s="78">
        <v>2792</v>
      </c>
      <c r="K505" s="78">
        <v>2792</v>
      </c>
      <c r="L505" s="78">
        <v>2792</v>
      </c>
      <c r="M505" s="78">
        <v>2792</v>
      </c>
      <c r="N505" s="78">
        <v>2792</v>
      </c>
      <c r="O505" s="78">
        <v>2792</v>
      </c>
      <c r="P505" s="78">
        <v>2792</v>
      </c>
      <c r="Q505" s="78">
        <f t="shared" si="7"/>
        <v>33504</v>
      </c>
    </row>
    <row r="506" spans="1:17" x14ac:dyDescent="0.3">
      <c r="A506" s="177" t="s">
        <v>162</v>
      </c>
      <c r="B506" s="177" t="s">
        <v>2567</v>
      </c>
      <c r="C506" s="78" t="s">
        <v>2568</v>
      </c>
      <c r="D506" s="78">
        <v>142619.99</v>
      </c>
      <c r="E506" s="78">
        <v>0</v>
      </c>
      <c r="F506" s="78">
        <v>0</v>
      </c>
      <c r="G506" s="78">
        <v>0</v>
      </c>
      <c r="H506" s="78">
        <v>0</v>
      </c>
      <c r="I506" s="78">
        <v>0</v>
      </c>
      <c r="J506" s="78">
        <v>0</v>
      </c>
      <c r="K506" s="78">
        <v>0</v>
      </c>
      <c r="L506" s="78">
        <v>0</v>
      </c>
      <c r="M506" s="78">
        <v>0</v>
      </c>
      <c r="N506" s="78">
        <v>0</v>
      </c>
      <c r="O506" s="78">
        <v>0</v>
      </c>
      <c r="P506" s="78">
        <v>0</v>
      </c>
      <c r="Q506" s="78">
        <f t="shared" si="7"/>
        <v>0</v>
      </c>
    </row>
    <row r="507" spans="1:17" x14ac:dyDescent="0.3">
      <c r="A507" s="177" t="s">
        <v>162</v>
      </c>
      <c r="B507" s="177" t="s">
        <v>2569</v>
      </c>
      <c r="C507" s="78" t="s">
        <v>2570</v>
      </c>
      <c r="D507" s="78">
        <v>93639.33</v>
      </c>
      <c r="E507" s="78">
        <v>0</v>
      </c>
      <c r="F507" s="78">
        <v>0</v>
      </c>
      <c r="G507" s="78">
        <v>419</v>
      </c>
      <c r="H507" s="78">
        <v>26</v>
      </c>
      <c r="I507" s="78">
        <v>15</v>
      </c>
      <c r="J507" s="78">
        <v>61</v>
      </c>
      <c r="K507" s="78">
        <v>93</v>
      </c>
      <c r="L507" s="78">
        <v>834</v>
      </c>
      <c r="M507" s="78">
        <v>0</v>
      </c>
      <c r="N507" s="78">
        <v>226</v>
      </c>
      <c r="O507" s="78">
        <v>0</v>
      </c>
      <c r="P507" s="78">
        <v>467</v>
      </c>
      <c r="Q507" s="78">
        <f t="shared" si="7"/>
        <v>2141</v>
      </c>
    </row>
    <row r="508" spans="1:17" x14ac:dyDescent="0.3">
      <c r="A508" s="177" t="s">
        <v>162</v>
      </c>
      <c r="B508" s="177" t="s">
        <v>2571</v>
      </c>
      <c r="C508" s="78" t="s">
        <v>2572</v>
      </c>
      <c r="D508" s="78">
        <v>118037.51</v>
      </c>
      <c r="E508" s="78">
        <v>0</v>
      </c>
      <c r="F508" s="78">
        <v>0</v>
      </c>
      <c r="G508" s="78">
        <v>0</v>
      </c>
      <c r="H508" s="78">
        <v>0</v>
      </c>
      <c r="I508" s="78">
        <v>0</v>
      </c>
      <c r="J508" s="78">
        <v>0</v>
      </c>
      <c r="K508" s="78">
        <v>0</v>
      </c>
      <c r="L508" s="78">
        <v>0</v>
      </c>
      <c r="M508" s="78">
        <v>0</v>
      </c>
      <c r="N508" s="78">
        <v>0</v>
      </c>
      <c r="O508" s="78">
        <v>0</v>
      </c>
      <c r="P508" s="78">
        <v>0</v>
      </c>
      <c r="Q508" s="78">
        <f t="shared" si="7"/>
        <v>0</v>
      </c>
    </row>
    <row r="509" spans="1:17" x14ac:dyDescent="0.3">
      <c r="A509" s="177" t="s">
        <v>162</v>
      </c>
      <c r="B509" s="177" t="s">
        <v>2573</v>
      </c>
      <c r="C509" s="78" t="s">
        <v>2574</v>
      </c>
      <c r="D509" s="78">
        <v>78200.75</v>
      </c>
      <c r="E509" s="78">
        <v>0</v>
      </c>
      <c r="F509" s="78">
        <v>0</v>
      </c>
      <c r="G509" s="78">
        <v>0</v>
      </c>
      <c r="H509" s="78">
        <v>0</v>
      </c>
      <c r="I509" s="78">
        <v>0</v>
      </c>
      <c r="J509" s="78">
        <v>0</v>
      </c>
      <c r="K509" s="78">
        <v>0</v>
      </c>
      <c r="L509" s="78">
        <v>0</v>
      </c>
      <c r="M509" s="78">
        <v>0</v>
      </c>
      <c r="N509" s="78">
        <v>0</v>
      </c>
      <c r="O509" s="78">
        <v>0</v>
      </c>
      <c r="P509" s="78">
        <v>0</v>
      </c>
      <c r="Q509" s="78">
        <f t="shared" si="7"/>
        <v>0</v>
      </c>
    </row>
    <row r="510" spans="1:17" x14ac:dyDescent="0.3">
      <c r="A510" s="177" t="s">
        <v>162</v>
      </c>
      <c r="B510" s="177" t="s">
        <v>2575</v>
      </c>
      <c r="C510" s="78" t="s">
        <v>2576</v>
      </c>
      <c r="D510" s="78">
        <v>7661394.3300000001</v>
      </c>
      <c r="E510" s="78">
        <v>5958</v>
      </c>
      <c r="F510" s="78">
        <v>5958</v>
      </c>
      <c r="G510" s="78">
        <v>5959</v>
      </c>
      <c r="H510" s="78">
        <v>5958</v>
      </c>
      <c r="I510" s="78">
        <v>5958</v>
      </c>
      <c r="J510" s="78">
        <v>5959</v>
      </c>
      <c r="K510" s="78">
        <v>5958</v>
      </c>
      <c r="L510" s="78">
        <v>5958</v>
      </c>
      <c r="M510" s="78">
        <v>5959</v>
      </c>
      <c r="N510" s="78">
        <v>5958</v>
      </c>
      <c r="O510" s="78">
        <v>5958</v>
      </c>
      <c r="P510" s="78">
        <v>5959</v>
      </c>
      <c r="Q510" s="78">
        <f t="shared" si="7"/>
        <v>71500</v>
      </c>
    </row>
    <row r="511" spans="1:17" x14ac:dyDescent="0.3">
      <c r="A511" s="177" t="s">
        <v>162</v>
      </c>
      <c r="B511" s="177" t="s">
        <v>2577</v>
      </c>
      <c r="C511" s="78" t="s">
        <v>2578</v>
      </c>
      <c r="D511" s="78">
        <v>3776.92</v>
      </c>
      <c r="E511" s="78">
        <v>0</v>
      </c>
      <c r="F511" s="78">
        <v>0</v>
      </c>
      <c r="G511" s="78">
        <v>0</v>
      </c>
      <c r="H511" s="78">
        <v>0</v>
      </c>
      <c r="I511" s="78">
        <v>0</v>
      </c>
      <c r="J511" s="78">
        <v>0</v>
      </c>
      <c r="K511" s="78">
        <v>0</v>
      </c>
      <c r="L511" s="78">
        <v>0</v>
      </c>
      <c r="M511" s="78">
        <v>0</v>
      </c>
      <c r="N511" s="78">
        <v>0</v>
      </c>
      <c r="O511" s="78">
        <v>0</v>
      </c>
      <c r="P511" s="78">
        <v>0</v>
      </c>
      <c r="Q511" s="78">
        <f t="shared" si="7"/>
        <v>0</v>
      </c>
    </row>
    <row r="512" spans="1:17" x14ac:dyDescent="0.3">
      <c r="A512" s="177" t="s">
        <v>162</v>
      </c>
      <c r="B512" s="177" t="s">
        <v>2579</v>
      </c>
      <c r="C512" s="78" t="s">
        <v>2580</v>
      </c>
      <c r="D512" s="78">
        <v>-5241.45</v>
      </c>
      <c r="E512" s="78">
        <v>0</v>
      </c>
      <c r="F512" s="78">
        <v>0</v>
      </c>
      <c r="G512" s="78">
        <v>0</v>
      </c>
      <c r="H512" s="78">
        <v>0</v>
      </c>
      <c r="I512" s="78">
        <v>0</v>
      </c>
      <c r="J512" s="78">
        <v>0</v>
      </c>
      <c r="K512" s="78">
        <v>0</v>
      </c>
      <c r="L512" s="78">
        <v>0</v>
      </c>
      <c r="M512" s="78">
        <v>0</v>
      </c>
      <c r="N512" s="78">
        <v>0</v>
      </c>
      <c r="O512" s="78">
        <v>0</v>
      </c>
      <c r="P512" s="78">
        <v>0</v>
      </c>
      <c r="Q512" s="78">
        <f t="shared" si="7"/>
        <v>0</v>
      </c>
    </row>
    <row r="513" spans="1:17" x14ac:dyDescent="0.3">
      <c r="A513" s="177" t="s">
        <v>162</v>
      </c>
      <c r="B513" s="177" t="s">
        <v>2581</v>
      </c>
      <c r="C513" s="78" t="s">
        <v>2582</v>
      </c>
      <c r="D513" s="78">
        <v>10408.61</v>
      </c>
      <c r="E513" s="78">
        <v>0</v>
      </c>
      <c r="F513" s="78">
        <v>0</v>
      </c>
      <c r="G513" s="78">
        <v>0</v>
      </c>
      <c r="H513" s="78">
        <v>0</v>
      </c>
      <c r="I513" s="78">
        <v>0</v>
      </c>
      <c r="J513" s="78">
        <v>0</v>
      </c>
      <c r="K513" s="78">
        <v>0</v>
      </c>
      <c r="L513" s="78">
        <v>0</v>
      </c>
      <c r="M513" s="78">
        <v>0</v>
      </c>
      <c r="N513" s="78">
        <v>0</v>
      </c>
      <c r="O513" s="78">
        <v>0</v>
      </c>
      <c r="P513" s="78">
        <v>0</v>
      </c>
      <c r="Q513" s="78">
        <f t="shared" si="7"/>
        <v>0</v>
      </c>
    </row>
    <row r="514" spans="1:17" x14ac:dyDescent="0.3">
      <c r="A514" s="177" t="s">
        <v>162</v>
      </c>
      <c r="B514" s="177" t="s">
        <v>2583</v>
      </c>
      <c r="C514" s="78" t="s">
        <v>2584</v>
      </c>
      <c r="D514" s="78">
        <v>267092.15000000002</v>
      </c>
      <c r="E514" s="78">
        <v>0</v>
      </c>
      <c r="F514" s="78">
        <v>0</v>
      </c>
      <c r="G514" s="78">
        <v>0</v>
      </c>
      <c r="H514" s="78">
        <v>0</v>
      </c>
      <c r="I514" s="78">
        <v>0</v>
      </c>
      <c r="J514" s="78">
        <v>0</v>
      </c>
      <c r="K514" s="78">
        <v>0</v>
      </c>
      <c r="L514" s="78">
        <v>0</v>
      </c>
      <c r="M514" s="78">
        <v>0</v>
      </c>
      <c r="N514" s="78">
        <v>0</v>
      </c>
      <c r="O514" s="78">
        <v>0</v>
      </c>
      <c r="P514" s="78">
        <v>0</v>
      </c>
      <c r="Q514" s="78">
        <f t="shared" si="7"/>
        <v>0</v>
      </c>
    </row>
    <row r="515" spans="1:17" x14ac:dyDescent="0.3">
      <c r="A515" s="177" t="s">
        <v>162</v>
      </c>
      <c r="B515" s="177" t="s">
        <v>2585</v>
      </c>
      <c r="C515" s="78" t="s">
        <v>2586</v>
      </c>
      <c r="D515" s="78">
        <v>-48278773</v>
      </c>
      <c r="E515" s="78">
        <v>0</v>
      </c>
      <c r="F515" s="78">
        <v>0</v>
      </c>
      <c r="G515" s="78">
        <v>0</v>
      </c>
      <c r="H515" s="78">
        <v>0</v>
      </c>
      <c r="I515" s="78">
        <v>0</v>
      </c>
      <c r="J515" s="78">
        <v>0</v>
      </c>
      <c r="K515" s="78">
        <v>0</v>
      </c>
      <c r="L515" s="78">
        <v>0</v>
      </c>
      <c r="M515" s="78">
        <v>0</v>
      </c>
      <c r="N515" s="78">
        <v>0</v>
      </c>
      <c r="O515" s="78">
        <v>0</v>
      </c>
      <c r="P515" s="78">
        <v>0</v>
      </c>
      <c r="Q515" s="78">
        <f t="shared" si="7"/>
        <v>0</v>
      </c>
    </row>
    <row r="516" spans="1:17" x14ac:dyDescent="0.3">
      <c r="A516" s="177" t="s">
        <v>162</v>
      </c>
      <c r="B516" s="177" t="s">
        <v>2587</v>
      </c>
      <c r="C516" s="78" t="s">
        <v>2588</v>
      </c>
      <c r="D516" s="78">
        <v>-77778.67</v>
      </c>
      <c r="E516" s="78">
        <v>0</v>
      </c>
      <c r="F516" s="78">
        <v>0</v>
      </c>
      <c r="G516" s="78">
        <v>0</v>
      </c>
      <c r="H516" s="78">
        <v>0</v>
      </c>
      <c r="I516" s="78">
        <v>0</v>
      </c>
      <c r="J516" s="78">
        <v>0</v>
      </c>
      <c r="K516" s="78">
        <v>0</v>
      </c>
      <c r="L516" s="78">
        <v>0</v>
      </c>
      <c r="M516" s="78">
        <v>0</v>
      </c>
      <c r="N516" s="78">
        <v>0</v>
      </c>
      <c r="O516" s="78">
        <v>0</v>
      </c>
      <c r="P516" s="78">
        <v>0</v>
      </c>
      <c r="Q516" s="78">
        <f t="shared" si="7"/>
        <v>0</v>
      </c>
    </row>
    <row r="517" spans="1:17" x14ac:dyDescent="0.3">
      <c r="A517" s="177" t="s">
        <v>162</v>
      </c>
      <c r="B517" s="177" t="s">
        <v>2589</v>
      </c>
      <c r="C517" s="78" t="s">
        <v>2590</v>
      </c>
      <c r="D517" s="78">
        <v>510527.91</v>
      </c>
      <c r="E517" s="78">
        <v>0</v>
      </c>
      <c r="F517" s="78">
        <v>0</v>
      </c>
      <c r="G517" s="78">
        <v>0</v>
      </c>
      <c r="H517" s="78">
        <v>0</v>
      </c>
      <c r="I517" s="78">
        <v>0</v>
      </c>
      <c r="J517" s="78">
        <v>0</v>
      </c>
      <c r="K517" s="78">
        <v>0</v>
      </c>
      <c r="L517" s="78">
        <v>0</v>
      </c>
      <c r="M517" s="78">
        <v>0</v>
      </c>
      <c r="N517" s="78">
        <v>0</v>
      </c>
      <c r="O517" s="78">
        <v>0</v>
      </c>
      <c r="P517" s="78">
        <v>0</v>
      </c>
      <c r="Q517" s="78">
        <f t="shared" si="7"/>
        <v>0</v>
      </c>
    </row>
    <row r="518" spans="1:17" x14ac:dyDescent="0.3">
      <c r="A518" s="177" t="s">
        <v>162</v>
      </c>
      <c r="B518" s="177" t="s">
        <v>2591</v>
      </c>
      <c r="C518" s="78" t="s">
        <v>2592</v>
      </c>
      <c r="D518" s="78">
        <v>-16968.97</v>
      </c>
      <c r="E518" s="78">
        <v>0</v>
      </c>
      <c r="F518" s="78">
        <v>0</v>
      </c>
      <c r="G518" s="78">
        <v>0</v>
      </c>
      <c r="H518" s="78">
        <v>0</v>
      </c>
      <c r="I518" s="78">
        <v>0</v>
      </c>
      <c r="J518" s="78">
        <v>0</v>
      </c>
      <c r="K518" s="78">
        <v>0</v>
      </c>
      <c r="L518" s="78">
        <v>0</v>
      </c>
      <c r="M518" s="78">
        <v>0</v>
      </c>
      <c r="N518" s="78">
        <v>0</v>
      </c>
      <c r="O518" s="78">
        <v>0</v>
      </c>
      <c r="P518" s="78">
        <v>0</v>
      </c>
      <c r="Q518" s="78">
        <f t="shared" si="7"/>
        <v>0</v>
      </c>
    </row>
    <row r="519" spans="1:17" x14ac:dyDescent="0.3">
      <c r="A519" s="177" t="s">
        <v>162</v>
      </c>
      <c r="B519" s="177" t="s">
        <v>2593</v>
      </c>
      <c r="C519" s="78" t="s">
        <v>2594</v>
      </c>
      <c r="D519" s="78">
        <v>-1779555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0</v>
      </c>
      <c r="O519" s="78">
        <v>0</v>
      </c>
      <c r="P519" s="78">
        <v>0</v>
      </c>
      <c r="Q519" s="78">
        <f t="shared" si="7"/>
        <v>0</v>
      </c>
    </row>
    <row r="520" spans="1:17" x14ac:dyDescent="0.3">
      <c r="A520" s="177" t="s">
        <v>162</v>
      </c>
      <c r="B520" s="177" t="s">
        <v>2595</v>
      </c>
      <c r="C520" s="78" t="s">
        <v>2596</v>
      </c>
      <c r="D520" s="78">
        <v>9023297.5800000001</v>
      </c>
      <c r="E520" s="78">
        <v>0</v>
      </c>
      <c r="F520" s="78">
        <v>0</v>
      </c>
      <c r="G520" s="78">
        <v>0</v>
      </c>
      <c r="H520" s="78">
        <v>0</v>
      </c>
      <c r="I520" s="78">
        <v>0</v>
      </c>
      <c r="J520" s="78">
        <v>0</v>
      </c>
      <c r="K520" s="78">
        <v>0</v>
      </c>
      <c r="L520" s="78">
        <v>0</v>
      </c>
      <c r="M520" s="78">
        <v>0</v>
      </c>
      <c r="N520" s="78">
        <v>0</v>
      </c>
      <c r="O520" s="78">
        <v>0</v>
      </c>
      <c r="P520" s="78">
        <v>0</v>
      </c>
      <c r="Q520" s="78">
        <f t="shared" si="7"/>
        <v>0</v>
      </c>
    </row>
    <row r="521" spans="1:17" x14ac:dyDescent="0.3">
      <c r="A521" s="177" t="s">
        <v>162</v>
      </c>
      <c r="B521" s="177" t="s">
        <v>2597</v>
      </c>
      <c r="C521" s="78" t="s">
        <v>2598</v>
      </c>
      <c r="D521" s="78">
        <v>547000</v>
      </c>
      <c r="E521" s="78">
        <v>0</v>
      </c>
      <c r="F521" s="78">
        <v>0</v>
      </c>
      <c r="G521" s="78">
        <v>0</v>
      </c>
      <c r="H521" s="78">
        <v>0</v>
      </c>
      <c r="I521" s="78">
        <v>0</v>
      </c>
      <c r="J521" s="78">
        <v>0</v>
      </c>
      <c r="K521" s="78">
        <v>0</v>
      </c>
      <c r="L521" s="78">
        <v>0</v>
      </c>
      <c r="M521" s="78">
        <v>0</v>
      </c>
      <c r="N521" s="78">
        <v>0</v>
      </c>
      <c r="O521" s="78">
        <v>0</v>
      </c>
      <c r="P521" s="78">
        <v>0</v>
      </c>
      <c r="Q521" s="78">
        <f t="shared" si="7"/>
        <v>0</v>
      </c>
    </row>
    <row r="522" spans="1:17" x14ac:dyDescent="0.3">
      <c r="A522" s="177" t="s">
        <v>162</v>
      </c>
      <c r="B522" s="177" t="s">
        <v>2599</v>
      </c>
      <c r="C522" s="78" t="s">
        <v>2600</v>
      </c>
      <c r="D522" s="78">
        <v>2771.96</v>
      </c>
      <c r="E522" s="78">
        <v>0</v>
      </c>
      <c r="F522" s="78">
        <v>0</v>
      </c>
      <c r="G522" s="78">
        <v>0</v>
      </c>
      <c r="H522" s="78">
        <v>0</v>
      </c>
      <c r="I522" s="78">
        <v>0</v>
      </c>
      <c r="J522" s="78">
        <v>0</v>
      </c>
      <c r="K522" s="78">
        <v>0</v>
      </c>
      <c r="L522" s="78">
        <v>0</v>
      </c>
      <c r="M522" s="78">
        <v>0</v>
      </c>
      <c r="N522" s="78">
        <v>0</v>
      </c>
      <c r="O522" s="78">
        <v>0</v>
      </c>
      <c r="P522" s="78">
        <v>0</v>
      </c>
      <c r="Q522" s="78">
        <f t="shared" si="7"/>
        <v>0</v>
      </c>
    </row>
    <row r="523" spans="1:17" x14ac:dyDescent="0.3">
      <c r="A523" s="177" t="s">
        <v>162</v>
      </c>
      <c r="B523" s="177" t="s">
        <v>2601</v>
      </c>
      <c r="C523" s="78" t="s">
        <v>2602</v>
      </c>
      <c r="D523" s="78">
        <v>25765.83</v>
      </c>
      <c r="E523" s="78">
        <v>0</v>
      </c>
      <c r="F523" s="78">
        <v>0</v>
      </c>
      <c r="G523" s="78">
        <v>0</v>
      </c>
      <c r="H523" s="78">
        <v>0</v>
      </c>
      <c r="I523" s="78">
        <v>0</v>
      </c>
      <c r="J523" s="78">
        <v>0</v>
      </c>
      <c r="K523" s="78">
        <v>0</v>
      </c>
      <c r="L523" s="78">
        <v>0</v>
      </c>
      <c r="M523" s="78">
        <v>0</v>
      </c>
      <c r="N523" s="78">
        <v>0</v>
      </c>
      <c r="O523" s="78">
        <v>0</v>
      </c>
      <c r="P523" s="78">
        <v>0</v>
      </c>
      <c r="Q523" s="78">
        <f t="shared" si="7"/>
        <v>0</v>
      </c>
    </row>
    <row r="524" spans="1:17" x14ac:dyDescent="0.3">
      <c r="A524" s="177" t="s">
        <v>162</v>
      </c>
      <c r="B524" s="177" t="s">
        <v>2603</v>
      </c>
      <c r="C524" s="78" t="s">
        <v>2604</v>
      </c>
      <c r="D524" s="78">
        <v>4336.5</v>
      </c>
      <c r="E524" s="78">
        <v>0</v>
      </c>
      <c r="F524" s="78">
        <v>0</v>
      </c>
      <c r="G524" s="78">
        <v>0</v>
      </c>
      <c r="H524" s="78">
        <v>0</v>
      </c>
      <c r="I524" s="78">
        <v>0</v>
      </c>
      <c r="J524" s="78">
        <v>0</v>
      </c>
      <c r="K524" s="78">
        <v>0</v>
      </c>
      <c r="L524" s="78">
        <v>0</v>
      </c>
      <c r="M524" s="78">
        <v>0</v>
      </c>
      <c r="N524" s="78">
        <v>0</v>
      </c>
      <c r="O524" s="78">
        <v>0</v>
      </c>
      <c r="P524" s="78">
        <v>0</v>
      </c>
      <c r="Q524" s="78">
        <f t="shared" si="7"/>
        <v>0</v>
      </c>
    </row>
    <row r="525" spans="1:17" x14ac:dyDescent="0.3">
      <c r="A525" s="177" t="s">
        <v>162</v>
      </c>
      <c r="B525" s="177" t="s">
        <v>2605</v>
      </c>
      <c r="C525" s="78" t="s">
        <v>2606</v>
      </c>
      <c r="D525" s="78">
        <v>73847.009999999995</v>
      </c>
      <c r="E525" s="78">
        <v>0</v>
      </c>
      <c r="F525" s="78">
        <v>0</v>
      </c>
      <c r="G525" s="78">
        <v>0</v>
      </c>
      <c r="H525" s="78">
        <v>0</v>
      </c>
      <c r="I525" s="78">
        <v>0</v>
      </c>
      <c r="J525" s="78">
        <v>0</v>
      </c>
      <c r="K525" s="78">
        <v>0</v>
      </c>
      <c r="L525" s="78">
        <v>0</v>
      </c>
      <c r="M525" s="78">
        <v>0</v>
      </c>
      <c r="N525" s="78">
        <v>0</v>
      </c>
      <c r="O525" s="78">
        <v>0</v>
      </c>
      <c r="P525" s="78">
        <v>0</v>
      </c>
      <c r="Q525" s="78">
        <f t="shared" si="7"/>
        <v>0</v>
      </c>
    </row>
    <row r="526" spans="1:17" x14ac:dyDescent="0.3">
      <c r="A526" s="177" t="s">
        <v>162</v>
      </c>
      <c r="B526" s="177" t="s">
        <v>2607</v>
      </c>
      <c r="C526" s="78" t="s">
        <v>2608</v>
      </c>
      <c r="D526" s="78">
        <v>1285123.8500000001</v>
      </c>
      <c r="E526" s="78">
        <v>0</v>
      </c>
      <c r="F526" s="78">
        <v>0</v>
      </c>
      <c r="G526" s="78">
        <v>0</v>
      </c>
      <c r="H526" s="78">
        <v>0</v>
      </c>
      <c r="I526" s="78">
        <v>0</v>
      </c>
      <c r="J526" s="78">
        <v>0</v>
      </c>
      <c r="K526" s="78">
        <v>0</v>
      </c>
      <c r="L526" s="78">
        <v>0</v>
      </c>
      <c r="M526" s="78">
        <v>0</v>
      </c>
      <c r="N526" s="78">
        <v>0</v>
      </c>
      <c r="O526" s="78">
        <v>0</v>
      </c>
      <c r="P526" s="78">
        <v>0</v>
      </c>
      <c r="Q526" s="78">
        <f t="shared" si="7"/>
        <v>0</v>
      </c>
    </row>
    <row r="527" spans="1:17" x14ac:dyDescent="0.3">
      <c r="A527" s="177" t="s">
        <v>162</v>
      </c>
      <c r="B527" s="177" t="s">
        <v>2609</v>
      </c>
      <c r="C527" s="78" t="s">
        <v>2610</v>
      </c>
      <c r="D527" s="78">
        <v>3574.25</v>
      </c>
      <c r="E527" s="78">
        <v>0</v>
      </c>
      <c r="F527" s="78">
        <v>0</v>
      </c>
      <c r="G527" s="78">
        <v>0</v>
      </c>
      <c r="H527" s="78">
        <v>0</v>
      </c>
      <c r="I527" s="78">
        <v>0</v>
      </c>
      <c r="J527" s="78">
        <v>0</v>
      </c>
      <c r="K527" s="78">
        <v>0</v>
      </c>
      <c r="L527" s="78">
        <v>0</v>
      </c>
      <c r="M527" s="78">
        <v>0</v>
      </c>
      <c r="N527" s="78">
        <v>0</v>
      </c>
      <c r="O527" s="78">
        <v>0</v>
      </c>
      <c r="P527" s="78">
        <v>0</v>
      </c>
      <c r="Q527" s="78">
        <f t="shared" ref="Q527:Q590" si="8">SUM(E527:P527)</f>
        <v>0</v>
      </c>
    </row>
    <row r="528" spans="1:17" x14ac:dyDescent="0.3">
      <c r="A528" s="177" t="s">
        <v>162</v>
      </c>
      <c r="B528" s="177" t="s">
        <v>2611</v>
      </c>
      <c r="C528" s="78" t="s">
        <v>2612</v>
      </c>
      <c r="D528" s="78">
        <v>260398.85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f t="shared" si="8"/>
        <v>0</v>
      </c>
    </row>
    <row r="529" spans="1:17" x14ac:dyDescent="0.3">
      <c r="A529" s="177" t="s">
        <v>162</v>
      </c>
      <c r="B529" s="177" t="s">
        <v>2613</v>
      </c>
      <c r="C529" s="78" t="s">
        <v>2614</v>
      </c>
      <c r="D529" s="78">
        <v>5332</v>
      </c>
      <c r="E529" s="78">
        <v>0</v>
      </c>
      <c r="F529" s="78">
        <v>0</v>
      </c>
      <c r="G529" s="78">
        <v>0</v>
      </c>
      <c r="H529" s="78">
        <v>0</v>
      </c>
      <c r="I529" s="78">
        <v>0</v>
      </c>
      <c r="J529" s="78">
        <v>0</v>
      </c>
      <c r="K529" s="78">
        <v>0</v>
      </c>
      <c r="L529" s="78">
        <v>0</v>
      </c>
      <c r="M529" s="78">
        <v>0</v>
      </c>
      <c r="N529" s="78">
        <v>0</v>
      </c>
      <c r="O529" s="78">
        <v>0</v>
      </c>
      <c r="P529" s="78">
        <v>0</v>
      </c>
      <c r="Q529" s="78">
        <f t="shared" si="8"/>
        <v>0</v>
      </c>
    </row>
    <row r="530" spans="1:17" x14ac:dyDescent="0.3">
      <c r="A530" s="177" t="s">
        <v>162</v>
      </c>
      <c r="B530" s="177" t="s">
        <v>2615</v>
      </c>
      <c r="C530" s="78" t="s">
        <v>2616</v>
      </c>
      <c r="D530" s="78">
        <v>878222.96</v>
      </c>
      <c r="E530" s="78">
        <v>0</v>
      </c>
      <c r="F530" s="78">
        <v>0</v>
      </c>
      <c r="G530" s="78">
        <v>0</v>
      </c>
      <c r="H530" s="78">
        <v>0</v>
      </c>
      <c r="I530" s="78">
        <v>0</v>
      </c>
      <c r="J530" s="78">
        <v>0</v>
      </c>
      <c r="K530" s="78">
        <v>0</v>
      </c>
      <c r="L530" s="78">
        <v>0</v>
      </c>
      <c r="M530" s="78">
        <v>0</v>
      </c>
      <c r="N530" s="78">
        <v>0</v>
      </c>
      <c r="O530" s="78">
        <v>0</v>
      </c>
      <c r="P530" s="78">
        <v>0</v>
      </c>
      <c r="Q530" s="78">
        <f t="shared" si="8"/>
        <v>0</v>
      </c>
    </row>
    <row r="531" spans="1:17" x14ac:dyDescent="0.3">
      <c r="A531" s="177" t="s">
        <v>162</v>
      </c>
      <c r="B531" s="177" t="s">
        <v>2617</v>
      </c>
      <c r="C531" s="78" t="s">
        <v>2618</v>
      </c>
      <c r="D531" s="78">
        <v>20124.490000000002</v>
      </c>
      <c r="E531" s="78">
        <v>0</v>
      </c>
      <c r="F531" s="78">
        <v>0</v>
      </c>
      <c r="G531" s="78">
        <v>0</v>
      </c>
      <c r="H531" s="78">
        <v>0</v>
      </c>
      <c r="I531" s="78">
        <v>0</v>
      </c>
      <c r="J531" s="78">
        <v>0</v>
      </c>
      <c r="K531" s="78">
        <v>0</v>
      </c>
      <c r="L531" s="78">
        <v>0</v>
      </c>
      <c r="M531" s="78">
        <v>0</v>
      </c>
      <c r="N531" s="78">
        <v>0</v>
      </c>
      <c r="O531" s="78">
        <v>0</v>
      </c>
      <c r="P531" s="78">
        <v>0</v>
      </c>
      <c r="Q531" s="78">
        <f t="shared" si="8"/>
        <v>0</v>
      </c>
    </row>
    <row r="532" spans="1:17" x14ac:dyDescent="0.3">
      <c r="A532" s="177" t="s">
        <v>162</v>
      </c>
      <c r="B532" s="177" t="s">
        <v>2619</v>
      </c>
      <c r="C532" s="78" t="s">
        <v>2620</v>
      </c>
      <c r="D532" s="78">
        <v>357.42</v>
      </c>
      <c r="E532" s="78">
        <v>0</v>
      </c>
      <c r="F532" s="78">
        <v>0</v>
      </c>
      <c r="G532" s="78">
        <v>0</v>
      </c>
      <c r="H532" s="78">
        <v>0</v>
      </c>
      <c r="I532" s="78">
        <v>0</v>
      </c>
      <c r="J532" s="78">
        <v>0</v>
      </c>
      <c r="K532" s="78">
        <v>0</v>
      </c>
      <c r="L532" s="78">
        <v>0</v>
      </c>
      <c r="M532" s="78">
        <v>0</v>
      </c>
      <c r="N532" s="78">
        <v>0</v>
      </c>
      <c r="O532" s="78">
        <v>0</v>
      </c>
      <c r="P532" s="78">
        <v>0</v>
      </c>
      <c r="Q532" s="78">
        <f t="shared" si="8"/>
        <v>0</v>
      </c>
    </row>
    <row r="533" spans="1:17" x14ac:dyDescent="0.3">
      <c r="A533" s="177" t="s">
        <v>162</v>
      </c>
      <c r="B533" s="177" t="s">
        <v>2621</v>
      </c>
      <c r="C533" s="78" t="s">
        <v>2622</v>
      </c>
      <c r="D533" s="78">
        <v>700</v>
      </c>
      <c r="E533" s="78">
        <v>0</v>
      </c>
      <c r="F533" s="78">
        <v>0</v>
      </c>
      <c r="G533" s="78">
        <v>0</v>
      </c>
      <c r="H533" s="78">
        <v>0</v>
      </c>
      <c r="I533" s="78">
        <v>0</v>
      </c>
      <c r="J533" s="78">
        <v>0</v>
      </c>
      <c r="K533" s="78">
        <v>0</v>
      </c>
      <c r="L533" s="78">
        <v>0</v>
      </c>
      <c r="M533" s="78">
        <v>0</v>
      </c>
      <c r="N533" s="78">
        <v>0</v>
      </c>
      <c r="O533" s="78">
        <v>0</v>
      </c>
      <c r="P533" s="78">
        <v>0</v>
      </c>
      <c r="Q533" s="78">
        <f t="shared" si="8"/>
        <v>0</v>
      </c>
    </row>
    <row r="534" spans="1:17" x14ac:dyDescent="0.3">
      <c r="A534" s="177" t="s">
        <v>162</v>
      </c>
      <c r="B534" s="177" t="s">
        <v>2623</v>
      </c>
      <c r="C534" s="78" t="s">
        <v>2624</v>
      </c>
      <c r="D534" s="78">
        <v>106.72</v>
      </c>
      <c r="E534" s="78">
        <v>0</v>
      </c>
      <c r="F534" s="78">
        <v>0</v>
      </c>
      <c r="G534" s="78">
        <v>0</v>
      </c>
      <c r="H534" s="78">
        <v>0</v>
      </c>
      <c r="I534" s="78">
        <v>0</v>
      </c>
      <c r="J534" s="78">
        <v>0</v>
      </c>
      <c r="K534" s="78">
        <v>0</v>
      </c>
      <c r="L534" s="78">
        <v>0</v>
      </c>
      <c r="M534" s="78">
        <v>0</v>
      </c>
      <c r="N534" s="78">
        <v>0</v>
      </c>
      <c r="O534" s="78">
        <v>0</v>
      </c>
      <c r="P534" s="78">
        <v>0</v>
      </c>
      <c r="Q534" s="78">
        <f t="shared" si="8"/>
        <v>0</v>
      </c>
    </row>
    <row r="535" spans="1:17" x14ac:dyDescent="0.3">
      <c r="A535" s="177" t="s">
        <v>162</v>
      </c>
      <c r="B535" s="177" t="s">
        <v>2625</v>
      </c>
      <c r="C535" s="78" t="s">
        <v>2626</v>
      </c>
      <c r="D535" s="78">
        <v>44701.25</v>
      </c>
      <c r="E535" s="78">
        <v>0</v>
      </c>
      <c r="F535" s="78">
        <v>0</v>
      </c>
      <c r="G535" s="78">
        <v>0</v>
      </c>
      <c r="H535" s="78">
        <v>0</v>
      </c>
      <c r="I535" s="78">
        <v>0</v>
      </c>
      <c r="J535" s="78">
        <v>0</v>
      </c>
      <c r="K535" s="78">
        <v>0</v>
      </c>
      <c r="L535" s="78">
        <v>0</v>
      </c>
      <c r="M535" s="78">
        <v>0</v>
      </c>
      <c r="N535" s="78">
        <v>0</v>
      </c>
      <c r="O535" s="78">
        <v>0</v>
      </c>
      <c r="P535" s="78">
        <v>0</v>
      </c>
      <c r="Q535" s="78">
        <f t="shared" si="8"/>
        <v>0</v>
      </c>
    </row>
    <row r="536" spans="1:17" x14ac:dyDescent="0.3">
      <c r="A536" s="177" t="s">
        <v>162</v>
      </c>
      <c r="B536" s="177" t="s">
        <v>2627</v>
      </c>
      <c r="C536" s="78" t="s">
        <v>2628</v>
      </c>
      <c r="D536" s="78">
        <v>248023.51</v>
      </c>
      <c r="E536" s="78">
        <v>0</v>
      </c>
      <c r="F536" s="78">
        <v>0</v>
      </c>
      <c r="G536" s="78">
        <v>0</v>
      </c>
      <c r="H536" s="78">
        <v>0</v>
      </c>
      <c r="I536" s="78">
        <v>0</v>
      </c>
      <c r="J536" s="78">
        <v>0</v>
      </c>
      <c r="K536" s="78">
        <v>0</v>
      </c>
      <c r="L536" s="78">
        <v>0</v>
      </c>
      <c r="M536" s="78">
        <v>0</v>
      </c>
      <c r="N536" s="78">
        <v>0</v>
      </c>
      <c r="O536" s="78">
        <v>0</v>
      </c>
      <c r="P536" s="78">
        <v>0</v>
      </c>
      <c r="Q536" s="78">
        <f t="shared" si="8"/>
        <v>0</v>
      </c>
    </row>
    <row r="537" spans="1:17" x14ac:dyDescent="0.3">
      <c r="A537" s="177" t="s">
        <v>162</v>
      </c>
      <c r="B537" s="177" t="s">
        <v>2629</v>
      </c>
      <c r="C537" s="78" t="s">
        <v>2630</v>
      </c>
      <c r="D537" s="78">
        <v>46940.02</v>
      </c>
      <c r="E537" s="78">
        <v>0</v>
      </c>
      <c r="F537" s="78">
        <v>0</v>
      </c>
      <c r="G537" s="78">
        <v>0</v>
      </c>
      <c r="H537" s="78">
        <v>0</v>
      </c>
      <c r="I537" s="78">
        <v>0</v>
      </c>
      <c r="J537" s="78">
        <v>0</v>
      </c>
      <c r="K537" s="78">
        <v>0</v>
      </c>
      <c r="L537" s="78">
        <v>0</v>
      </c>
      <c r="M537" s="78">
        <v>0</v>
      </c>
      <c r="N537" s="78">
        <v>0</v>
      </c>
      <c r="O537" s="78">
        <v>0</v>
      </c>
      <c r="P537" s="78">
        <v>0</v>
      </c>
      <c r="Q537" s="78">
        <f t="shared" si="8"/>
        <v>0</v>
      </c>
    </row>
    <row r="538" spans="1:17" x14ac:dyDescent="0.3">
      <c r="A538" s="177" t="s">
        <v>162</v>
      </c>
      <c r="B538" s="177" t="s">
        <v>2631</v>
      </c>
      <c r="C538" s="78" t="s">
        <v>2632</v>
      </c>
      <c r="D538" s="78">
        <v>103367.24</v>
      </c>
      <c r="E538" s="78">
        <v>0</v>
      </c>
      <c r="F538" s="78">
        <v>0</v>
      </c>
      <c r="G538" s="78">
        <v>0</v>
      </c>
      <c r="H538" s="78">
        <v>0</v>
      </c>
      <c r="I538" s="78">
        <v>0</v>
      </c>
      <c r="J538" s="78">
        <v>0</v>
      </c>
      <c r="K538" s="78">
        <v>0</v>
      </c>
      <c r="L538" s="78">
        <v>0</v>
      </c>
      <c r="M538" s="78">
        <v>0</v>
      </c>
      <c r="N538" s="78">
        <v>0</v>
      </c>
      <c r="O538" s="78">
        <v>0</v>
      </c>
      <c r="P538" s="78">
        <v>0</v>
      </c>
      <c r="Q538" s="78">
        <f t="shared" si="8"/>
        <v>0</v>
      </c>
    </row>
    <row r="539" spans="1:17" x14ac:dyDescent="0.3">
      <c r="A539" s="177" t="s">
        <v>162</v>
      </c>
      <c r="B539" s="177" t="s">
        <v>2633</v>
      </c>
      <c r="C539" s="78" t="s">
        <v>2634</v>
      </c>
      <c r="D539" s="78">
        <v>2442.14</v>
      </c>
      <c r="E539" s="78">
        <v>0</v>
      </c>
      <c r="F539" s="78">
        <v>0</v>
      </c>
      <c r="G539" s="78">
        <v>0</v>
      </c>
      <c r="H539" s="78">
        <v>0</v>
      </c>
      <c r="I539" s="78">
        <v>0</v>
      </c>
      <c r="J539" s="78">
        <v>0</v>
      </c>
      <c r="K539" s="78">
        <v>0</v>
      </c>
      <c r="L539" s="78">
        <v>0</v>
      </c>
      <c r="M539" s="78">
        <v>0</v>
      </c>
      <c r="N539" s="78">
        <v>0</v>
      </c>
      <c r="O539" s="78">
        <v>0</v>
      </c>
      <c r="P539" s="78">
        <v>0</v>
      </c>
      <c r="Q539" s="78">
        <f t="shared" si="8"/>
        <v>0</v>
      </c>
    </row>
    <row r="540" spans="1:17" x14ac:dyDescent="0.3">
      <c r="A540" s="177" t="s">
        <v>162</v>
      </c>
      <c r="B540" s="177" t="s">
        <v>2635</v>
      </c>
      <c r="C540" s="78" t="s">
        <v>2636</v>
      </c>
      <c r="D540" s="78">
        <v>1950.71</v>
      </c>
      <c r="E540" s="78">
        <v>0</v>
      </c>
      <c r="F540" s="78">
        <v>0</v>
      </c>
      <c r="G540" s="78">
        <v>0</v>
      </c>
      <c r="H540" s="78">
        <v>0</v>
      </c>
      <c r="I540" s="78">
        <v>0</v>
      </c>
      <c r="J540" s="78">
        <v>0</v>
      </c>
      <c r="K540" s="78">
        <v>0</v>
      </c>
      <c r="L540" s="78">
        <v>0</v>
      </c>
      <c r="M540" s="78">
        <v>0</v>
      </c>
      <c r="N540" s="78">
        <v>0</v>
      </c>
      <c r="O540" s="78">
        <v>0</v>
      </c>
      <c r="P540" s="78">
        <v>0</v>
      </c>
      <c r="Q540" s="78">
        <f t="shared" si="8"/>
        <v>0</v>
      </c>
    </row>
    <row r="541" spans="1:17" x14ac:dyDescent="0.3">
      <c r="A541" s="177" t="s">
        <v>162</v>
      </c>
      <c r="B541" s="177" t="s">
        <v>2637</v>
      </c>
      <c r="C541" s="78" t="s">
        <v>2638</v>
      </c>
      <c r="D541" s="78">
        <v>1480.65</v>
      </c>
      <c r="E541" s="78">
        <v>0</v>
      </c>
      <c r="F541" s="78">
        <v>0</v>
      </c>
      <c r="G541" s="78">
        <v>0</v>
      </c>
      <c r="H541" s="78">
        <v>0</v>
      </c>
      <c r="I541" s="78">
        <v>0</v>
      </c>
      <c r="J541" s="78">
        <v>0</v>
      </c>
      <c r="K541" s="78">
        <v>0</v>
      </c>
      <c r="L541" s="78">
        <v>0</v>
      </c>
      <c r="M541" s="78">
        <v>0</v>
      </c>
      <c r="N541" s="78">
        <v>0</v>
      </c>
      <c r="O541" s="78">
        <v>0</v>
      </c>
      <c r="P541" s="78">
        <v>0</v>
      </c>
      <c r="Q541" s="78">
        <f t="shared" si="8"/>
        <v>0</v>
      </c>
    </row>
    <row r="542" spans="1:17" x14ac:dyDescent="0.3">
      <c r="A542" s="177" t="s">
        <v>162</v>
      </c>
      <c r="B542" s="177" t="s">
        <v>2639</v>
      </c>
      <c r="C542" s="78" t="s">
        <v>2640</v>
      </c>
      <c r="D542" s="78">
        <v>30236.09</v>
      </c>
      <c r="E542" s="78">
        <v>0</v>
      </c>
      <c r="F542" s="78">
        <v>0</v>
      </c>
      <c r="G542" s="78">
        <v>0</v>
      </c>
      <c r="H542" s="78">
        <v>0</v>
      </c>
      <c r="I542" s="78">
        <v>0</v>
      </c>
      <c r="J542" s="78">
        <v>0</v>
      </c>
      <c r="K542" s="78">
        <v>0</v>
      </c>
      <c r="L542" s="78">
        <v>0</v>
      </c>
      <c r="M542" s="78">
        <v>0</v>
      </c>
      <c r="N542" s="78">
        <v>0</v>
      </c>
      <c r="O542" s="78">
        <v>0</v>
      </c>
      <c r="P542" s="78">
        <v>0</v>
      </c>
      <c r="Q542" s="78">
        <f t="shared" si="8"/>
        <v>0</v>
      </c>
    </row>
    <row r="543" spans="1:17" x14ac:dyDescent="0.3">
      <c r="A543" s="177" t="s">
        <v>162</v>
      </c>
      <c r="B543" s="177" t="s">
        <v>2641</v>
      </c>
      <c r="C543" s="78" t="s">
        <v>2642</v>
      </c>
      <c r="D543" s="78">
        <v>47310.96</v>
      </c>
      <c r="E543" s="78">
        <v>0</v>
      </c>
      <c r="F543" s="78">
        <v>0</v>
      </c>
      <c r="G543" s="78">
        <v>0</v>
      </c>
      <c r="H543" s="78">
        <v>0</v>
      </c>
      <c r="I543" s="78">
        <v>0</v>
      </c>
      <c r="J543" s="78">
        <v>0</v>
      </c>
      <c r="K543" s="78">
        <v>0</v>
      </c>
      <c r="L543" s="78">
        <v>0</v>
      </c>
      <c r="M543" s="78">
        <v>0</v>
      </c>
      <c r="N543" s="78">
        <v>0</v>
      </c>
      <c r="O543" s="78">
        <v>0</v>
      </c>
      <c r="P543" s="78">
        <v>0</v>
      </c>
      <c r="Q543" s="78">
        <f t="shared" si="8"/>
        <v>0</v>
      </c>
    </row>
    <row r="544" spans="1:17" x14ac:dyDescent="0.3">
      <c r="A544" s="177" t="s">
        <v>162</v>
      </c>
      <c r="B544" s="177" t="s">
        <v>2643</v>
      </c>
      <c r="C544" s="78" t="s">
        <v>2644</v>
      </c>
      <c r="D544" s="78">
        <v>-97143.51</v>
      </c>
      <c r="E544" s="78">
        <v>0</v>
      </c>
      <c r="F544" s="78">
        <v>0</v>
      </c>
      <c r="G544" s="78">
        <v>0</v>
      </c>
      <c r="H544" s="78">
        <v>0</v>
      </c>
      <c r="I544" s="78">
        <v>0</v>
      </c>
      <c r="J544" s="78">
        <v>0</v>
      </c>
      <c r="K544" s="78">
        <v>0</v>
      </c>
      <c r="L544" s="78">
        <v>0</v>
      </c>
      <c r="M544" s="78">
        <v>0</v>
      </c>
      <c r="N544" s="78">
        <v>0</v>
      </c>
      <c r="O544" s="78">
        <v>0</v>
      </c>
      <c r="P544" s="78">
        <v>0</v>
      </c>
      <c r="Q544" s="78">
        <f t="shared" si="8"/>
        <v>0</v>
      </c>
    </row>
    <row r="545" spans="1:17" x14ac:dyDescent="0.3">
      <c r="A545" s="177" t="s">
        <v>162</v>
      </c>
      <c r="B545" s="177" t="s">
        <v>2645</v>
      </c>
      <c r="C545" s="78" t="s">
        <v>2646</v>
      </c>
      <c r="D545" s="78">
        <v>122599.54</v>
      </c>
      <c r="E545" s="78">
        <v>0</v>
      </c>
      <c r="F545" s="78">
        <v>0</v>
      </c>
      <c r="G545" s="78">
        <v>0</v>
      </c>
      <c r="H545" s="78">
        <v>0</v>
      </c>
      <c r="I545" s="78">
        <v>0</v>
      </c>
      <c r="J545" s="78">
        <v>0</v>
      </c>
      <c r="K545" s="78">
        <v>0</v>
      </c>
      <c r="L545" s="78">
        <v>0</v>
      </c>
      <c r="M545" s="78">
        <v>0</v>
      </c>
      <c r="N545" s="78">
        <v>0</v>
      </c>
      <c r="O545" s="78">
        <v>0</v>
      </c>
      <c r="P545" s="78">
        <v>0</v>
      </c>
      <c r="Q545" s="78">
        <f t="shared" si="8"/>
        <v>0</v>
      </c>
    </row>
    <row r="546" spans="1:17" x14ac:dyDescent="0.3">
      <c r="A546" s="177" t="s">
        <v>162</v>
      </c>
      <c r="B546" s="177" t="s">
        <v>2647</v>
      </c>
      <c r="C546" s="78" t="s">
        <v>2648</v>
      </c>
      <c r="D546" s="78">
        <v>15183.33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f t="shared" si="8"/>
        <v>0</v>
      </c>
    </row>
    <row r="547" spans="1:17" x14ac:dyDescent="0.3">
      <c r="A547" s="177" t="s">
        <v>162</v>
      </c>
      <c r="B547" s="177" t="s">
        <v>2649</v>
      </c>
      <c r="C547" s="78" t="s">
        <v>2650</v>
      </c>
      <c r="D547" s="78">
        <v>15140.65</v>
      </c>
      <c r="E547" s="78">
        <v>0</v>
      </c>
      <c r="F547" s="78">
        <v>0</v>
      </c>
      <c r="G547" s="78">
        <v>0</v>
      </c>
      <c r="H547" s="78">
        <v>0</v>
      </c>
      <c r="I547" s="78">
        <v>0</v>
      </c>
      <c r="J547" s="78">
        <v>0</v>
      </c>
      <c r="K547" s="78">
        <v>0</v>
      </c>
      <c r="L547" s="78">
        <v>0</v>
      </c>
      <c r="M547" s="78">
        <v>0</v>
      </c>
      <c r="N547" s="78">
        <v>0</v>
      </c>
      <c r="O547" s="78">
        <v>0</v>
      </c>
      <c r="P547" s="78">
        <v>0</v>
      </c>
      <c r="Q547" s="78">
        <f t="shared" si="8"/>
        <v>0</v>
      </c>
    </row>
    <row r="548" spans="1:17" x14ac:dyDescent="0.3">
      <c r="A548" s="177" t="s">
        <v>162</v>
      </c>
      <c r="B548" s="177" t="s">
        <v>2651</v>
      </c>
      <c r="C548" s="78" t="s">
        <v>2652</v>
      </c>
      <c r="D548" s="78">
        <v>51917.96</v>
      </c>
      <c r="E548" s="78">
        <v>0</v>
      </c>
      <c r="F548" s="78">
        <v>0</v>
      </c>
      <c r="G548" s="78">
        <v>0</v>
      </c>
      <c r="H548" s="78">
        <v>0</v>
      </c>
      <c r="I548" s="78">
        <v>0</v>
      </c>
      <c r="J548" s="78">
        <v>0</v>
      </c>
      <c r="K548" s="78">
        <v>0</v>
      </c>
      <c r="L548" s="78">
        <v>0</v>
      </c>
      <c r="M548" s="78">
        <v>0</v>
      </c>
      <c r="N548" s="78">
        <v>0</v>
      </c>
      <c r="O548" s="78">
        <v>0</v>
      </c>
      <c r="P548" s="78">
        <v>0</v>
      </c>
      <c r="Q548" s="78">
        <f t="shared" si="8"/>
        <v>0</v>
      </c>
    </row>
    <row r="549" spans="1:17" x14ac:dyDescent="0.3">
      <c r="A549" s="177" t="s">
        <v>162</v>
      </c>
      <c r="B549" s="177" t="s">
        <v>2653</v>
      </c>
      <c r="C549" s="78" t="s">
        <v>2654</v>
      </c>
      <c r="D549" s="78">
        <v>1466.57</v>
      </c>
      <c r="E549" s="78">
        <v>0</v>
      </c>
      <c r="F549" s="78">
        <v>0</v>
      </c>
      <c r="G549" s="78">
        <v>0</v>
      </c>
      <c r="H549" s="78">
        <v>0</v>
      </c>
      <c r="I549" s="78">
        <v>0</v>
      </c>
      <c r="J549" s="78">
        <v>0</v>
      </c>
      <c r="K549" s="78">
        <v>0</v>
      </c>
      <c r="L549" s="78">
        <v>0</v>
      </c>
      <c r="M549" s="78">
        <v>0</v>
      </c>
      <c r="N549" s="78">
        <v>0</v>
      </c>
      <c r="O549" s="78">
        <v>0</v>
      </c>
      <c r="P549" s="78">
        <v>0</v>
      </c>
      <c r="Q549" s="78">
        <f t="shared" si="8"/>
        <v>0</v>
      </c>
    </row>
    <row r="550" spans="1:17" x14ac:dyDescent="0.3">
      <c r="A550" s="177" t="s">
        <v>162</v>
      </c>
      <c r="B550" s="177" t="s">
        <v>2655</v>
      </c>
      <c r="C550" s="78" t="s">
        <v>2656</v>
      </c>
      <c r="D550" s="78">
        <v>232280.86</v>
      </c>
      <c r="E550" s="78">
        <v>2512.0833333</v>
      </c>
      <c r="F550" s="78">
        <v>2512.0833333</v>
      </c>
      <c r="G550" s="78">
        <v>2512.0833333</v>
      </c>
      <c r="H550" s="78">
        <v>2512.0833333</v>
      </c>
      <c r="I550" s="78">
        <v>2512.0833333</v>
      </c>
      <c r="J550" s="78">
        <v>2576.6666666000001</v>
      </c>
      <c r="K550" s="78">
        <v>2576.6666666000001</v>
      </c>
      <c r="L550" s="78">
        <v>2576.6666666000001</v>
      </c>
      <c r="M550" s="78">
        <v>2576.6666666000001</v>
      </c>
      <c r="N550" s="78">
        <v>8262.6666666000001</v>
      </c>
      <c r="O550" s="78">
        <v>2576.6666666000001</v>
      </c>
      <c r="P550" s="78">
        <v>2576.6666666000001</v>
      </c>
      <c r="Q550" s="78">
        <f t="shared" si="8"/>
        <v>36283.083332700007</v>
      </c>
    </row>
    <row r="551" spans="1:17" x14ac:dyDescent="0.3">
      <c r="A551" s="177" t="s">
        <v>162</v>
      </c>
      <c r="B551" s="177" t="s">
        <v>2657</v>
      </c>
      <c r="C551" s="78" t="s">
        <v>2658</v>
      </c>
      <c r="D551" s="78">
        <v>23271.31</v>
      </c>
      <c r="E551" s="78">
        <v>0</v>
      </c>
      <c r="F551" s="78">
        <v>0</v>
      </c>
      <c r="G551" s="78">
        <v>0</v>
      </c>
      <c r="H551" s="78">
        <v>0</v>
      </c>
      <c r="I551" s="78">
        <v>0</v>
      </c>
      <c r="J551" s="78">
        <v>0</v>
      </c>
      <c r="K551" s="78">
        <v>0</v>
      </c>
      <c r="L551" s="78">
        <v>0</v>
      </c>
      <c r="M551" s="78">
        <v>0</v>
      </c>
      <c r="N551" s="78">
        <v>0</v>
      </c>
      <c r="O551" s="78">
        <v>0</v>
      </c>
      <c r="P551" s="78">
        <v>0</v>
      </c>
      <c r="Q551" s="78">
        <f t="shared" si="8"/>
        <v>0</v>
      </c>
    </row>
    <row r="552" spans="1:17" x14ac:dyDescent="0.3">
      <c r="A552" s="177" t="s">
        <v>162</v>
      </c>
      <c r="B552" s="177" t="s">
        <v>2659</v>
      </c>
      <c r="C552" s="78" t="s">
        <v>2660</v>
      </c>
      <c r="D552" s="78">
        <v>135837.13</v>
      </c>
      <c r="E552" s="78">
        <v>0</v>
      </c>
      <c r="F552" s="78">
        <v>0</v>
      </c>
      <c r="G552" s="78">
        <v>0</v>
      </c>
      <c r="H552" s="78">
        <v>0</v>
      </c>
      <c r="I552" s="78">
        <v>0</v>
      </c>
      <c r="J552" s="78">
        <v>0</v>
      </c>
      <c r="K552" s="78">
        <v>0</v>
      </c>
      <c r="L552" s="78">
        <v>0</v>
      </c>
      <c r="M552" s="78">
        <v>0</v>
      </c>
      <c r="N552" s="78">
        <v>0</v>
      </c>
      <c r="O552" s="78">
        <v>0</v>
      </c>
      <c r="P552" s="78">
        <v>0</v>
      </c>
      <c r="Q552" s="78">
        <f t="shared" si="8"/>
        <v>0</v>
      </c>
    </row>
    <row r="553" spans="1:17" x14ac:dyDescent="0.3">
      <c r="A553" s="177" t="s">
        <v>162</v>
      </c>
      <c r="B553" s="177" t="s">
        <v>2661</v>
      </c>
      <c r="C553" s="78" t="s">
        <v>2662</v>
      </c>
      <c r="D553" s="78">
        <v>6412.85</v>
      </c>
      <c r="E553" s="78">
        <v>0</v>
      </c>
      <c r="F553" s="78">
        <v>0</v>
      </c>
      <c r="G553" s="78">
        <v>0</v>
      </c>
      <c r="H553" s="78">
        <v>0</v>
      </c>
      <c r="I553" s="78">
        <v>0</v>
      </c>
      <c r="J553" s="78">
        <v>0</v>
      </c>
      <c r="K553" s="78">
        <v>0</v>
      </c>
      <c r="L553" s="78">
        <v>0</v>
      </c>
      <c r="M553" s="78">
        <v>0</v>
      </c>
      <c r="N553" s="78">
        <v>0</v>
      </c>
      <c r="O553" s="78">
        <v>0</v>
      </c>
      <c r="P553" s="78">
        <v>0</v>
      </c>
      <c r="Q553" s="78">
        <f t="shared" si="8"/>
        <v>0</v>
      </c>
    </row>
    <row r="554" spans="1:17" x14ac:dyDescent="0.3">
      <c r="A554" s="177" t="s">
        <v>162</v>
      </c>
      <c r="B554" s="177" t="s">
        <v>2663</v>
      </c>
      <c r="C554" s="78" t="s">
        <v>2664</v>
      </c>
      <c r="D554" s="78">
        <v>-8847.74</v>
      </c>
      <c r="E554" s="78">
        <v>0</v>
      </c>
      <c r="F554" s="78">
        <v>0</v>
      </c>
      <c r="G554" s="78">
        <v>0</v>
      </c>
      <c r="H554" s="78">
        <v>0</v>
      </c>
      <c r="I554" s="78">
        <v>0</v>
      </c>
      <c r="J554" s="78">
        <v>0</v>
      </c>
      <c r="K554" s="78">
        <v>0</v>
      </c>
      <c r="L554" s="78">
        <v>0</v>
      </c>
      <c r="M554" s="78">
        <v>0</v>
      </c>
      <c r="N554" s="78">
        <v>0</v>
      </c>
      <c r="O554" s="78">
        <v>0</v>
      </c>
      <c r="P554" s="78">
        <v>0</v>
      </c>
      <c r="Q554" s="78">
        <f t="shared" si="8"/>
        <v>0</v>
      </c>
    </row>
    <row r="555" spans="1:17" x14ac:dyDescent="0.3">
      <c r="A555" s="177" t="s">
        <v>162</v>
      </c>
      <c r="B555" s="177" t="s">
        <v>2665</v>
      </c>
      <c r="C555" s="78" t="s">
        <v>2666</v>
      </c>
      <c r="D555" s="78">
        <v>-93106.71</v>
      </c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f t="shared" si="8"/>
        <v>0</v>
      </c>
    </row>
    <row r="556" spans="1:17" x14ac:dyDescent="0.3">
      <c r="A556" s="177" t="s">
        <v>162</v>
      </c>
      <c r="B556" s="177" t="s">
        <v>2667</v>
      </c>
      <c r="C556" s="78" t="s">
        <v>2668</v>
      </c>
      <c r="D556" s="78">
        <v>-233511.69</v>
      </c>
      <c r="E556" s="78">
        <v>0</v>
      </c>
      <c r="F556" s="78">
        <v>0</v>
      </c>
      <c r="G556" s="78">
        <v>0</v>
      </c>
      <c r="H556" s="78">
        <v>0</v>
      </c>
      <c r="I556" s="78">
        <v>0</v>
      </c>
      <c r="J556" s="78">
        <v>0</v>
      </c>
      <c r="K556" s="78">
        <v>0</v>
      </c>
      <c r="L556" s="78">
        <v>0</v>
      </c>
      <c r="M556" s="78">
        <v>0</v>
      </c>
      <c r="N556" s="78">
        <v>0</v>
      </c>
      <c r="O556" s="78">
        <v>0</v>
      </c>
      <c r="P556" s="78">
        <v>0</v>
      </c>
      <c r="Q556" s="78">
        <f t="shared" si="8"/>
        <v>0</v>
      </c>
    </row>
    <row r="557" spans="1:17" x14ac:dyDescent="0.3">
      <c r="A557" s="154" t="s">
        <v>162</v>
      </c>
      <c r="B557" s="154" t="s">
        <v>2669</v>
      </c>
      <c r="C557" s="154" t="s">
        <v>2670</v>
      </c>
      <c r="D557" s="154">
        <v>-256318.19</v>
      </c>
      <c r="E557" s="154">
        <v>0</v>
      </c>
      <c r="F557" s="154">
        <v>0</v>
      </c>
      <c r="G557" s="154">
        <v>0</v>
      </c>
      <c r="H557" s="154">
        <v>0</v>
      </c>
      <c r="I557" s="154">
        <v>0</v>
      </c>
      <c r="J557" s="154">
        <v>0</v>
      </c>
      <c r="K557" s="154">
        <v>0</v>
      </c>
      <c r="L557" s="154">
        <v>0</v>
      </c>
      <c r="M557" s="154">
        <v>0</v>
      </c>
      <c r="N557" s="154">
        <v>0</v>
      </c>
      <c r="O557" s="154">
        <v>0</v>
      </c>
      <c r="P557" s="154">
        <v>0</v>
      </c>
      <c r="Q557" s="78">
        <f t="shared" si="8"/>
        <v>0</v>
      </c>
    </row>
    <row r="558" spans="1:17" x14ac:dyDescent="0.3">
      <c r="A558" s="154" t="s">
        <v>162</v>
      </c>
      <c r="B558" s="154" t="s">
        <v>2671</v>
      </c>
      <c r="C558" s="154" t="s">
        <v>2672</v>
      </c>
      <c r="D558" s="154">
        <v>-535827.73</v>
      </c>
      <c r="E558" s="154">
        <v>0</v>
      </c>
      <c r="F558" s="154">
        <v>0</v>
      </c>
      <c r="G558" s="154">
        <v>-33400</v>
      </c>
      <c r="H558" s="154">
        <v>-33400</v>
      </c>
      <c r="I558" s="154">
        <v>-33400</v>
      </c>
      <c r="J558" s="154">
        <v>-33400</v>
      </c>
      <c r="K558" s="154">
        <v>-33400</v>
      </c>
      <c r="L558" s="154">
        <v>-33400</v>
      </c>
      <c r="M558" s="154">
        <v>-33400</v>
      </c>
      <c r="N558" s="154">
        <v>-33400</v>
      </c>
      <c r="O558" s="154">
        <v>-33400</v>
      </c>
      <c r="P558" s="154">
        <v>-33265</v>
      </c>
      <c r="Q558" s="78">
        <f t="shared" si="8"/>
        <v>-333865</v>
      </c>
    </row>
    <row r="559" spans="1:17" x14ac:dyDescent="0.3">
      <c r="A559" s="154" t="s">
        <v>162</v>
      </c>
      <c r="B559" s="154" t="s">
        <v>2673</v>
      </c>
      <c r="C559" s="154" t="s">
        <v>2674</v>
      </c>
      <c r="D559" s="154">
        <v>1044393.99</v>
      </c>
      <c r="E559" s="154">
        <v>0</v>
      </c>
      <c r="F559" s="154">
        <v>0</v>
      </c>
      <c r="G559" s="154">
        <v>0</v>
      </c>
      <c r="H559" s="154">
        <v>0</v>
      </c>
      <c r="I559" s="154">
        <v>0</v>
      </c>
      <c r="J559" s="154">
        <v>0</v>
      </c>
      <c r="K559" s="154">
        <v>0</v>
      </c>
      <c r="L559" s="154">
        <v>0</v>
      </c>
      <c r="M559" s="154">
        <v>0</v>
      </c>
      <c r="N559" s="154">
        <v>0</v>
      </c>
      <c r="O559" s="154">
        <v>0</v>
      </c>
      <c r="P559" s="154">
        <v>0</v>
      </c>
      <c r="Q559" s="78">
        <f t="shared" si="8"/>
        <v>0</v>
      </c>
    </row>
    <row r="560" spans="1:17" x14ac:dyDescent="0.3">
      <c r="A560" s="154" t="s">
        <v>162</v>
      </c>
      <c r="B560" s="154" t="s">
        <v>2675</v>
      </c>
      <c r="C560" s="154" t="s">
        <v>2676</v>
      </c>
      <c r="D560" s="154">
        <v>1565228</v>
      </c>
      <c r="E560" s="154">
        <v>0</v>
      </c>
      <c r="F560" s="154">
        <v>0</v>
      </c>
      <c r="G560" s="154">
        <v>0</v>
      </c>
      <c r="H560" s="154">
        <v>0</v>
      </c>
      <c r="I560" s="154">
        <v>0</v>
      </c>
      <c r="J560" s="154">
        <v>0</v>
      </c>
      <c r="K560" s="154">
        <v>0</v>
      </c>
      <c r="L560" s="154">
        <v>0</v>
      </c>
      <c r="M560" s="154">
        <v>0</v>
      </c>
      <c r="N560" s="154">
        <v>0</v>
      </c>
      <c r="O560" s="154">
        <v>0</v>
      </c>
      <c r="P560" s="154">
        <v>0</v>
      </c>
      <c r="Q560" s="78">
        <f t="shared" si="8"/>
        <v>0</v>
      </c>
    </row>
    <row r="561" spans="1:17" x14ac:dyDescent="0.3">
      <c r="A561" s="154" t="s">
        <v>162</v>
      </c>
      <c r="B561" s="154" t="s">
        <v>2677</v>
      </c>
      <c r="C561" s="154" t="s">
        <v>2678</v>
      </c>
      <c r="D561" s="154">
        <v>130273.32</v>
      </c>
      <c r="E561" s="154">
        <v>0</v>
      </c>
      <c r="F561" s="154">
        <v>0</v>
      </c>
      <c r="G561" s="154">
        <v>0</v>
      </c>
      <c r="H561" s="154">
        <v>0</v>
      </c>
      <c r="I561" s="154">
        <v>0</v>
      </c>
      <c r="J561" s="154">
        <v>0</v>
      </c>
      <c r="K561" s="154">
        <v>0</v>
      </c>
      <c r="L561" s="154">
        <v>0</v>
      </c>
      <c r="M561" s="154">
        <v>0</v>
      </c>
      <c r="N561" s="154">
        <v>0</v>
      </c>
      <c r="O561" s="154">
        <v>0</v>
      </c>
      <c r="P561" s="154">
        <v>0</v>
      </c>
      <c r="Q561" s="78">
        <f t="shared" si="8"/>
        <v>0</v>
      </c>
    </row>
    <row r="562" spans="1:17" x14ac:dyDescent="0.3">
      <c r="A562" s="154" t="s">
        <v>162</v>
      </c>
      <c r="B562" s="154" t="s">
        <v>2679</v>
      </c>
      <c r="C562" s="154" t="s">
        <v>2680</v>
      </c>
      <c r="D562" s="154">
        <v>-106572.97</v>
      </c>
      <c r="E562" s="154">
        <v>0</v>
      </c>
      <c r="F562" s="154">
        <v>0</v>
      </c>
      <c r="G562" s="154">
        <v>0</v>
      </c>
      <c r="H562" s="154">
        <v>0</v>
      </c>
      <c r="I562" s="154">
        <v>0</v>
      </c>
      <c r="J562" s="154">
        <v>0</v>
      </c>
      <c r="K562" s="154">
        <v>0</v>
      </c>
      <c r="L562" s="154">
        <v>0</v>
      </c>
      <c r="M562" s="154">
        <v>0</v>
      </c>
      <c r="N562" s="154">
        <v>0</v>
      </c>
      <c r="O562" s="154">
        <v>0</v>
      </c>
      <c r="P562" s="154">
        <v>0</v>
      </c>
      <c r="Q562" s="78">
        <f t="shared" si="8"/>
        <v>0</v>
      </c>
    </row>
    <row r="563" spans="1:17" x14ac:dyDescent="0.3">
      <c r="A563" s="154" t="s">
        <v>162</v>
      </c>
      <c r="B563" s="154" t="s">
        <v>2681</v>
      </c>
      <c r="C563" s="154" t="s">
        <v>2682</v>
      </c>
      <c r="D563" s="154">
        <v>26535</v>
      </c>
      <c r="E563" s="154">
        <v>0</v>
      </c>
      <c r="F563" s="154">
        <v>0</v>
      </c>
      <c r="G563" s="154">
        <v>0</v>
      </c>
      <c r="H563" s="154">
        <v>0</v>
      </c>
      <c r="I563" s="154">
        <v>0</v>
      </c>
      <c r="J563" s="154">
        <v>0</v>
      </c>
      <c r="K563" s="154">
        <v>0</v>
      </c>
      <c r="L563" s="154">
        <v>0</v>
      </c>
      <c r="M563" s="154">
        <v>0</v>
      </c>
      <c r="N563" s="154">
        <v>0</v>
      </c>
      <c r="O563" s="154">
        <v>0</v>
      </c>
      <c r="P563" s="154">
        <v>0</v>
      </c>
      <c r="Q563" s="78">
        <f t="shared" si="8"/>
        <v>0</v>
      </c>
    </row>
    <row r="564" spans="1:17" x14ac:dyDescent="0.3">
      <c r="A564" s="154" t="s">
        <v>162</v>
      </c>
      <c r="B564" s="154" t="s">
        <v>2683</v>
      </c>
      <c r="C564" s="154" t="s">
        <v>2684</v>
      </c>
      <c r="D564" s="154">
        <v>125963.03</v>
      </c>
      <c r="E564" s="154">
        <v>0</v>
      </c>
      <c r="F564" s="154">
        <v>0</v>
      </c>
      <c r="G564" s="154">
        <v>0</v>
      </c>
      <c r="H564" s="154">
        <v>0</v>
      </c>
      <c r="I564" s="154">
        <v>0</v>
      </c>
      <c r="J564" s="154">
        <v>0</v>
      </c>
      <c r="K564" s="154">
        <v>0</v>
      </c>
      <c r="L564" s="154">
        <v>0</v>
      </c>
      <c r="M564" s="154">
        <v>0</v>
      </c>
      <c r="N564" s="154">
        <v>0</v>
      </c>
      <c r="O564" s="154">
        <v>0</v>
      </c>
      <c r="P564" s="154">
        <v>0</v>
      </c>
      <c r="Q564" s="78">
        <f t="shared" si="8"/>
        <v>0</v>
      </c>
    </row>
    <row r="565" spans="1:17" x14ac:dyDescent="0.3">
      <c r="A565" s="154" t="s">
        <v>162</v>
      </c>
      <c r="B565" s="154" t="s">
        <v>2685</v>
      </c>
      <c r="C565" s="154" t="s">
        <v>2686</v>
      </c>
      <c r="D565" s="154">
        <v>196846.29</v>
      </c>
      <c r="E565" s="154">
        <v>0</v>
      </c>
      <c r="F565" s="154">
        <v>0</v>
      </c>
      <c r="G565" s="154">
        <v>0</v>
      </c>
      <c r="H565" s="154">
        <v>0</v>
      </c>
      <c r="I565" s="154">
        <v>0</v>
      </c>
      <c r="J565" s="154">
        <v>0</v>
      </c>
      <c r="K565" s="154">
        <v>0</v>
      </c>
      <c r="L565" s="154">
        <v>0</v>
      </c>
      <c r="M565" s="154">
        <v>0</v>
      </c>
      <c r="N565" s="154">
        <v>0</v>
      </c>
      <c r="O565" s="154">
        <v>0</v>
      </c>
      <c r="P565" s="154">
        <v>0</v>
      </c>
      <c r="Q565" s="78">
        <f t="shared" si="8"/>
        <v>0</v>
      </c>
    </row>
    <row r="566" spans="1:17" x14ac:dyDescent="0.3">
      <c r="A566" s="154" t="s">
        <v>162</v>
      </c>
      <c r="B566" s="154" t="s">
        <v>2687</v>
      </c>
      <c r="C566" s="154" t="s">
        <v>2688</v>
      </c>
      <c r="D566" s="154">
        <v>-36574.47</v>
      </c>
      <c r="E566" s="154">
        <v>0</v>
      </c>
      <c r="F566" s="154">
        <v>0</v>
      </c>
      <c r="G566" s="154">
        <v>0</v>
      </c>
      <c r="H566" s="154">
        <v>0</v>
      </c>
      <c r="I566" s="154">
        <v>0</v>
      </c>
      <c r="J566" s="154">
        <v>0</v>
      </c>
      <c r="K566" s="154">
        <v>0</v>
      </c>
      <c r="L566" s="154">
        <v>0</v>
      </c>
      <c r="M566" s="154">
        <v>0</v>
      </c>
      <c r="N566" s="154">
        <v>0</v>
      </c>
      <c r="O566" s="154">
        <v>0</v>
      </c>
      <c r="P566" s="154">
        <v>0</v>
      </c>
      <c r="Q566" s="78">
        <f t="shared" si="8"/>
        <v>0</v>
      </c>
    </row>
    <row r="567" spans="1:17" x14ac:dyDescent="0.3">
      <c r="A567" s="154" t="s">
        <v>162</v>
      </c>
      <c r="B567" s="154" t="s">
        <v>2689</v>
      </c>
      <c r="C567" s="154" t="s">
        <v>2690</v>
      </c>
      <c r="D567" s="154">
        <v>38333.33</v>
      </c>
      <c r="E567" s="154">
        <v>0</v>
      </c>
      <c r="F567" s="154">
        <v>0</v>
      </c>
      <c r="G567" s="154">
        <v>0</v>
      </c>
      <c r="H567" s="154">
        <v>0</v>
      </c>
      <c r="I567" s="154">
        <v>0</v>
      </c>
      <c r="J567" s="154">
        <v>0</v>
      </c>
      <c r="K567" s="154">
        <v>0</v>
      </c>
      <c r="L567" s="154">
        <v>0</v>
      </c>
      <c r="M567" s="154">
        <v>0</v>
      </c>
      <c r="N567" s="154">
        <v>0</v>
      </c>
      <c r="O567" s="154">
        <v>0</v>
      </c>
      <c r="P567" s="154">
        <v>0</v>
      </c>
      <c r="Q567" s="78">
        <f t="shared" si="8"/>
        <v>0</v>
      </c>
    </row>
    <row r="568" spans="1:17" x14ac:dyDescent="0.3">
      <c r="A568" s="154" t="s">
        <v>162</v>
      </c>
      <c r="B568" s="154" t="s">
        <v>2691</v>
      </c>
      <c r="C568" s="154" t="s">
        <v>2692</v>
      </c>
      <c r="D568" s="154">
        <v>38620.300000000003</v>
      </c>
      <c r="E568" s="154">
        <v>0</v>
      </c>
      <c r="F568" s="154">
        <v>0</v>
      </c>
      <c r="G568" s="154">
        <v>0</v>
      </c>
      <c r="H568" s="154">
        <v>0</v>
      </c>
      <c r="I568" s="154">
        <v>0</v>
      </c>
      <c r="J568" s="154">
        <v>0</v>
      </c>
      <c r="K568" s="154">
        <v>0</v>
      </c>
      <c r="L568" s="154">
        <v>0</v>
      </c>
      <c r="M568" s="154">
        <v>0</v>
      </c>
      <c r="N568" s="154">
        <v>0</v>
      </c>
      <c r="O568" s="154">
        <v>0</v>
      </c>
      <c r="P568" s="154">
        <v>0</v>
      </c>
      <c r="Q568" s="78">
        <f t="shared" si="8"/>
        <v>0</v>
      </c>
    </row>
    <row r="569" spans="1:17" x14ac:dyDescent="0.3">
      <c r="A569" s="154" t="s">
        <v>162</v>
      </c>
      <c r="B569" s="154" t="s">
        <v>2693</v>
      </c>
      <c r="C569" s="154" t="s">
        <v>2694</v>
      </c>
      <c r="D569" s="154">
        <v>71000</v>
      </c>
      <c r="E569" s="154">
        <v>0</v>
      </c>
      <c r="F569" s="154">
        <v>0</v>
      </c>
      <c r="G569" s="154">
        <v>0</v>
      </c>
      <c r="H569" s="154">
        <v>0</v>
      </c>
      <c r="I569" s="154">
        <v>0</v>
      </c>
      <c r="J569" s="154">
        <v>0</v>
      </c>
      <c r="K569" s="154">
        <v>0</v>
      </c>
      <c r="L569" s="154">
        <v>0</v>
      </c>
      <c r="M569" s="154">
        <v>0</v>
      </c>
      <c r="N569" s="154">
        <v>0</v>
      </c>
      <c r="O569" s="154">
        <v>0</v>
      </c>
      <c r="P569" s="154">
        <v>0</v>
      </c>
      <c r="Q569" s="78">
        <f t="shared" si="8"/>
        <v>0</v>
      </c>
    </row>
    <row r="570" spans="1:17" x14ac:dyDescent="0.3">
      <c r="A570" s="154" t="s">
        <v>162</v>
      </c>
      <c r="B570" s="154" t="s">
        <v>2695</v>
      </c>
      <c r="C570" s="154" t="s">
        <v>2696</v>
      </c>
      <c r="D570" s="154">
        <v>4254.75</v>
      </c>
      <c r="E570" s="154">
        <v>0</v>
      </c>
      <c r="F570" s="154">
        <v>0</v>
      </c>
      <c r="G570" s="154">
        <v>0</v>
      </c>
      <c r="H570" s="154">
        <v>0</v>
      </c>
      <c r="I570" s="154">
        <v>0</v>
      </c>
      <c r="J570" s="154">
        <v>0</v>
      </c>
      <c r="K570" s="154">
        <v>0</v>
      </c>
      <c r="L570" s="154">
        <v>0</v>
      </c>
      <c r="M570" s="154">
        <v>0</v>
      </c>
      <c r="N570" s="154">
        <v>0</v>
      </c>
      <c r="O570" s="154">
        <v>0</v>
      </c>
      <c r="P570" s="154">
        <v>0</v>
      </c>
      <c r="Q570" s="78">
        <f t="shared" si="8"/>
        <v>0</v>
      </c>
    </row>
    <row r="571" spans="1:17" x14ac:dyDescent="0.3">
      <c r="A571" s="154" t="s">
        <v>162</v>
      </c>
      <c r="B571" s="154" t="s">
        <v>2697</v>
      </c>
      <c r="C571" s="154" t="s">
        <v>2698</v>
      </c>
      <c r="D571" s="154">
        <v>85683</v>
      </c>
      <c r="E571" s="154">
        <v>0</v>
      </c>
      <c r="F571" s="154">
        <v>0</v>
      </c>
      <c r="G571" s="154">
        <v>0</v>
      </c>
      <c r="H571" s="154">
        <v>0</v>
      </c>
      <c r="I571" s="154">
        <v>0</v>
      </c>
      <c r="J571" s="154">
        <v>0</v>
      </c>
      <c r="K571" s="154">
        <v>0</v>
      </c>
      <c r="L571" s="154">
        <v>0</v>
      </c>
      <c r="M571" s="154">
        <v>0</v>
      </c>
      <c r="N571" s="154">
        <v>0</v>
      </c>
      <c r="O571" s="154">
        <v>0</v>
      </c>
      <c r="P571" s="154">
        <v>0</v>
      </c>
      <c r="Q571" s="78">
        <f t="shared" si="8"/>
        <v>0</v>
      </c>
    </row>
    <row r="572" spans="1:17" x14ac:dyDescent="0.3">
      <c r="A572" s="154" t="s">
        <v>162</v>
      </c>
      <c r="B572" s="154" t="s">
        <v>2699</v>
      </c>
      <c r="C572" s="154" t="s">
        <v>2700</v>
      </c>
      <c r="D572" s="154">
        <v>496016.16</v>
      </c>
      <c r="E572" s="154">
        <v>0</v>
      </c>
      <c r="F572" s="154">
        <v>0</v>
      </c>
      <c r="G572" s="154">
        <v>0</v>
      </c>
      <c r="H572" s="154">
        <v>0</v>
      </c>
      <c r="I572" s="154">
        <v>0</v>
      </c>
      <c r="J572" s="154">
        <v>0</v>
      </c>
      <c r="K572" s="154">
        <v>0</v>
      </c>
      <c r="L572" s="154">
        <v>0</v>
      </c>
      <c r="M572" s="154">
        <v>0</v>
      </c>
      <c r="N572" s="154">
        <v>0</v>
      </c>
      <c r="O572" s="154">
        <v>0</v>
      </c>
      <c r="P572" s="154">
        <v>0</v>
      </c>
      <c r="Q572" s="78">
        <f t="shared" si="8"/>
        <v>0</v>
      </c>
    </row>
    <row r="573" spans="1:17" x14ac:dyDescent="0.3">
      <c r="A573" s="154" t="s">
        <v>162</v>
      </c>
      <c r="B573" s="154" t="s">
        <v>2701</v>
      </c>
      <c r="C573" s="154" t="s">
        <v>2702</v>
      </c>
      <c r="D573" s="154">
        <v>70153.72</v>
      </c>
      <c r="E573" s="154">
        <v>0</v>
      </c>
      <c r="F573" s="154">
        <v>0</v>
      </c>
      <c r="G573" s="154">
        <v>0</v>
      </c>
      <c r="H573" s="154">
        <v>0</v>
      </c>
      <c r="I573" s="154">
        <v>0</v>
      </c>
      <c r="J573" s="154">
        <v>0</v>
      </c>
      <c r="K573" s="154">
        <v>0</v>
      </c>
      <c r="L573" s="154">
        <v>0</v>
      </c>
      <c r="M573" s="154">
        <v>0</v>
      </c>
      <c r="N573" s="154">
        <v>0</v>
      </c>
      <c r="O573" s="154">
        <v>0</v>
      </c>
      <c r="P573" s="154">
        <v>0</v>
      </c>
      <c r="Q573" s="78">
        <f t="shared" si="8"/>
        <v>0</v>
      </c>
    </row>
    <row r="574" spans="1:17" x14ac:dyDescent="0.3">
      <c r="A574" s="154" t="s">
        <v>162</v>
      </c>
      <c r="B574" s="154" t="s">
        <v>2703</v>
      </c>
      <c r="C574" s="154" t="s">
        <v>2704</v>
      </c>
      <c r="D574" s="154">
        <v>326373.77</v>
      </c>
      <c r="E574" s="154">
        <v>0</v>
      </c>
      <c r="F574" s="154">
        <v>0</v>
      </c>
      <c r="G574" s="154">
        <v>0</v>
      </c>
      <c r="H574" s="154">
        <v>0</v>
      </c>
      <c r="I574" s="154">
        <v>0</v>
      </c>
      <c r="J574" s="154">
        <v>0</v>
      </c>
      <c r="K574" s="154">
        <v>0</v>
      </c>
      <c r="L574" s="154">
        <v>0</v>
      </c>
      <c r="M574" s="154">
        <v>0</v>
      </c>
      <c r="N574" s="154">
        <v>0</v>
      </c>
      <c r="O574" s="154">
        <v>0</v>
      </c>
      <c r="P574" s="154">
        <v>0</v>
      </c>
      <c r="Q574" s="78">
        <f t="shared" si="8"/>
        <v>0</v>
      </c>
    </row>
    <row r="575" spans="1:17" x14ac:dyDescent="0.3">
      <c r="A575" s="154" t="s">
        <v>162</v>
      </c>
      <c r="B575" s="154" t="s">
        <v>2705</v>
      </c>
      <c r="C575" s="154" t="s">
        <v>2706</v>
      </c>
      <c r="D575" s="154">
        <v>2942592.81</v>
      </c>
      <c r="E575" s="154">
        <v>0</v>
      </c>
      <c r="F575" s="154">
        <v>0</v>
      </c>
      <c r="G575" s="154">
        <v>0</v>
      </c>
      <c r="H575" s="154">
        <v>0</v>
      </c>
      <c r="I575" s="154">
        <v>0</v>
      </c>
      <c r="J575" s="154">
        <v>0</v>
      </c>
      <c r="K575" s="154">
        <v>0</v>
      </c>
      <c r="L575" s="154">
        <v>0</v>
      </c>
      <c r="M575" s="154">
        <v>0</v>
      </c>
      <c r="N575" s="154">
        <v>0</v>
      </c>
      <c r="O575" s="154">
        <v>0</v>
      </c>
      <c r="P575" s="154">
        <v>0</v>
      </c>
      <c r="Q575" s="78">
        <f t="shared" si="8"/>
        <v>0</v>
      </c>
    </row>
    <row r="576" spans="1:17" x14ac:dyDescent="0.3">
      <c r="A576" s="154" t="s">
        <v>162</v>
      </c>
      <c r="B576" s="154" t="s">
        <v>2707</v>
      </c>
      <c r="C576" s="154" t="s">
        <v>2708</v>
      </c>
      <c r="D576" s="154">
        <v>4275</v>
      </c>
      <c r="E576" s="154">
        <v>0</v>
      </c>
      <c r="F576" s="154">
        <v>0</v>
      </c>
      <c r="G576" s="154">
        <v>0</v>
      </c>
      <c r="H576" s="154">
        <v>0</v>
      </c>
      <c r="I576" s="154">
        <v>0</v>
      </c>
      <c r="J576" s="154">
        <v>0</v>
      </c>
      <c r="K576" s="154">
        <v>0</v>
      </c>
      <c r="L576" s="154">
        <v>0</v>
      </c>
      <c r="M576" s="154">
        <v>0</v>
      </c>
      <c r="N576" s="154">
        <v>0</v>
      </c>
      <c r="O576" s="154">
        <v>0</v>
      </c>
      <c r="P576" s="154">
        <v>0</v>
      </c>
      <c r="Q576" s="78">
        <f t="shared" si="8"/>
        <v>0</v>
      </c>
    </row>
    <row r="577" spans="1:17" x14ac:dyDescent="0.3">
      <c r="A577" s="154" t="s">
        <v>162</v>
      </c>
      <c r="B577" s="154" t="s">
        <v>2709</v>
      </c>
      <c r="C577" s="154" t="s">
        <v>2710</v>
      </c>
      <c r="D577" s="154">
        <v>5124.78</v>
      </c>
      <c r="E577" s="154">
        <v>0</v>
      </c>
      <c r="F577" s="154">
        <v>0</v>
      </c>
      <c r="G577" s="154">
        <v>0</v>
      </c>
      <c r="H577" s="154">
        <v>0</v>
      </c>
      <c r="I577" s="154">
        <v>0</v>
      </c>
      <c r="J577" s="154">
        <v>0</v>
      </c>
      <c r="K577" s="154">
        <v>0</v>
      </c>
      <c r="L577" s="154">
        <v>0</v>
      </c>
      <c r="M577" s="154">
        <v>0</v>
      </c>
      <c r="N577" s="154">
        <v>0</v>
      </c>
      <c r="O577" s="154">
        <v>0</v>
      </c>
      <c r="P577" s="154">
        <v>0</v>
      </c>
      <c r="Q577" s="78">
        <f t="shared" si="8"/>
        <v>0</v>
      </c>
    </row>
    <row r="578" spans="1:17" x14ac:dyDescent="0.3">
      <c r="A578" s="154" t="s">
        <v>162</v>
      </c>
      <c r="B578" s="154" t="s">
        <v>2711</v>
      </c>
      <c r="C578" s="154" t="s">
        <v>2712</v>
      </c>
      <c r="D578" s="154">
        <v>-10029.9</v>
      </c>
      <c r="E578" s="154">
        <v>0</v>
      </c>
      <c r="F578" s="154">
        <v>0</v>
      </c>
      <c r="G578" s="154">
        <v>0</v>
      </c>
      <c r="H578" s="154">
        <v>0</v>
      </c>
      <c r="I578" s="154">
        <v>0</v>
      </c>
      <c r="J578" s="154">
        <v>0</v>
      </c>
      <c r="K578" s="154">
        <v>0</v>
      </c>
      <c r="L578" s="154">
        <v>0</v>
      </c>
      <c r="M578" s="154">
        <v>0</v>
      </c>
      <c r="N578" s="154">
        <v>0</v>
      </c>
      <c r="O578" s="154">
        <v>0</v>
      </c>
      <c r="P578" s="154">
        <v>0</v>
      </c>
      <c r="Q578" s="78">
        <f t="shared" si="8"/>
        <v>0</v>
      </c>
    </row>
    <row r="579" spans="1:17" x14ac:dyDescent="0.3">
      <c r="A579" s="154" t="s">
        <v>162</v>
      </c>
      <c r="B579" s="154" t="s">
        <v>2713</v>
      </c>
      <c r="C579" s="154" t="s">
        <v>2714</v>
      </c>
      <c r="D579" s="154">
        <v>2916666.67</v>
      </c>
      <c r="E579" s="154">
        <v>0</v>
      </c>
      <c r="F579" s="154">
        <v>0</v>
      </c>
      <c r="G579" s="154">
        <v>0</v>
      </c>
      <c r="H579" s="154">
        <v>0</v>
      </c>
      <c r="I579" s="154">
        <v>0</v>
      </c>
      <c r="J579" s="154">
        <v>0</v>
      </c>
      <c r="K579" s="154">
        <v>0</v>
      </c>
      <c r="L579" s="154">
        <v>0</v>
      </c>
      <c r="M579" s="154">
        <v>0</v>
      </c>
      <c r="N579" s="154">
        <v>0</v>
      </c>
      <c r="O579" s="154">
        <v>0</v>
      </c>
      <c r="P579" s="154">
        <v>0</v>
      </c>
      <c r="Q579" s="78">
        <f t="shared" si="8"/>
        <v>0</v>
      </c>
    </row>
    <row r="580" spans="1:17" x14ac:dyDescent="0.3">
      <c r="A580" s="154" t="s">
        <v>162</v>
      </c>
      <c r="B580" s="154" t="s">
        <v>2715</v>
      </c>
      <c r="C580" s="154" t="s">
        <v>2716</v>
      </c>
      <c r="D580" s="154">
        <v>-2916666.67</v>
      </c>
      <c r="E580" s="154">
        <v>0</v>
      </c>
      <c r="F580" s="154">
        <v>0</v>
      </c>
      <c r="G580" s="154">
        <v>0</v>
      </c>
      <c r="H580" s="154">
        <v>0</v>
      </c>
      <c r="I580" s="154">
        <v>0</v>
      </c>
      <c r="J580" s="154">
        <v>0</v>
      </c>
      <c r="K580" s="154">
        <v>0</v>
      </c>
      <c r="L580" s="154">
        <v>0</v>
      </c>
      <c r="M580" s="154">
        <v>0</v>
      </c>
      <c r="N580" s="154">
        <v>0</v>
      </c>
      <c r="O580" s="154">
        <v>0</v>
      </c>
      <c r="P580" s="154">
        <v>0</v>
      </c>
      <c r="Q580" s="78">
        <f t="shared" si="8"/>
        <v>0</v>
      </c>
    </row>
    <row r="581" spans="1:17" x14ac:dyDescent="0.3">
      <c r="A581" s="154" t="s">
        <v>162</v>
      </c>
      <c r="B581" s="154" t="s">
        <v>2717</v>
      </c>
      <c r="C581" s="154" t="s">
        <v>2718</v>
      </c>
      <c r="D581" s="154">
        <v>-647.78</v>
      </c>
      <c r="E581" s="154">
        <v>0</v>
      </c>
      <c r="F581" s="154">
        <v>0</v>
      </c>
      <c r="G581" s="154">
        <v>0</v>
      </c>
      <c r="H581" s="154">
        <v>0</v>
      </c>
      <c r="I581" s="154">
        <v>0</v>
      </c>
      <c r="J581" s="154">
        <v>0</v>
      </c>
      <c r="K581" s="154">
        <v>0</v>
      </c>
      <c r="L581" s="154">
        <v>0</v>
      </c>
      <c r="M581" s="154">
        <v>0</v>
      </c>
      <c r="N581" s="154">
        <v>0</v>
      </c>
      <c r="O581" s="154">
        <v>0</v>
      </c>
      <c r="P581" s="154">
        <v>0</v>
      </c>
      <c r="Q581" s="78">
        <f t="shared" si="8"/>
        <v>0</v>
      </c>
    </row>
    <row r="582" spans="1:17" x14ac:dyDescent="0.3">
      <c r="A582" s="154" t="s">
        <v>162</v>
      </c>
      <c r="B582" s="154" t="s">
        <v>2719</v>
      </c>
      <c r="C582" s="154" t="s">
        <v>2720</v>
      </c>
      <c r="D582" s="154">
        <v>8864.2900000000009</v>
      </c>
      <c r="E582" s="154">
        <v>0</v>
      </c>
      <c r="F582" s="154">
        <v>0</v>
      </c>
      <c r="G582" s="154">
        <v>0</v>
      </c>
      <c r="H582" s="154">
        <v>0</v>
      </c>
      <c r="I582" s="154">
        <v>0</v>
      </c>
      <c r="J582" s="154">
        <v>0</v>
      </c>
      <c r="K582" s="154">
        <v>0</v>
      </c>
      <c r="L582" s="154">
        <v>0</v>
      </c>
      <c r="M582" s="154">
        <v>0</v>
      </c>
      <c r="N582" s="154">
        <v>0</v>
      </c>
      <c r="O582" s="154">
        <v>0</v>
      </c>
      <c r="P582" s="154">
        <v>0</v>
      </c>
      <c r="Q582" s="78">
        <f t="shared" si="8"/>
        <v>0</v>
      </c>
    </row>
    <row r="583" spans="1:17" x14ac:dyDescent="0.3">
      <c r="A583" s="154" t="s">
        <v>162</v>
      </c>
      <c r="B583" s="154" t="s">
        <v>2721</v>
      </c>
      <c r="C583" s="154" t="s">
        <v>2722</v>
      </c>
      <c r="D583" s="154">
        <v>1447562.4</v>
      </c>
      <c r="E583" s="154">
        <v>0</v>
      </c>
      <c r="F583" s="154">
        <v>0</v>
      </c>
      <c r="G583" s="154">
        <v>0</v>
      </c>
      <c r="H583" s="154">
        <v>0</v>
      </c>
      <c r="I583" s="154">
        <v>0</v>
      </c>
      <c r="J583" s="154">
        <v>0</v>
      </c>
      <c r="K583" s="154">
        <v>0</v>
      </c>
      <c r="L583" s="154">
        <v>0</v>
      </c>
      <c r="M583" s="154">
        <v>0</v>
      </c>
      <c r="N583" s="154">
        <v>0</v>
      </c>
      <c r="O583" s="154">
        <v>0</v>
      </c>
      <c r="P583" s="154">
        <v>0</v>
      </c>
      <c r="Q583" s="78">
        <f t="shared" si="8"/>
        <v>0</v>
      </c>
    </row>
    <row r="584" spans="1:17" x14ac:dyDescent="0.3">
      <c r="A584" s="154" t="s">
        <v>162</v>
      </c>
      <c r="B584" s="154" t="s">
        <v>2723</v>
      </c>
      <c r="C584" s="154" t="s">
        <v>2724</v>
      </c>
      <c r="D584" s="154">
        <v>74565.94</v>
      </c>
      <c r="E584" s="154">
        <v>-33333.333333399998</v>
      </c>
      <c r="F584" s="154">
        <v>-33333.333333399998</v>
      </c>
      <c r="G584" s="154">
        <v>-33333.333333399998</v>
      </c>
      <c r="H584" s="154">
        <v>-33333.333333399998</v>
      </c>
      <c r="I584" s="154">
        <v>-33333.333333399998</v>
      </c>
      <c r="J584" s="154">
        <v>-33333.333333399998</v>
      </c>
      <c r="K584" s="154">
        <v>-33333.333333399998</v>
      </c>
      <c r="L584" s="154">
        <v>-33333.333333399998</v>
      </c>
      <c r="M584" s="154">
        <v>-33333.333333399998</v>
      </c>
      <c r="N584" s="154">
        <v>-33333.333333399998</v>
      </c>
      <c r="O584" s="154">
        <v>-33333.333333399998</v>
      </c>
      <c r="P584" s="154">
        <v>-33333.333333399998</v>
      </c>
      <c r="Q584" s="78">
        <f t="shared" si="8"/>
        <v>-400000.00000080006</v>
      </c>
    </row>
    <row r="585" spans="1:17" x14ac:dyDescent="0.3">
      <c r="A585" s="154" t="s">
        <v>162</v>
      </c>
      <c r="B585" s="154" t="s">
        <v>2725</v>
      </c>
      <c r="C585" s="154" t="s">
        <v>2726</v>
      </c>
      <c r="D585" s="154">
        <v>38343</v>
      </c>
      <c r="E585" s="154">
        <v>0</v>
      </c>
      <c r="F585" s="154">
        <v>0</v>
      </c>
      <c r="G585" s="154">
        <v>0</v>
      </c>
      <c r="H585" s="154">
        <v>0</v>
      </c>
      <c r="I585" s="154">
        <v>0</v>
      </c>
      <c r="J585" s="154">
        <v>0</v>
      </c>
      <c r="K585" s="154">
        <v>0</v>
      </c>
      <c r="L585" s="154">
        <v>0</v>
      </c>
      <c r="M585" s="154">
        <v>0</v>
      </c>
      <c r="N585" s="154">
        <v>0</v>
      </c>
      <c r="O585" s="154">
        <v>0</v>
      </c>
      <c r="P585" s="154">
        <v>0</v>
      </c>
      <c r="Q585" s="78">
        <f t="shared" si="8"/>
        <v>0</v>
      </c>
    </row>
    <row r="586" spans="1:17" x14ac:dyDescent="0.3">
      <c r="A586" s="154" t="s">
        <v>162</v>
      </c>
      <c r="B586" s="154" t="s">
        <v>2727</v>
      </c>
      <c r="C586" s="154" t="s">
        <v>2728</v>
      </c>
      <c r="D586" s="154">
        <v>-24938.91</v>
      </c>
      <c r="E586" s="154">
        <v>0</v>
      </c>
      <c r="F586" s="154">
        <v>0</v>
      </c>
      <c r="G586" s="154">
        <v>0</v>
      </c>
      <c r="H586" s="154">
        <v>0</v>
      </c>
      <c r="I586" s="154">
        <v>0</v>
      </c>
      <c r="J586" s="154">
        <v>0</v>
      </c>
      <c r="K586" s="154">
        <v>0</v>
      </c>
      <c r="L586" s="154">
        <v>0</v>
      </c>
      <c r="M586" s="154">
        <v>0</v>
      </c>
      <c r="N586" s="154">
        <v>0</v>
      </c>
      <c r="O586" s="154">
        <v>0</v>
      </c>
      <c r="P586" s="154">
        <v>0</v>
      </c>
      <c r="Q586" s="78">
        <f t="shared" si="8"/>
        <v>0</v>
      </c>
    </row>
    <row r="587" spans="1:17" x14ac:dyDescent="0.3">
      <c r="A587" s="154" t="s">
        <v>162</v>
      </c>
      <c r="B587" s="154" t="s">
        <v>2729</v>
      </c>
      <c r="C587" s="154" t="s">
        <v>2730</v>
      </c>
      <c r="D587" s="154">
        <v>-1689512.04</v>
      </c>
      <c r="E587" s="154">
        <v>0</v>
      </c>
      <c r="F587" s="154">
        <v>0</v>
      </c>
      <c r="G587" s="154">
        <v>0</v>
      </c>
      <c r="H587" s="154">
        <v>0</v>
      </c>
      <c r="I587" s="154">
        <v>0</v>
      </c>
      <c r="J587" s="154">
        <v>0</v>
      </c>
      <c r="K587" s="154">
        <v>0</v>
      </c>
      <c r="L587" s="154">
        <v>0</v>
      </c>
      <c r="M587" s="154">
        <v>0</v>
      </c>
      <c r="N587" s="154">
        <v>0</v>
      </c>
      <c r="O587" s="154">
        <v>0</v>
      </c>
      <c r="P587" s="154">
        <v>0</v>
      </c>
      <c r="Q587" s="78">
        <f t="shared" si="8"/>
        <v>0</v>
      </c>
    </row>
    <row r="588" spans="1:17" x14ac:dyDescent="0.3">
      <c r="A588" s="154" t="s">
        <v>162</v>
      </c>
      <c r="B588" s="154" t="s">
        <v>2731</v>
      </c>
      <c r="C588" s="154" t="s">
        <v>2732</v>
      </c>
      <c r="D588" s="154">
        <v>-10950.92</v>
      </c>
      <c r="E588" s="154">
        <v>0</v>
      </c>
      <c r="F588" s="154">
        <v>0</v>
      </c>
      <c r="G588" s="154">
        <v>0</v>
      </c>
      <c r="H588" s="154">
        <v>0</v>
      </c>
      <c r="I588" s="154">
        <v>0</v>
      </c>
      <c r="J588" s="154">
        <v>0</v>
      </c>
      <c r="K588" s="154">
        <v>0</v>
      </c>
      <c r="L588" s="154">
        <v>0</v>
      </c>
      <c r="M588" s="154">
        <v>0</v>
      </c>
      <c r="N588" s="154">
        <v>0</v>
      </c>
      <c r="O588" s="154">
        <v>0</v>
      </c>
      <c r="P588" s="154">
        <v>0</v>
      </c>
      <c r="Q588" s="78">
        <f t="shared" si="8"/>
        <v>0</v>
      </c>
    </row>
    <row r="589" spans="1:17" x14ac:dyDescent="0.3">
      <c r="A589" s="154" t="s">
        <v>162</v>
      </c>
      <c r="B589" s="154" t="s">
        <v>2733</v>
      </c>
      <c r="C589" s="154" t="s">
        <v>2734</v>
      </c>
      <c r="D589" s="154">
        <v>-683.01</v>
      </c>
      <c r="E589" s="154">
        <v>0</v>
      </c>
      <c r="F589" s="154">
        <v>0</v>
      </c>
      <c r="G589" s="154">
        <v>0</v>
      </c>
      <c r="H589" s="154">
        <v>0</v>
      </c>
      <c r="I589" s="154">
        <v>0</v>
      </c>
      <c r="J589" s="154">
        <v>0</v>
      </c>
      <c r="K589" s="154">
        <v>0</v>
      </c>
      <c r="L589" s="154">
        <v>0</v>
      </c>
      <c r="M589" s="154">
        <v>0</v>
      </c>
      <c r="N589" s="154">
        <v>0</v>
      </c>
      <c r="O589" s="154">
        <v>0</v>
      </c>
      <c r="P589" s="154">
        <v>0</v>
      </c>
      <c r="Q589" s="78">
        <f t="shared" si="8"/>
        <v>0</v>
      </c>
    </row>
    <row r="590" spans="1:17" x14ac:dyDescent="0.3">
      <c r="A590" s="154" t="s">
        <v>162</v>
      </c>
      <c r="B590" s="154" t="s">
        <v>2735</v>
      </c>
      <c r="C590" s="154" t="s">
        <v>2736</v>
      </c>
      <c r="D590" s="154">
        <v>-1040.04</v>
      </c>
      <c r="E590" s="154">
        <v>0</v>
      </c>
      <c r="F590" s="154">
        <v>0</v>
      </c>
      <c r="G590" s="154">
        <v>0</v>
      </c>
      <c r="H590" s="154">
        <v>0</v>
      </c>
      <c r="I590" s="154">
        <v>0</v>
      </c>
      <c r="J590" s="154">
        <v>0</v>
      </c>
      <c r="K590" s="154">
        <v>0</v>
      </c>
      <c r="L590" s="154">
        <v>0</v>
      </c>
      <c r="M590" s="154">
        <v>0</v>
      </c>
      <c r="N590" s="154">
        <v>0</v>
      </c>
      <c r="O590" s="154">
        <v>0</v>
      </c>
      <c r="P590" s="154">
        <v>0</v>
      </c>
      <c r="Q590" s="78">
        <f t="shared" si="8"/>
        <v>0</v>
      </c>
    </row>
    <row r="591" spans="1:17" x14ac:dyDescent="0.3">
      <c r="A591" s="154" t="s">
        <v>162</v>
      </c>
      <c r="B591" s="154" t="s">
        <v>2737</v>
      </c>
      <c r="C591" s="154" t="s">
        <v>2738</v>
      </c>
      <c r="D591" s="154">
        <v>-94854.41</v>
      </c>
      <c r="E591" s="154">
        <v>0</v>
      </c>
      <c r="F591" s="154">
        <v>0</v>
      </c>
      <c r="G591" s="154">
        <v>0</v>
      </c>
      <c r="H591" s="154">
        <v>0</v>
      </c>
      <c r="I591" s="154">
        <v>0</v>
      </c>
      <c r="J591" s="154">
        <v>0</v>
      </c>
      <c r="K591" s="154">
        <v>0</v>
      </c>
      <c r="L591" s="154">
        <v>0</v>
      </c>
      <c r="M591" s="154">
        <v>0</v>
      </c>
      <c r="N591" s="154">
        <v>0</v>
      </c>
      <c r="O591" s="154">
        <v>0</v>
      </c>
      <c r="P591" s="154">
        <v>0</v>
      </c>
      <c r="Q591" s="78">
        <f t="shared" ref="Q591:Q654" si="9">SUM(E591:P591)</f>
        <v>0</v>
      </c>
    </row>
    <row r="592" spans="1:17" x14ac:dyDescent="0.3">
      <c r="A592" s="154" t="s">
        <v>162</v>
      </c>
      <c r="B592" s="154" t="s">
        <v>2739</v>
      </c>
      <c r="C592" s="154" t="s">
        <v>2740</v>
      </c>
      <c r="D592" s="154">
        <v>-76.83</v>
      </c>
      <c r="E592" s="154">
        <v>0</v>
      </c>
      <c r="F592" s="154">
        <v>0</v>
      </c>
      <c r="G592" s="154">
        <v>0</v>
      </c>
      <c r="H592" s="154">
        <v>0</v>
      </c>
      <c r="I592" s="154">
        <v>0</v>
      </c>
      <c r="J592" s="154">
        <v>0</v>
      </c>
      <c r="K592" s="154">
        <v>0</v>
      </c>
      <c r="L592" s="154">
        <v>0</v>
      </c>
      <c r="M592" s="154">
        <v>0</v>
      </c>
      <c r="N592" s="154">
        <v>0</v>
      </c>
      <c r="O592" s="154">
        <v>0</v>
      </c>
      <c r="P592" s="154">
        <v>0</v>
      </c>
      <c r="Q592" s="78">
        <f t="shared" si="9"/>
        <v>0</v>
      </c>
    </row>
    <row r="593" spans="1:17" x14ac:dyDescent="0.3">
      <c r="A593" s="154" t="s">
        <v>162</v>
      </c>
      <c r="B593" s="154" t="s">
        <v>2741</v>
      </c>
      <c r="C593" s="154" t="s">
        <v>2742</v>
      </c>
      <c r="D593" s="154">
        <v>-2925301.48</v>
      </c>
      <c r="E593" s="154">
        <v>0</v>
      </c>
      <c r="F593" s="154">
        <v>0</v>
      </c>
      <c r="G593" s="154">
        <v>0</v>
      </c>
      <c r="H593" s="154">
        <v>0</v>
      </c>
      <c r="I593" s="154">
        <v>0</v>
      </c>
      <c r="J593" s="154">
        <v>0</v>
      </c>
      <c r="K593" s="154">
        <v>0</v>
      </c>
      <c r="L593" s="154">
        <v>0</v>
      </c>
      <c r="M593" s="154">
        <v>0</v>
      </c>
      <c r="N593" s="154">
        <v>0</v>
      </c>
      <c r="O593" s="154">
        <v>0</v>
      </c>
      <c r="P593" s="154">
        <v>0</v>
      </c>
      <c r="Q593" s="78">
        <f t="shared" si="9"/>
        <v>0</v>
      </c>
    </row>
    <row r="594" spans="1:17" x14ac:dyDescent="0.3">
      <c r="A594" s="154" t="s">
        <v>162</v>
      </c>
      <c r="B594" s="154" t="s">
        <v>2743</v>
      </c>
      <c r="C594" s="154" t="s">
        <v>2744</v>
      </c>
      <c r="D594" s="154">
        <v>2727633.87</v>
      </c>
      <c r="E594" s="154">
        <v>2924357.7</v>
      </c>
      <c r="F594" s="154">
        <v>2958305.79</v>
      </c>
      <c r="G594" s="154">
        <v>3006317.94</v>
      </c>
      <c r="H594" s="154">
        <v>3036018.78</v>
      </c>
      <c r="I594" s="154">
        <v>3035085.72</v>
      </c>
      <c r="J594" s="154">
        <v>2994472.41</v>
      </c>
      <c r="K594" s="154">
        <v>2999694.7</v>
      </c>
      <c r="L594" s="154">
        <v>2999782.31</v>
      </c>
      <c r="M594" s="154">
        <v>2994013.11</v>
      </c>
      <c r="N594" s="154">
        <v>3071434.61</v>
      </c>
      <c r="O594" s="154">
        <v>3081532.58</v>
      </c>
      <c r="P594" s="154">
        <v>3093224.64</v>
      </c>
      <c r="Q594" s="78">
        <f t="shared" si="9"/>
        <v>36194240.289999999</v>
      </c>
    </row>
    <row r="595" spans="1:17" x14ac:dyDescent="0.3">
      <c r="A595" s="154" t="s">
        <v>162</v>
      </c>
      <c r="B595" s="154" t="s">
        <v>2745</v>
      </c>
      <c r="C595" s="154" t="s">
        <v>2746</v>
      </c>
      <c r="D595" s="154">
        <v>15479.11</v>
      </c>
      <c r="E595" s="154">
        <v>15479.11</v>
      </c>
      <c r="F595" s="154">
        <v>15479.11</v>
      </c>
      <c r="G595" s="154">
        <v>15479.11</v>
      </c>
      <c r="H595" s="154">
        <v>15479.11</v>
      </c>
      <c r="I595" s="154">
        <v>15479.11</v>
      </c>
      <c r="J595" s="154">
        <v>15479.11</v>
      </c>
      <c r="K595" s="154">
        <v>15479.11</v>
      </c>
      <c r="L595" s="154">
        <v>15479.11</v>
      </c>
      <c r="M595" s="154">
        <v>15479.11</v>
      </c>
      <c r="N595" s="154">
        <v>15479.11</v>
      </c>
      <c r="O595" s="154">
        <v>15479.11</v>
      </c>
      <c r="P595" s="154">
        <v>15479.11</v>
      </c>
      <c r="Q595" s="78">
        <f t="shared" si="9"/>
        <v>185749.31999999995</v>
      </c>
    </row>
    <row r="596" spans="1:17" x14ac:dyDescent="0.3">
      <c r="A596" s="154" t="s">
        <v>162</v>
      </c>
      <c r="B596" s="154" t="s">
        <v>2747</v>
      </c>
      <c r="C596" s="154" t="s">
        <v>2748</v>
      </c>
      <c r="D596" s="154">
        <v>4246.63</v>
      </c>
      <c r="E596" s="154">
        <v>4246.62</v>
      </c>
      <c r="F596" s="154">
        <v>4246.62</v>
      </c>
      <c r="G596" s="154">
        <v>4246.62</v>
      </c>
      <c r="H596" s="154">
        <v>4246.62</v>
      </c>
      <c r="I596" s="154">
        <v>4246.62</v>
      </c>
      <c r="J596" s="154">
        <v>4246.62</v>
      </c>
      <c r="K596" s="154">
        <v>4246.62</v>
      </c>
      <c r="L596" s="154">
        <v>4246.62</v>
      </c>
      <c r="M596" s="154">
        <v>4246.62</v>
      </c>
      <c r="N596" s="154">
        <v>4246.62</v>
      </c>
      <c r="O596" s="154">
        <v>4246.62</v>
      </c>
      <c r="P596" s="154">
        <v>4246.62</v>
      </c>
      <c r="Q596" s="78">
        <f t="shared" si="9"/>
        <v>50959.44000000001</v>
      </c>
    </row>
    <row r="597" spans="1:17" x14ac:dyDescent="0.3">
      <c r="A597" s="154" t="s">
        <v>162</v>
      </c>
      <c r="B597" s="154" t="s">
        <v>2749</v>
      </c>
      <c r="C597" s="154" t="s">
        <v>2750</v>
      </c>
      <c r="D597" s="154">
        <v>38193.43</v>
      </c>
      <c r="E597" s="154">
        <v>0</v>
      </c>
      <c r="F597" s="154">
        <v>0</v>
      </c>
      <c r="G597" s="154">
        <v>0</v>
      </c>
      <c r="H597" s="154">
        <v>0</v>
      </c>
      <c r="I597" s="154">
        <v>0</v>
      </c>
      <c r="J597" s="154">
        <v>0</v>
      </c>
      <c r="K597" s="154">
        <v>0</v>
      </c>
      <c r="L597" s="154">
        <v>0</v>
      </c>
      <c r="M597" s="154">
        <v>0</v>
      </c>
      <c r="N597" s="154">
        <v>0</v>
      </c>
      <c r="O597" s="154">
        <v>0</v>
      </c>
      <c r="P597" s="154">
        <v>0</v>
      </c>
      <c r="Q597" s="78">
        <f t="shared" si="9"/>
        <v>0</v>
      </c>
    </row>
    <row r="598" spans="1:17" x14ac:dyDescent="0.3">
      <c r="A598" s="154" t="s">
        <v>162</v>
      </c>
      <c r="B598" s="154" t="s">
        <v>2751</v>
      </c>
      <c r="C598" s="154" t="s">
        <v>2752</v>
      </c>
      <c r="D598" s="154">
        <v>31288969.07</v>
      </c>
      <c r="E598" s="154">
        <v>32372743.09</v>
      </c>
      <c r="F598" s="154">
        <v>32545957.460000001</v>
      </c>
      <c r="G598" s="154">
        <v>32736270.27</v>
      </c>
      <c r="H598" s="154">
        <v>32911821.920000002</v>
      </c>
      <c r="I598" s="154">
        <v>33033099.25</v>
      </c>
      <c r="J598" s="154">
        <v>33356391.57</v>
      </c>
      <c r="K598" s="154">
        <v>33523983.870000001</v>
      </c>
      <c r="L598" s="154">
        <v>33605518.43</v>
      </c>
      <c r="M598" s="154">
        <v>33693160.140000001</v>
      </c>
      <c r="N598" s="154">
        <v>33952395.170000002</v>
      </c>
      <c r="O598" s="154">
        <v>34042316.93</v>
      </c>
      <c r="P598" s="154">
        <v>34110365.759999998</v>
      </c>
      <c r="Q598" s="78">
        <f t="shared" si="9"/>
        <v>399884023.86000001</v>
      </c>
    </row>
    <row r="599" spans="1:17" x14ac:dyDescent="0.3">
      <c r="A599" s="154" t="s">
        <v>162</v>
      </c>
      <c r="B599" s="154" t="s">
        <v>2753</v>
      </c>
      <c r="C599" s="154" t="s">
        <v>2754</v>
      </c>
      <c r="D599" s="154">
        <v>-1402841.66</v>
      </c>
      <c r="E599" s="154">
        <v>1040.0999999999999</v>
      </c>
      <c r="F599" s="154">
        <v>1040.0999999999999</v>
      </c>
      <c r="G599" s="154">
        <v>1040.0999999999999</v>
      </c>
      <c r="H599" s="154">
        <v>1040.0999999999999</v>
      </c>
      <c r="I599" s="154">
        <v>1040.0999999999999</v>
      </c>
      <c r="J599" s="154">
        <v>1040.0999999999999</v>
      </c>
      <c r="K599" s="154">
        <v>3240.1</v>
      </c>
      <c r="L599" s="154">
        <v>3790.1</v>
      </c>
      <c r="M599" s="154">
        <v>5985.49</v>
      </c>
      <c r="N599" s="154">
        <v>6169.47</v>
      </c>
      <c r="O599" s="154">
        <v>6353.46</v>
      </c>
      <c r="P599" s="154">
        <v>6644.6</v>
      </c>
      <c r="Q599" s="78">
        <f t="shared" si="9"/>
        <v>38423.82</v>
      </c>
    </row>
    <row r="600" spans="1:17" x14ac:dyDescent="0.3">
      <c r="A600" s="154" t="s">
        <v>162</v>
      </c>
      <c r="B600" s="154" t="s">
        <v>2755</v>
      </c>
      <c r="C600" s="154" t="s">
        <v>2756</v>
      </c>
      <c r="D600" s="154">
        <v>618243</v>
      </c>
      <c r="E600" s="154">
        <v>0</v>
      </c>
      <c r="F600" s="154">
        <v>0</v>
      </c>
      <c r="G600" s="154">
        <v>0</v>
      </c>
      <c r="H600" s="154">
        <v>0</v>
      </c>
      <c r="I600" s="154">
        <v>0</v>
      </c>
      <c r="J600" s="154">
        <v>0</v>
      </c>
      <c r="K600" s="154">
        <v>0</v>
      </c>
      <c r="L600" s="154">
        <v>0</v>
      </c>
      <c r="M600" s="154">
        <v>0</v>
      </c>
      <c r="N600" s="154">
        <v>0</v>
      </c>
      <c r="O600" s="154">
        <v>0</v>
      </c>
      <c r="P600" s="154">
        <v>0</v>
      </c>
      <c r="Q600" s="78">
        <f t="shared" si="9"/>
        <v>0</v>
      </c>
    </row>
    <row r="601" spans="1:17" x14ac:dyDescent="0.3">
      <c r="A601" s="154" t="s">
        <v>162</v>
      </c>
      <c r="B601" s="154" t="s">
        <v>2757</v>
      </c>
      <c r="C601" s="154" t="s">
        <v>2758</v>
      </c>
      <c r="D601" s="154">
        <v>667895.25</v>
      </c>
      <c r="E601" s="154">
        <v>667895.25</v>
      </c>
      <c r="F601" s="154">
        <v>667895.25</v>
      </c>
      <c r="G601" s="154">
        <v>667895.25</v>
      </c>
      <c r="H601" s="154">
        <v>667895.25</v>
      </c>
      <c r="I601" s="154">
        <v>667895.25</v>
      </c>
      <c r="J601" s="154">
        <v>667895.25</v>
      </c>
      <c r="K601" s="154">
        <v>667895.25</v>
      </c>
      <c r="L601" s="154">
        <v>667895.25</v>
      </c>
      <c r="M601" s="154">
        <v>667895.25</v>
      </c>
      <c r="N601" s="154">
        <v>667895.25</v>
      </c>
      <c r="O601" s="154">
        <v>667895.25</v>
      </c>
      <c r="P601" s="154">
        <v>667895.25</v>
      </c>
      <c r="Q601" s="78">
        <f t="shared" si="9"/>
        <v>8014743</v>
      </c>
    </row>
    <row r="602" spans="1:17" x14ac:dyDescent="0.3">
      <c r="A602" s="154" t="s">
        <v>162</v>
      </c>
      <c r="B602" s="154" t="s">
        <v>2759</v>
      </c>
      <c r="C602" s="154" t="s">
        <v>2760</v>
      </c>
      <c r="D602" s="154">
        <v>375621.55</v>
      </c>
      <c r="E602" s="154">
        <v>0</v>
      </c>
      <c r="F602" s="154">
        <v>0</v>
      </c>
      <c r="G602" s="154">
        <v>0</v>
      </c>
      <c r="H602" s="154">
        <v>0</v>
      </c>
      <c r="I602" s="154">
        <v>0</v>
      </c>
      <c r="J602" s="154">
        <v>0</v>
      </c>
      <c r="K602" s="154">
        <v>0</v>
      </c>
      <c r="L602" s="154">
        <v>0</v>
      </c>
      <c r="M602" s="154">
        <v>0</v>
      </c>
      <c r="N602" s="154">
        <v>0</v>
      </c>
      <c r="O602" s="154">
        <v>0</v>
      </c>
      <c r="P602" s="154">
        <v>0</v>
      </c>
      <c r="Q602" s="78">
        <f t="shared" si="9"/>
        <v>0</v>
      </c>
    </row>
    <row r="603" spans="1:17" x14ac:dyDescent="0.3">
      <c r="A603" s="154" t="s">
        <v>162</v>
      </c>
      <c r="B603" s="154" t="s">
        <v>2761</v>
      </c>
      <c r="C603" s="154" t="s">
        <v>2762</v>
      </c>
      <c r="D603" s="154">
        <v>69808.89</v>
      </c>
      <c r="E603" s="154">
        <v>0</v>
      </c>
      <c r="F603" s="154">
        <v>0</v>
      </c>
      <c r="G603" s="154">
        <v>0</v>
      </c>
      <c r="H603" s="154">
        <v>0</v>
      </c>
      <c r="I603" s="154">
        <v>0</v>
      </c>
      <c r="J603" s="154">
        <v>0</v>
      </c>
      <c r="K603" s="154">
        <v>0</v>
      </c>
      <c r="L603" s="154">
        <v>0</v>
      </c>
      <c r="M603" s="154">
        <v>0</v>
      </c>
      <c r="N603" s="154">
        <v>0</v>
      </c>
      <c r="O603" s="154">
        <v>0</v>
      </c>
      <c r="P603" s="154">
        <v>0</v>
      </c>
      <c r="Q603" s="78">
        <f t="shared" si="9"/>
        <v>0</v>
      </c>
    </row>
    <row r="604" spans="1:17" x14ac:dyDescent="0.3">
      <c r="A604" s="154" t="s">
        <v>162</v>
      </c>
      <c r="B604" s="154" t="s">
        <v>2763</v>
      </c>
      <c r="C604" s="154" t="s">
        <v>2764</v>
      </c>
      <c r="D604" s="154">
        <v>5054472.76</v>
      </c>
      <c r="E604" s="154">
        <v>0</v>
      </c>
      <c r="F604" s="154">
        <v>0</v>
      </c>
      <c r="G604" s="154">
        <v>0</v>
      </c>
      <c r="H604" s="154">
        <v>0</v>
      </c>
      <c r="I604" s="154">
        <v>0</v>
      </c>
      <c r="J604" s="154">
        <v>0</v>
      </c>
      <c r="K604" s="154">
        <v>0</v>
      </c>
      <c r="L604" s="154">
        <v>0</v>
      </c>
      <c r="M604" s="154">
        <v>0</v>
      </c>
      <c r="N604" s="154">
        <v>0</v>
      </c>
      <c r="O604" s="154">
        <v>0</v>
      </c>
      <c r="P604" s="154">
        <v>0</v>
      </c>
      <c r="Q604" s="78">
        <f t="shared" si="9"/>
        <v>0</v>
      </c>
    </row>
    <row r="605" spans="1:17" x14ac:dyDescent="0.3">
      <c r="A605" s="154" t="s">
        <v>162</v>
      </c>
      <c r="B605" s="154" t="s">
        <v>2765</v>
      </c>
      <c r="C605" s="154" t="s">
        <v>2766</v>
      </c>
      <c r="D605" s="154">
        <v>5098883.93</v>
      </c>
      <c r="E605" s="154">
        <v>-19314.8939556</v>
      </c>
      <c r="F605" s="154">
        <v>-19314.8939556</v>
      </c>
      <c r="G605" s="154">
        <v>-19314.8939556</v>
      </c>
      <c r="H605" s="154">
        <v>-19314.8939556</v>
      </c>
      <c r="I605" s="154">
        <v>-19314.8939556</v>
      </c>
      <c r="J605" s="154">
        <v>-19314.8939556</v>
      </c>
      <c r="K605" s="154">
        <v>-19314.8939556</v>
      </c>
      <c r="L605" s="154">
        <v>-19314.8939556</v>
      </c>
      <c r="M605" s="154">
        <v>-19314.8939556</v>
      </c>
      <c r="N605" s="154">
        <v>-19314.8939556</v>
      </c>
      <c r="O605" s="154">
        <v>-19314.8939556</v>
      </c>
      <c r="P605" s="154">
        <v>-19314.8939556</v>
      </c>
      <c r="Q605" s="78">
        <f t="shared" si="9"/>
        <v>-231778.72746720005</v>
      </c>
    </row>
    <row r="606" spans="1:17" x14ac:dyDescent="0.3">
      <c r="A606" s="154" t="s">
        <v>162</v>
      </c>
      <c r="B606" s="154" t="s">
        <v>2767</v>
      </c>
      <c r="C606" s="154" t="s">
        <v>2768</v>
      </c>
      <c r="D606" s="154">
        <v>1281751.51</v>
      </c>
      <c r="E606" s="154">
        <v>0</v>
      </c>
      <c r="F606" s="154">
        <v>0</v>
      </c>
      <c r="G606" s="154">
        <v>0</v>
      </c>
      <c r="H606" s="154">
        <v>0</v>
      </c>
      <c r="I606" s="154">
        <v>0</v>
      </c>
      <c r="J606" s="154">
        <v>0</v>
      </c>
      <c r="K606" s="154">
        <v>0</v>
      </c>
      <c r="L606" s="154">
        <v>0</v>
      </c>
      <c r="M606" s="154">
        <v>0</v>
      </c>
      <c r="N606" s="154">
        <v>0</v>
      </c>
      <c r="O606" s="154">
        <v>0</v>
      </c>
      <c r="P606" s="154">
        <v>0</v>
      </c>
      <c r="Q606" s="78">
        <f t="shared" si="9"/>
        <v>0</v>
      </c>
    </row>
    <row r="607" spans="1:17" x14ac:dyDescent="0.3">
      <c r="A607" s="154" t="s">
        <v>162</v>
      </c>
      <c r="B607" s="154" t="s">
        <v>2769</v>
      </c>
      <c r="C607" s="154" t="s">
        <v>2770</v>
      </c>
      <c r="D607" s="154">
        <v>184619.96</v>
      </c>
      <c r="E607" s="154">
        <v>0</v>
      </c>
      <c r="F607" s="154">
        <v>0</v>
      </c>
      <c r="G607" s="154">
        <v>0</v>
      </c>
      <c r="H607" s="154">
        <v>0</v>
      </c>
      <c r="I607" s="154">
        <v>0</v>
      </c>
      <c r="J607" s="154">
        <v>0</v>
      </c>
      <c r="K607" s="154">
        <v>0</v>
      </c>
      <c r="L607" s="154">
        <v>0</v>
      </c>
      <c r="M607" s="154">
        <v>0</v>
      </c>
      <c r="N607" s="154">
        <v>0</v>
      </c>
      <c r="O607" s="154">
        <v>0</v>
      </c>
      <c r="P607" s="154">
        <v>0</v>
      </c>
      <c r="Q607" s="78">
        <f t="shared" si="9"/>
        <v>0</v>
      </c>
    </row>
    <row r="608" spans="1:17" x14ac:dyDescent="0.3">
      <c r="A608" s="154" t="s">
        <v>162</v>
      </c>
      <c r="B608" s="154" t="s">
        <v>2771</v>
      </c>
      <c r="C608" s="154" t="s">
        <v>2772</v>
      </c>
      <c r="D608" s="154">
        <v>-7755.9</v>
      </c>
      <c r="E608" s="154">
        <v>545710.44104209996</v>
      </c>
      <c r="F608" s="154">
        <v>494791.06412559998</v>
      </c>
      <c r="G608" s="154">
        <v>424578.03076539998</v>
      </c>
      <c r="H608" s="154">
        <v>505770.613106</v>
      </c>
      <c r="I608" s="154">
        <v>753561.93779770005</v>
      </c>
      <c r="J608" s="154">
        <v>414711.82746150001</v>
      </c>
      <c r="K608" s="154">
        <v>516258.38380840002</v>
      </c>
      <c r="L608" s="154">
        <v>454144.6401894</v>
      </c>
      <c r="M608" s="154">
        <v>464667.86169350002</v>
      </c>
      <c r="N608" s="154">
        <v>700400.05904279999</v>
      </c>
      <c r="O608" s="154">
        <v>427049.40497450001</v>
      </c>
      <c r="P608" s="154">
        <v>417934.8709337</v>
      </c>
      <c r="Q608" s="78">
        <f t="shared" si="9"/>
        <v>6119579.1349406</v>
      </c>
    </row>
    <row r="609" spans="1:17" x14ac:dyDescent="0.3">
      <c r="A609" s="154" t="s">
        <v>162</v>
      </c>
      <c r="B609" s="154" t="s">
        <v>2773</v>
      </c>
      <c r="C609" s="154" t="s">
        <v>2774</v>
      </c>
      <c r="D609" s="154">
        <v>6597231.7800000003</v>
      </c>
      <c r="E609" s="154">
        <v>0</v>
      </c>
      <c r="F609" s="154">
        <v>0</v>
      </c>
      <c r="G609" s="154">
        <v>0</v>
      </c>
      <c r="H609" s="154">
        <v>0</v>
      </c>
      <c r="I609" s="154">
        <v>0</v>
      </c>
      <c r="J609" s="154">
        <v>0</v>
      </c>
      <c r="K609" s="154">
        <v>0</v>
      </c>
      <c r="L609" s="154">
        <v>0</v>
      </c>
      <c r="M609" s="154">
        <v>0</v>
      </c>
      <c r="N609" s="154">
        <v>0</v>
      </c>
      <c r="O609" s="154">
        <v>0</v>
      </c>
      <c r="P609" s="154">
        <v>0</v>
      </c>
      <c r="Q609" s="78">
        <f t="shared" si="9"/>
        <v>0</v>
      </c>
    </row>
    <row r="610" spans="1:17" x14ac:dyDescent="0.3">
      <c r="A610" s="154" t="s">
        <v>162</v>
      </c>
      <c r="B610" s="154" t="s">
        <v>2775</v>
      </c>
      <c r="C610" s="154" t="s">
        <v>2776</v>
      </c>
      <c r="D610" s="154">
        <v>9000</v>
      </c>
      <c r="E610" s="154">
        <v>0</v>
      </c>
      <c r="F610" s="154">
        <v>0</v>
      </c>
      <c r="G610" s="154">
        <v>0</v>
      </c>
      <c r="H610" s="154">
        <v>0</v>
      </c>
      <c r="I610" s="154">
        <v>0</v>
      </c>
      <c r="J610" s="154">
        <v>0</v>
      </c>
      <c r="K610" s="154">
        <v>0</v>
      </c>
      <c r="L610" s="154">
        <v>0</v>
      </c>
      <c r="M610" s="154">
        <v>0</v>
      </c>
      <c r="N610" s="154">
        <v>0</v>
      </c>
      <c r="O610" s="154">
        <v>0</v>
      </c>
      <c r="P610" s="154">
        <v>0</v>
      </c>
      <c r="Q610" s="78">
        <f t="shared" si="9"/>
        <v>0</v>
      </c>
    </row>
    <row r="611" spans="1:17" x14ac:dyDescent="0.3">
      <c r="A611" s="154" t="s">
        <v>162</v>
      </c>
      <c r="B611" s="154" t="s">
        <v>2777</v>
      </c>
      <c r="C611" s="154" t="s">
        <v>2778</v>
      </c>
      <c r="D611" s="154">
        <v>135570.76999999999</v>
      </c>
      <c r="E611" s="154">
        <v>0</v>
      </c>
      <c r="F611" s="154">
        <v>0</v>
      </c>
      <c r="G611" s="154">
        <v>0</v>
      </c>
      <c r="H611" s="154">
        <v>0</v>
      </c>
      <c r="I611" s="154">
        <v>0</v>
      </c>
      <c r="J611" s="154">
        <v>0</v>
      </c>
      <c r="K611" s="154">
        <v>0</v>
      </c>
      <c r="L611" s="154">
        <v>0</v>
      </c>
      <c r="M611" s="154">
        <v>0</v>
      </c>
      <c r="N611" s="154">
        <v>0</v>
      </c>
      <c r="O611" s="154">
        <v>0</v>
      </c>
      <c r="P611" s="154">
        <v>0</v>
      </c>
      <c r="Q611" s="78">
        <f t="shared" si="9"/>
        <v>0</v>
      </c>
    </row>
    <row r="612" spans="1:17" x14ac:dyDescent="0.3">
      <c r="A612" s="154" t="s">
        <v>162</v>
      </c>
      <c r="B612" s="154" t="s">
        <v>2779</v>
      </c>
      <c r="C612" s="154" t="s">
        <v>2780</v>
      </c>
      <c r="D612" s="154">
        <v>14880.79</v>
      </c>
      <c r="E612" s="154">
        <v>0</v>
      </c>
      <c r="F612" s="154">
        <v>0</v>
      </c>
      <c r="G612" s="154">
        <v>0</v>
      </c>
      <c r="H612" s="154">
        <v>0</v>
      </c>
      <c r="I612" s="154">
        <v>0</v>
      </c>
      <c r="J612" s="154">
        <v>0</v>
      </c>
      <c r="K612" s="154">
        <v>0</v>
      </c>
      <c r="L612" s="154">
        <v>0</v>
      </c>
      <c r="M612" s="154">
        <v>0</v>
      </c>
      <c r="N612" s="154">
        <v>0</v>
      </c>
      <c r="O612" s="154">
        <v>0</v>
      </c>
      <c r="P612" s="154">
        <v>0</v>
      </c>
      <c r="Q612" s="78">
        <f t="shared" si="9"/>
        <v>0</v>
      </c>
    </row>
    <row r="613" spans="1:17" x14ac:dyDescent="0.3">
      <c r="A613" s="154" t="s">
        <v>162</v>
      </c>
      <c r="B613" s="154" t="s">
        <v>2781</v>
      </c>
      <c r="C613" s="154" t="s">
        <v>2782</v>
      </c>
      <c r="D613" s="154">
        <v>0</v>
      </c>
      <c r="E613" s="154">
        <v>-557744.44812750001</v>
      </c>
      <c r="F613" s="154">
        <v>-510179.07637899998</v>
      </c>
      <c r="G613" s="154">
        <v>-439966.04301879997</v>
      </c>
      <c r="H613" s="154">
        <v>-521158.6253594</v>
      </c>
      <c r="I613" s="154">
        <v>-768949.95005109999</v>
      </c>
      <c r="J613" s="154">
        <v>-430099.83971490001</v>
      </c>
      <c r="K613" s="154">
        <v>-531646.39606179995</v>
      </c>
      <c r="L613" s="154">
        <v>-469532.6524428</v>
      </c>
      <c r="M613" s="154">
        <v>-480055.87394690001</v>
      </c>
      <c r="N613" s="154">
        <v>-715788.07129620004</v>
      </c>
      <c r="O613" s="154">
        <v>-442437.4172279</v>
      </c>
      <c r="P613" s="154">
        <v>-433322.8831871</v>
      </c>
      <c r="Q613" s="78">
        <f t="shared" si="9"/>
        <v>-6300881.2768134009</v>
      </c>
    </row>
    <row r="614" spans="1:17" x14ac:dyDescent="0.3">
      <c r="A614" s="154" t="s">
        <v>162</v>
      </c>
      <c r="B614" s="154" t="s">
        <v>2783</v>
      </c>
      <c r="C614" s="154" t="s">
        <v>2784</v>
      </c>
      <c r="D614" s="154">
        <v>-534404.98</v>
      </c>
      <c r="E614" s="154">
        <v>0</v>
      </c>
      <c r="F614" s="154">
        <v>0</v>
      </c>
      <c r="G614" s="154">
        <v>0</v>
      </c>
      <c r="H614" s="154">
        <v>0</v>
      </c>
      <c r="I614" s="154">
        <v>0</v>
      </c>
      <c r="J614" s="154">
        <v>0</v>
      </c>
      <c r="K614" s="154">
        <v>0</v>
      </c>
      <c r="L614" s="154">
        <v>0</v>
      </c>
      <c r="M614" s="154">
        <v>0</v>
      </c>
      <c r="N614" s="154">
        <v>0</v>
      </c>
      <c r="O614" s="154">
        <v>0</v>
      </c>
      <c r="P614" s="154">
        <v>0</v>
      </c>
      <c r="Q614" s="78">
        <f t="shared" si="9"/>
        <v>0</v>
      </c>
    </row>
    <row r="615" spans="1:17" x14ac:dyDescent="0.3">
      <c r="A615" s="154" t="s">
        <v>162</v>
      </c>
      <c r="B615" s="154" t="s">
        <v>2785</v>
      </c>
      <c r="C615" s="154" t="s">
        <v>2786</v>
      </c>
      <c r="D615" s="154">
        <v>438777</v>
      </c>
      <c r="E615" s="154">
        <v>0</v>
      </c>
      <c r="F615" s="154">
        <v>0</v>
      </c>
      <c r="G615" s="154">
        <v>0</v>
      </c>
      <c r="H615" s="154">
        <v>0</v>
      </c>
      <c r="I615" s="154">
        <v>0</v>
      </c>
      <c r="J615" s="154">
        <v>0</v>
      </c>
      <c r="K615" s="154">
        <v>0</v>
      </c>
      <c r="L615" s="154">
        <v>0</v>
      </c>
      <c r="M615" s="154">
        <v>0</v>
      </c>
      <c r="N615" s="154">
        <v>0</v>
      </c>
      <c r="O615" s="154">
        <v>0</v>
      </c>
      <c r="P615" s="154">
        <v>0</v>
      </c>
      <c r="Q615" s="78">
        <f t="shared" si="9"/>
        <v>0</v>
      </c>
    </row>
    <row r="616" spans="1:17" x14ac:dyDescent="0.3">
      <c r="A616" s="154" t="s">
        <v>162</v>
      </c>
      <c r="B616" s="154" t="s">
        <v>2787</v>
      </c>
      <c r="C616" s="154" t="s">
        <v>2788</v>
      </c>
      <c r="D616" s="154">
        <v>38110</v>
      </c>
      <c r="E616" s="154">
        <v>0</v>
      </c>
      <c r="F616" s="154">
        <v>0</v>
      </c>
      <c r="G616" s="154">
        <v>0</v>
      </c>
      <c r="H616" s="154">
        <v>0</v>
      </c>
      <c r="I616" s="154">
        <v>0</v>
      </c>
      <c r="J616" s="154">
        <v>0</v>
      </c>
      <c r="K616" s="154">
        <v>0</v>
      </c>
      <c r="L616" s="154">
        <v>0</v>
      </c>
      <c r="M616" s="154">
        <v>0</v>
      </c>
      <c r="N616" s="154">
        <v>0</v>
      </c>
      <c r="O616" s="154">
        <v>0</v>
      </c>
      <c r="P616" s="154">
        <v>0</v>
      </c>
      <c r="Q616" s="78">
        <f t="shared" si="9"/>
        <v>0</v>
      </c>
    </row>
    <row r="617" spans="1:17" x14ac:dyDescent="0.3">
      <c r="A617" s="154" t="s">
        <v>162</v>
      </c>
      <c r="B617" s="154" t="s">
        <v>2789</v>
      </c>
      <c r="C617" s="154" t="s">
        <v>2790</v>
      </c>
      <c r="D617" s="154">
        <v>3554</v>
      </c>
      <c r="E617" s="154">
        <v>0</v>
      </c>
      <c r="F617" s="154">
        <v>0</v>
      </c>
      <c r="G617" s="154">
        <v>0</v>
      </c>
      <c r="H617" s="154">
        <v>0</v>
      </c>
      <c r="I617" s="154">
        <v>0</v>
      </c>
      <c r="J617" s="154">
        <v>0</v>
      </c>
      <c r="K617" s="154">
        <v>0</v>
      </c>
      <c r="L617" s="154">
        <v>0</v>
      </c>
      <c r="M617" s="154">
        <v>0</v>
      </c>
      <c r="N617" s="154">
        <v>0</v>
      </c>
      <c r="O617" s="154">
        <v>0</v>
      </c>
      <c r="P617" s="154">
        <v>0</v>
      </c>
      <c r="Q617" s="78">
        <f t="shared" si="9"/>
        <v>0</v>
      </c>
    </row>
    <row r="618" spans="1:17" x14ac:dyDescent="0.3">
      <c r="A618" s="154" t="s">
        <v>162</v>
      </c>
      <c r="B618" s="154" t="s">
        <v>2791</v>
      </c>
      <c r="C618" s="154" t="s">
        <v>2792</v>
      </c>
      <c r="D618" s="154">
        <v>427251.39</v>
      </c>
      <c r="E618" s="154">
        <v>0</v>
      </c>
      <c r="F618" s="154">
        <v>0</v>
      </c>
      <c r="G618" s="154">
        <v>0</v>
      </c>
      <c r="H618" s="154">
        <v>0</v>
      </c>
      <c r="I618" s="154">
        <v>0</v>
      </c>
      <c r="J618" s="154">
        <v>0</v>
      </c>
      <c r="K618" s="154">
        <v>0</v>
      </c>
      <c r="L618" s="154">
        <v>0</v>
      </c>
      <c r="M618" s="154">
        <v>0</v>
      </c>
      <c r="N618" s="154">
        <v>0</v>
      </c>
      <c r="O618" s="154">
        <v>0</v>
      </c>
      <c r="P618" s="154">
        <v>0</v>
      </c>
      <c r="Q618" s="78">
        <f t="shared" si="9"/>
        <v>0</v>
      </c>
    </row>
    <row r="619" spans="1:17" x14ac:dyDescent="0.3">
      <c r="A619" s="154" t="s">
        <v>162</v>
      </c>
      <c r="B619" s="154" t="s">
        <v>2793</v>
      </c>
      <c r="C619" s="154" t="s">
        <v>2794</v>
      </c>
      <c r="D619" s="154">
        <v>2575377.75</v>
      </c>
      <c r="E619" s="154">
        <v>0</v>
      </c>
      <c r="F619" s="154">
        <v>0</v>
      </c>
      <c r="G619" s="154">
        <v>0</v>
      </c>
      <c r="H619" s="154">
        <v>0</v>
      </c>
      <c r="I619" s="154">
        <v>0</v>
      </c>
      <c r="J619" s="154">
        <v>0</v>
      </c>
      <c r="K619" s="154">
        <v>0</v>
      </c>
      <c r="L619" s="154">
        <v>0</v>
      </c>
      <c r="M619" s="154">
        <v>0</v>
      </c>
      <c r="N619" s="154">
        <v>0</v>
      </c>
      <c r="O619" s="154">
        <v>0</v>
      </c>
      <c r="P619" s="154">
        <v>0</v>
      </c>
      <c r="Q619" s="78">
        <f t="shared" si="9"/>
        <v>0</v>
      </c>
    </row>
    <row r="620" spans="1:17" x14ac:dyDescent="0.3">
      <c r="A620" s="154" t="s">
        <v>162</v>
      </c>
      <c r="B620" s="154" t="s">
        <v>2795</v>
      </c>
      <c r="C620" s="154" t="s">
        <v>2796</v>
      </c>
      <c r="D620" s="154">
        <v>134656.73000000001</v>
      </c>
      <c r="E620" s="154">
        <v>0</v>
      </c>
      <c r="F620" s="154">
        <v>0</v>
      </c>
      <c r="G620" s="154">
        <v>0</v>
      </c>
      <c r="H620" s="154">
        <v>0</v>
      </c>
      <c r="I620" s="154">
        <v>0</v>
      </c>
      <c r="J620" s="154">
        <v>0</v>
      </c>
      <c r="K620" s="154">
        <v>0</v>
      </c>
      <c r="L620" s="154">
        <v>0</v>
      </c>
      <c r="M620" s="154">
        <v>0</v>
      </c>
      <c r="N620" s="154">
        <v>0</v>
      </c>
      <c r="O620" s="154">
        <v>0</v>
      </c>
      <c r="P620" s="154">
        <v>0</v>
      </c>
      <c r="Q620" s="78">
        <f t="shared" si="9"/>
        <v>0</v>
      </c>
    </row>
    <row r="621" spans="1:17" x14ac:dyDescent="0.3">
      <c r="A621" s="154" t="s">
        <v>162</v>
      </c>
      <c r="B621" s="154" t="s">
        <v>2797</v>
      </c>
      <c r="C621" s="154" t="s">
        <v>2798</v>
      </c>
      <c r="D621" s="154">
        <v>1859640.88</v>
      </c>
      <c r="E621" s="154">
        <v>1609893.14</v>
      </c>
      <c r="F621" s="154">
        <v>1738674.37</v>
      </c>
      <c r="G621" s="154">
        <v>1894619.87</v>
      </c>
      <c r="H621" s="154">
        <v>2081678.34</v>
      </c>
      <c r="I621" s="154">
        <v>2221183.56</v>
      </c>
      <c r="J621" s="154">
        <v>2434833.04</v>
      </c>
      <c r="K621" s="154">
        <v>2711773</v>
      </c>
      <c r="L621" s="154">
        <v>2924424.62</v>
      </c>
      <c r="M621" s="154">
        <v>3084407.46</v>
      </c>
      <c r="N621" s="154">
        <v>3249700.59</v>
      </c>
      <c r="O621" s="154">
        <v>3467010.01</v>
      </c>
      <c r="P621" s="154">
        <v>3342061.76</v>
      </c>
      <c r="Q621" s="78">
        <f t="shared" si="9"/>
        <v>30760259.759999998</v>
      </c>
    </row>
    <row r="622" spans="1:17" x14ac:dyDescent="0.3">
      <c r="A622" s="154" t="s">
        <v>162</v>
      </c>
      <c r="B622" s="154" t="s">
        <v>2799</v>
      </c>
      <c r="C622" s="154" t="s">
        <v>2800</v>
      </c>
      <c r="D622" s="154">
        <v>-1859640.88</v>
      </c>
      <c r="E622" s="154">
        <v>0</v>
      </c>
      <c r="F622" s="154">
        <v>0</v>
      </c>
      <c r="G622" s="154">
        <v>0</v>
      </c>
      <c r="H622" s="154">
        <v>0</v>
      </c>
      <c r="I622" s="154">
        <v>0</v>
      </c>
      <c r="J622" s="154">
        <v>0</v>
      </c>
      <c r="K622" s="154">
        <v>0</v>
      </c>
      <c r="L622" s="154">
        <v>0</v>
      </c>
      <c r="M622" s="154">
        <v>0</v>
      </c>
      <c r="N622" s="154">
        <v>0</v>
      </c>
      <c r="O622" s="154">
        <v>0</v>
      </c>
      <c r="P622" s="154">
        <v>0</v>
      </c>
      <c r="Q622" s="78">
        <f t="shared" si="9"/>
        <v>0</v>
      </c>
    </row>
    <row r="623" spans="1:17" x14ac:dyDescent="0.3">
      <c r="A623" s="154" t="s">
        <v>162</v>
      </c>
      <c r="B623" s="154" t="s">
        <v>2801</v>
      </c>
      <c r="C623" s="154" t="s">
        <v>2802</v>
      </c>
      <c r="D623" s="154">
        <v>612.9</v>
      </c>
      <c r="E623" s="154">
        <v>0</v>
      </c>
      <c r="F623" s="154">
        <v>0</v>
      </c>
      <c r="G623" s="154">
        <v>0</v>
      </c>
      <c r="H623" s="154">
        <v>0</v>
      </c>
      <c r="I623" s="154">
        <v>0</v>
      </c>
      <c r="J623" s="154">
        <v>0</v>
      </c>
      <c r="K623" s="154">
        <v>0</v>
      </c>
      <c r="L623" s="154">
        <v>0</v>
      </c>
      <c r="M623" s="154">
        <v>0</v>
      </c>
      <c r="N623" s="154">
        <v>0</v>
      </c>
      <c r="O623" s="154">
        <v>0</v>
      </c>
      <c r="P623" s="154">
        <v>0</v>
      </c>
      <c r="Q623" s="78">
        <f t="shared" si="9"/>
        <v>0</v>
      </c>
    </row>
    <row r="624" spans="1:17" x14ac:dyDescent="0.3">
      <c r="A624" s="154" t="s">
        <v>162</v>
      </c>
      <c r="B624" s="154" t="s">
        <v>2803</v>
      </c>
      <c r="C624" s="154" t="s">
        <v>2804</v>
      </c>
      <c r="D624" s="154">
        <v>-5577.54</v>
      </c>
      <c r="E624" s="154">
        <v>0</v>
      </c>
      <c r="F624" s="154">
        <v>0</v>
      </c>
      <c r="G624" s="154">
        <v>0</v>
      </c>
      <c r="H624" s="154">
        <v>0</v>
      </c>
      <c r="I624" s="154">
        <v>0</v>
      </c>
      <c r="J624" s="154">
        <v>0</v>
      </c>
      <c r="K624" s="154">
        <v>0</v>
      </c>
      <c r="L624" s="154">
        <v>0</v>
      </c>
      <c r="M624" s="154">
        <v>0</v>
      </c>
      <c r="N624" s="154">
        <v>0</v>
      </c>
      <c r="O624" s="154">
        <v>0</v>
      </c>
      <c r="P624" s="154">
        <v>0</v>
      </c>
      <c r="Q624" s="78">
        <f t="shared" si="9"/>
        <v>0</v>
      </c>
    </row>
    <row r="625" spans="1:17" x14ac:dyDescent="0.3">
      <c r="A625" s="154" t="s">
        <v>162</v>
      </c>
      <c r="B625" s="154" t="s">
        <v>2805</v>
      </c>
      <c r="C625" s="154" t="s">
        <v>2806</v>
      </c>
      <c r="D625" s="154">
        <v>61551.74</v>
      </c>
      <c r="E625" s="154">
        <v>0</v>
      </c>
      <c r="F625" s="154">
        <v>0</v>
      </c>
      <c r="G625" s="154">
        <v>0</v>
      </c>
      <c r="H625" s="154">
        <v>0</v>
      </c>
      <c r="I625" s="154">
        <v>0</v>
      </c>
      <c r="J625" s="154">
        <v>0</v>
      </c>
      <c r="K625" s="154">
        <v>0</v>
      </c>
      <c r="L625" s="154">
        <v>0</v>
      </c>
      <c r="M625" s="154">
        <v>0</v>
      </c>
      <c r="N625" s="154">
        <v>0</v>
      </c>
      <c r="O625" s="154">
        <v>0</v>
      </c>
      <c r="P625" s="154">
        <v>0</v>
      </c>
      <c r="Q625" s="78">
        <f t="shared" si="9"/>
        <v>0</v>
      </c>
    </row>
    <row r="626" spans="1:17" x14ac:dyDescent="0.3">
      <c r="A626" s="154" t="s">
        <v>162</v>
      </c>
      <c r="B626" s="154" t="s">
        <v>2807</v>
      </c>
      <c r="C626" s="154" t="s">
        <v>2808</v>
      </c>
      <c r="D626" s="154">
        <v>4469.41</v>
      </c>
      <c r="E626" s="154">
        <v>0</v>
      </c>
      <c r="F626" s="154">
        <v>0</v>
      </c>
      <c r="G626" s="154">
        <v>0</v>
      </c>
      <c r="H626" s="154">
        <v>0</v>
      </c>
      <c r="I626" s="154">
        <v>0</v>
      </c>
      <c r="J626" s="154">
        <v>0</v>
      </c>
      <c r="K626" s="154">
        <v>0</v>
      </c>
      <c r="L626" s="154">
        <v>0</v>
      </c>
      <c r="M626" s="154">
        <v>0</v>
      </c>
      <c r="N626" s="154">
        <v>0</v>
      </c>
      <c r="O626" s="154">
        <v>0</v>
      </c>
      <c r="P626" s="154">
        <v>0</v>
      </c>
      <c r="Q626" s="78">
        <f t="shared" si="9"/>
        <v>0</v>
      </c>
    </row>
    <row r="627" spans="1:17" x14ac:dyDescent="0.3">
      <c r="A627" s="154" t="s">
        <v>162</v>
      </c>
      <c r="B627" s="154" t="s">
        <v>2809</v>
      </c>
      <c r="C627" s="154" t="s">
        <v>2810</v>
      </c>
      <c r="D627" s="154">
        <v>469831.65</v>
      </c>
      <c r="E627" s="154">
        <v>0</v>
      </c>
      <c r="F627" s="154">
        <v>0</v>
      </c>
      <c r="G627" s="154">
        <v>0</v>
      </c>
      <c r="H627" s="154">
        <v>0</v>
      </c>
      <c r="I627" s="154">
        <v>0</v>
      </c>
      <c r="J627" s="154">
        <v>0</v>
      </c>
      <c r="K627" s="154">
        <v>0</v>
      </c>
      <c r="L627" s="154">
        <v>0</v>
      </c>
      <c r="M627" s="154">
        <v>0</v>
      </c>
      <c r="N627" s="154">
        <v>0</v>
      </c>
      <c r="O627" s="154">
        <v>0</v>
      </c>
      <c r="P627" s="154">
        <v>0</v>
      </c>
      <c r="Q627" s="78">
        <f t="shared" si="9"/>
        <v>0</v>
      </c>
    </row>
    <row r="628" spans="1:17" x14ac:dyDescent="0.3">
      <c r="A628" s="154" t="s">
        <v>162</v>
      </c>
      <c r="B628" s="154" t="s">
        <v>2811</v>
      </c>
      <c r="C628" s="154" t="s">
        <v>2812</v>
      </c>
      <c r="D628" s="154">
        <v>1372203.29</v>
      </c>
      <c r="E628" s="154">
        <v>0</v>
      </c>
      <c r="F628" s="154">
        <v>0</v>
      </c>
      <c r="G628" s="154">
        <v>0</v>
      </c>
      <c r="H628" s="154">
        <v>0</v>
      </c>
      <c r="I628" s="154">
        <v>0</v>
      </c>
      <c r="J628" s="154">
        <v>0</v>
      </c>
      <c r="K628" s="154">
        <v>0</v>
      </c>
      <c r="L628" s="154">
        <v>0</v>
      </c>
      <c r="M628" s="154">
        <v>0</v>
      </c>
      <c r="N628" s="154">
        <v>0</v>
      </c>
      <c r="O628" s="154">
        <v>0</v>
      </c>
      <c r="P628" s="154">
        <v>0</v>
      </c>
      <c r="Q628" s="78">
        <f t="shared" si="9"/>
        <v>0</v>
      </c>
    </row>
    <row r="629" spans="1:17" x14ac:dyDescent="0.3">
      <c r="A629" s="154" t="s">
        <v>162</v>
      </c>
      <c r="B629" s="154" t="s">
        <v>2813</v>
      </c>
      <c r="C629" s="154" t="s">
        <v>2814</v>
      </c>
      <c r="D629" s="154">
        <v>489009.68</v>
      </c>
      <c r="E629" s="154">
        <v>0</v>
      </c>
      <c r="F629" s="154">
        <v>0</v>
      </c>
      <c r="G629" s="154">
        <v>0</v>
      </c>
      <c r="H629" s="154">
        <v>0</v>
      </c>
      <c r="I629" s="154">
        <v>0</v>
      </c>
      <c r="J629" s="154">
        <v>0</v>
      </c>
      <c r="K629" s="154">
        <v>0</v>
      </c>
      <c r="L629" s="154">
        <v>0</v>
      </c>
      <c r="M629" s="154">
        <v>0</v>
      </c>
      <c r="N629" s="154">
        <v>0</v>
      </c>
      <c r="O629" s="154">
        <v>0</v>
      </c>
      <c r="P629" s="154">
        <v>0</v>
      </c>
      <c r="Q629" s="78">
        <f t="shared" si="9"/>
        <v>0</v>
      </c>
    </row>
    <row r="630" spans="1:17" x14ac:dyDescent="0.3">
      <c r="A630" s="154" t="s">
        <v>162</v>
      </c>
      <c r="B630" s="154" t="s">
        <v>2815</v>
      </c>
      <c r="C630" s="154" t="s">
        <v>503</v>
      </c>
      <c r="D630" s="154">
        <v>31846.57</v>
      </c>
      <c r="E630" s="154">
        <v>0</v>
      </c>
      <c r="F630" s="154">
        <v>0</v>
      </c>
      <c r="G630" s="154">
        <v>0</v>
      </c>
      <c r="H630" s="154">
        <v>0</v>
      </c>
      <c r="I630" s="154">
        <v>0</v>
      </c>
      <c r="J630" s="154">
        <v>0</v>
      </c>
      <c r="K630" s="154">
        <v>0</v>
      </c>
      <c r="L630" s="154">
        <v>0</v>
      </c>
      <c r="M630" s="154">
        <v>0</v>
      </c>
      <c r="N630" s="154">
        <v>0</v>
      </c>
      <c r="O630" s="154">
        <v>0</v>
      </c>
      <c r="P630" s="154">
        <v>0</v>
      </c>
      <c r="Q630" s="78">
        <f t="shared" si="9"/>
        <v>0</v>
      </c>
    </row>
    <row r="631" spans="1:17" x14ac:dyDescent="0.3">
      <c r="A631" s="154" t="s">
        <v>162</v>
      </c>
      <c r="B631" s="154" t="s">
        <v>2816</v>
      </c>
      <c r="C631" s="154" t="s">
        <v>2817</v>
      </c>
      <c r="D631" s="154">
        <v>44109.31</v>
      </c>
      <c r="E631" s="154">
        <v>0</v>
      </c>
      <c r="F631" s="154">
        <v>0</v>
      </c>
      <c r="G631" s="154">
        <v>0</v>
      </c>
      <c r="H631" s="154">
        <v>0</v>
      </c>
      <c r="I631" s="154">
        <v>0</v>
      </c>
      <c r="J631" s="154">
        <v>0</v>
      </c>
      <c r="K631" s="154">
        <v>0</v>
      </c>
      <c r="L631" s="154">
        <v>0</v>
      </c>
      <c r="M631" s="154">
        <v>0</v>
      </c>
      <c r="N631" s="154">
        <v>0</v>
      </c>
      <c r="O631" s="154">
        <v>0</v>
      </c>
      <c r="P631" s="154">
        <v>0</v>
      </c>
      <c r="Q631" s="78">
        <f t="shared" si="9"/>
        <v>0</v>
      </c>
    </row>
    <row r="632" spans="1:17" x14ac:dyDescent="0.3">
      <c r="A632" s="154" t="s">
        <v>162</v>
      </c>
      <c r="B632" s="154" t="s">
        <v>2818</v>
      </c>
      <c r="C632" s="154" t="s">
        <v>2819</v>
      </c>
      <c r="D632" s="154">
        <v>21043.93</v>
      </c>
      <c r="E632" s="154">
        <v>0</v>
      </c>
      <c r="F632" s="154">
        <v>0</v>
      </c>
      <c r="G632" s="154">
        <v>0</v>
      </c>
      <c r="H632" s="154">
        <v>0</v>
      </c>
      <c r="I632" s="154">
        <v>0</v>
      </c>
      <c r="J632" s="154">
        <v>0</v>
      </c>
      <c r="K632" s="154">
        <v>0</v>
      </c>
      <c r="L632" s="154">
        <v>0</v>
      </c>
      <c r="M632" s="154">
        <v>0</v>
      </c>
      <c r="N632" s="154">
        <v>0</v>
      </c>
      <c r="O632" s="154">
        <v>0</v>
      </c>
      <c r="P632" s="154">
        <v>0</v>
      </c>
      <c r="Q632" s="78">
        <f t="shared" si="9"/>
        <v>0</v>
      </c>
    </row>
    <row r="633" spans="1:17" x14ac:dyDescent="0.3">
      <c r="A633" s="154" t="s">
        <v>162</v>
      </c>
      <c r="B633" s="154" t="s">
        <v>2820</v>
      </c>
      <c r="C633" s="154" t="s">
        <v>2821</v>
      </c>
      <c r="D633" s="154">
        <v>35</v>
      </c>
      <c r="E633" s="154">
        <v>0</v>
      </c>
      <c r="F633" s="154">
        <v>0</v>
      </c>
      <c r="G633" s="154">
        <v>0</v>
      </c>
      <c r="H633" s="154">
        <v>0</v>
      </c>
      <c r="I633" s="154">
        <v>0</v>
      </c>
      <c r="J633" s="154">
        <v>0</v>
      </c>
      <c r="K633" s="154">
        <v>0</v>
      </c>
      <c r="L633" s="154">
        <v>0</v>
      </c>
      <c r="M633" s="154">
        <v>0</v>
      </c>
      <c r="N633" s="154">
        <v>0</v>
      </c>
      <c r="O633" s="154">
        <v>0</v>
      </c>
      <c r="P633" s="154">
        <v>0</v>
      </c>
      <c r="Q633" s="78">
        <f t="shared" si="9"/>
        <v>0</v>
      </c>
    </row>
    <row r="634" spans="1:17" x14ac:dyDescent="0.3">
      <c r="A634" s="154" t="s">
        <v>162</v>
      </c>
      <c r="B634" s="154" t="s">
        <v>2822</v>
      </c>
      <c r="C634" s="154" t="s">
        <v>2823</v>
      </c>
      <c r="D634" s="154">
        <v>2845.99</v>
      </c>
      <c r="E634" s="154">
        <v>0</v>
      </c>
      <c r="F634" s="154">
        <v>0</v>
      </c>
      <c r="G634" s="154">
        <v>0</v>
      </c>
      <c r="H634" s="154">
        <v>0</v>
      </c>
      <c r="I634" s="154">
        <v>0</v>
      </c>
      <c r="J634" s="154">
        <v>0</v>
      </c>
      <c r="K634" s="154">
        <v>0</v>
      </c>
      <c r="L634" s="154">
        <v>0</v>
      </c>
      <c r="M634" s="154">
        <v>0</v>
      </c>
      <c r="N634" s="154">
        <v>0</v>
      </c>
      <c r="O634" s="154">
        <v>0</v>
      </c>
      <c r="P634" s="154">
        <v>0</v>
      </c>
      <c r="Q634" s="78">
        <f t="shared" si="9"/>
        <v>0</v>
      </c>
    </row>
    <row r="635" spans="1:17" x14ac:dyDescent="0.3">
      <c r="A635" s="154" t="s">
        <v>162</v>
      </c>
      <c r="B635" s="154" t="s">
        <v>2824</v>
      </c>
      <c r="C635" s="154" t="s">
        <v>2825</v>
      </c>
      <c r="D635" s="154">
        <v>-606023.59</v>
      </c>
      <c r="E635" s="154">
        <v>-524635.29</v>
      </c>
      <c r="F635" s="154">
        <v>-566602.79</v>
      </c>
      <c r="G635" s="154">
        <v>-617422.6</v>
      </c>
      <c r="H635" s="154">
        <v>-678381.57</v>
      </c>
      <c r="I635" s="154">
        <v>-723843.8</v>
      </c>
      <c r="J635" s="154">
        <v>-793468.36</v>
      </c>
      <c r="K635" s="154">
        <v>-883718.11</v>
      </c>
      <c r="L635" s="154">
        <v>-953017.46</v>
      </c>
      <c r="M635" s="154">
        <v>-1005152.94</v>
      </c>
      <c r="N635" s="154">
        <v>-1059018.99</v>
      </c>
      <c r="O635" s="154">
        <v>-1129836.23</v>
      </c>
      <c r="P635" s="154">
        <v>-1089117.94</v>
      </c>
      <c r="Q635" s="78">
        <f t="shared" si="9"/>
        <v>-10024216.08</v>
      </c>
    </row>
    <row r="636" spans="1:17" x14ac:dyDescent="0.3">
      <c r="A636" s="154" t="s">
        <v>162</v>
      </c>
      <c r="B636" s="154" t="s">
        <v>2826</v>
      </c>
      <c r="C636" s="154" t="s">
        <v>2827</v>
      </c>
      <c r="D636" s="154">
        <v>606023.59</v>
      </c>
      <c r="E636" s="154">
        <v>0</v>
      </c>
      <c r="F636" s="154">
        <v>0</v>
      </c>
      <c r="G636" s="154">
        <v>0</v>
      </c>
      <c r="H636" s="154">
        <v>0</v>
      </c>
      <c r="I636" s="154">
        <v>0</v>
      </c>
      <c r="J636" s="154">
        <v>0</v>
      </c>
      <c r="K636" s="154">
        <v>0</v>
      </c>
      <c r="L636" s="154">
        <v>0</v>
      </c>
      <c r="M636" s="154">
        <v>0</v>
      </c>
      <c r="N636" s="154">
        <v>0</v>
      </c>
      <c r="O636" s="154">
        <v>0</v>
      </c>
      <c r="P636" s="154">
        <v>0</v>
      </c>
      <c r="Q636" s="78">
        <f t="shared" si="9"/>
        <v>0</v>
      </c>
    </row>
    <row r="637" spans="1:17" x14ac:dyDescent="0.3">
      <c r="A637" s="154" t="s">
        <v>162</v>
      </c>
      <c r="B637" s="154" t="s">
        <v>2828</v>
      </c>
      <c r="C637" s="154" t="s">
        <v>2829</v>
      </c>
      <c r="D637" s="154">
        <v>170147.69</v>
      </c>
      <c r="E637" s="154">
        <v>0</v>
      </c>
      <c r="F637" s="154">
        <v>0</v>
      </c>
      <c r="G637" s="154">
        <v>0</v>
      </c>
      <c r="H637" s="154">
        <v>0</v>
      </c>
      <c r="I637" s="154">
        <v>0</v>
      </c>
      <c r="J637" s="154">
        <v>0</v>
      </c>
      <c r="K637" s="154">
        <v>0</v>
      </c>
      <c r="L637" s="154">
        <v>0</v>
      </c>
      <c r="M637" s="154">
        <v>0</v>
      </c>
      <c r="N637" s="154">
        <v>0</v>
      </c>
      <c r="O637" s="154">
        <v>0</v>
      </c>
      <c r="P637" s="154">
        <v>0</v>
      </c>
      <c r="Q637" s="78">
        <f t="shared" si="9"/>
        <v>0</v>
      </c>
    </row>
    <row r="638" spans="1:17" x14ac:dyDescent="0.3">
      <c r="A638" s="154" t="s">
        <v>162</v>
      </c>
      <c r="B638" s="154" t="s">
        <v>2830</v>
      </c>
      <c r="C638" s="154" t="s">
        <v>2831</v>
      </c>
      <c r="D638" s="154">
        <v>5129.1099999999997</v>
      </c>
      <c r="E638" s="154">
        <v>0</v>
      </c>
      <c r="F638" s="154">
        <v>0</v>
      </c>
      <c r="G638" s="154">
        <v>0</v>
      </c>
      <c r="H638" s="154">
        <v>0</v>
      </c>
      <c r="I638" s="154">
        <v>0</v>
      </c>
      <c r="J638" s="154">
        <v>0</v>
      </c>
      <c r="K638" s="154">
        <v>0</v>
      </c>
      <c r="L638" s="154">
        <v>0</v>
      </c>
      <c r="M638" s="154">
        <v>0</v>
      </c>
      <c r="N638" s="154">
        <v>0</v>
      </c>
      <c r="O638" s="154">
        <v>0</v>
      </c>
      <c r="P638" s="154">
        <v>0</v>
      </c>
      <c r="Q638" s="78">
        <f t="shared" si="9"/>
        <v>0</v>
      </c>
    </row>
    <row r="639" spans="1:17" x14ac:dyDescent="0.3">
      <c r="A639" s="154" t="s">
        <v>162</v>
      </c>
      <c r="B639" s="154" t="s">
        <v>2832</v>
      </c>
      <c r="C639" s="154" t="s">
        <v>2833</v>
      </c>
      <c r="D639" s="154">
        <v>58762.37</v>
      </c>
      <c r="E639" s="154">
        <v>0</v>
      </c>
      <c r="F639" s="154">
        <v>0</v>
      </c>
      <c r="G639" s="154">
        <v>0</v>
      </c>
      <c r="H639" s="154">
        <v>0</v>
      </c>
      <c r="I639" s="154">
        <v>0</v>
      </c>
      <c r="J639" s="154">
        <v>0</v>
      </c>
      <c r="K639" s="154">
        <v>0</v>
      </c>
      <c r="L639" s="154">
        <v>0</v>
      </c>
      <c r="M639" s="154">
        <v>0</v>
      </c>
      <c r="N639" s="154">
        <v>0</v>
      </c>
      <c r="O639" s="154">
        <v>0</v>
      </c>
      <c r="P639" s="154">
        <v>0</v>
      </c>
      <c r="Q639" s="78">
        <f t="shared" si="9"/>
        <v>0</v>
      </c>
    </row>
    <row r="640" spans="1:17" x14ac:dyDescent="0.3">
      <c r="A640" s="154" t="s">
        <v>162</v>
      </c>
      <c r="B640" s="154" t="s">
        <v>2834</v>
      </c>
      <c r="C640" s="154" t="s">
        <v>2835</v>
      </c>
      <c r="D640" s="154">
        <v>5088233.5999999996</v>
      </c>
      <c r="E640" s="154">
        <v>3145419.9145571999</v>
      </c>
      <c r="F640" s="154">
        <v>613329.76541200001</v>
      </c>
      <c r="G640" s="154">
        <v>290707.54822459997</v>
      </c>
      <c r="H640" s="154">
        <v>386599.26761749998</v>
      </c>
      <c r="I640" s="154">
        <v>251018.78093209999</v>
      </c>
      <c r="J640" s="154">
        <v>212042.5542021</v>
      </c>
      <c r="K640" s="154">
        <v>847471.86101260001</v>
      </c>
      <c r="L640" s="154">
        <v>1499693.0340578</v>
      </c>
      <c r="M640" s="154">
        <v>1640829.1719667001</v>
      </c>
      <c r="N640" s="154">
        <v>1388275.0916901999</v>
      </c>
      <c r="O640" s="154">
        <v>1729412.0240954</v>
      </c>
      <c r="P640" s="154">
        <v>2248550.2662729998</v>
      </c>
      <c r="Q640" s="78">
        <f t="shared" si="9"/>
        <v>14253349.280041199</v>
      </c>
    </row>
    <row r="641" spans="1:17" x14ac:dyDescent="0.3">
      <c r="A641" s="154" t="s">
        <v>162</v>
      </c>
      <c r="B641" s="154" t="s">
        <v>2836</v>
      </c>
      <c r="C641" s="154" t="s">
        <v>2837</v>
      </c>
      <c r="D641" s="154">
        <v>19.13</v>
      </c>
      <c r="E641" s="154">
        <v>0</v>
      </c>
      <c r="F641" s="154">
        <v>0</v>
      </c>
      <c r="G641" s="154">
        <v>0</v>
      </c>
      <c r="H641" s="154">
        <v>0</v>
      </c>
      <c r="I641" s="154">
        <v>0</v>
      </c>
      <c r="J641" s="154">
        <v>0</v>
      </c>
      <c r="K641" s="154">
        <v>0</v>
      </c>
      <c r="L641" s="154">
        <v>0</v>
      </c>
      <c r="M641" s="154">
        <v>0</v>
      </c>
      <c r="N641" s="154">
        <v>0</v>
      </c>
      <c r="O641" s="154">
        <v>0</v>
      </c>
      <c r="P641" s="154">
        <v>0</v>
      </c>
      <c r="Q641" s="78">
        <f t="shared" si="9"/>
        <v>0</v>
      </c>
    </row>
    <row r="642" spans="1:17" x14ac:dyDescent="0.3">
      <c r="A642" s="154" t="s">
        <v>162</v>
      </c>
      <c r="B642" s="154" t="s">
        <v>2838</v>
      </c>
      <c r="C642" s="154" t="s">
        <v>2839</v>
      </c>
      <c r="D642" s="154">
        <v>13353125</v>
      </c>
      <c r="E642" s="154">
        <v>0</v>
      </c>
      <c r="F642" s="154">
        <v>0</v>
      </c>
      <c r="G642" s="154">
        <v>0</v>
      </c>
      <c r="H642" s="154">
        <v>0</v>
      </c>
      <c r="I642" s="154">
        <v>0</v>
      </c>
      <c r="J642" s="154">
        <v>0</v>
      </c>
      <c r="K642" s="154">
        <v>0</v>
      </c>
      <c r="L642" s="154">
        <v>0</v>
      </c>
      <c r="M642" s="154">
        <v>0</v>
      </c>
      <c r="N642" s="154">
        <v>0</v>
      </c>
      <c r="O642" s="154">
        <v>0</v>
      </c>
      <c r="P642" s="154">
        <v>0</v>
      </c>
      <c r="Q642" s="78">
        <f t="shared" si="9"/>
        <v>0</v>
      </c>
    </row>
    <row r="643" spans="1:17" x14ac:dyDescent="0.3">
      <c r="A643" s="154" t="s">
        <v>162</v>
      </c>
      <c r="B643" s="154" t="s">
        <v>2840</v>
      </c>
      <c r="C643" s="154" t="s">
        <v>2841</v>
      </c>
      <c r="D643" s="154">
        <v>51905.03</v>
      </c>
      <c r="E643" s="154">
        <v>0</v>
      </c>
      <c r="F643" s="154">
        <v>0</v>
      </c>
      <c r="G643" s="154">
        <v>0</v>
      </c>
      <c r="H643" s="154">
        <v>0</v>
      </c>
      <c r="I643" s="154">
        <v>0</v>
      </c>
      <c r="J643" s="154">
        <v>0</v>
      </c>
      <c r="K643" s="154">
        <v>0</v>
      </c>
      <c r="L643" s="154">
        <v>0</v>
      </c>
      <c r="M643" s="154">
        <v>0</v>
      </c>
      <c r="N643" s="154">
        <v>0</v>
      </c>
      <c r="O643" s="154">
        <v>0</v>
      </c>
      <c r="P643" s="154">
        <v>0</v>
      </c>
      <c r="Q643" s="78">
        <f t="shared" si="9"/>
        <v>0</v>
      </c>
    </row>
    <row r="644" spans="1:17" x14ac:dyDescent="0.3">
      <c r="A644" s="154" t="s">
        <v>162</v>
      </c>
      <c r="B644" s="154" t="s">
        <v>2842</v>
      </c>
      <c r="C644" s="154" t="s">
        <v>2843</v>
      </c>
      <c r="D644" s="154">
        <v>197775.1</v>
      </c>
      <c r="E644" s="154">
        <v>0</v>
      </c>
      <c r="F644" s="154">
        <v>0</v>
      </c>
      <c r="G644" s="154">
        <v>0</v>
      </c>
      <c r="H644" s="154">
        <v>0</v>
      </c>
      <c r="I644" s="154">
        <v>0</v>
      </c>
      <c r="J644" s="154">
        <v>0</v>
      </c>
      <c r="K644" s="154">
        <v>0</v>
      </c>
      <c r="L644" s="154">
        <v>0</v>
      </c>
      <c r="M644" s="154">
        <v>0</v>
      </c>
      <c r="N644" s="154">
        <v>0</v>
      </c>
      <c r="O644" s="154">
        <v>0</v>
      </c>
      <c r="P644" s="154">
        <v>0</v>
      </c>
      <c r="Q644" s="78">
        <f t="shared" si="9"/>
        <v>0</v>
      </c>
    </row>
    <row r="645" spans="1:17" x14ac:dyDescent="0.3">
      <c r="A645" s="154" t="s">
        <v>162</v>
      </c>
      <c r="B645" s="154" t="s">
        <v>2844</v>
      </c>
      <c r="C645" s="154" t="s">
        <v>2845</v>
      </c>
      <c r="D645" s="154">
        <v>-37763</v>
      </c>
      <c r="E645" s="154">
        <v>0</v>
      </c>
      <c r="F645" s="154">
        <v>0</v>
      </c>
      <c r="G645" s="154">
        <v>0</v>
      </c>
      <c r="H645" s="154">
        <v>0</v>
      </c>
      <c r="I645" s="154">
        <v>0</v>
      </c>
      <c r="J645" s="154">
        <v>0</v>
      </c>
      <c r="K645" s="154">
        <v>0</v>
      </c>
      <c r="L645" s="154">
        <v>0</v>
      </c>
      <c r="M645" s="154">
        <v>0</v>
      </c>
      <c r="N645" s="154">
        <v>0</v>
      </c>
      <c r="O645" s="154">
        <v>0</v>
      </c>
      <c r="P645" s="154">
        <v>0</v>
      </c>
      <c r="Q645" s="78">
        <f t="shared" si="9"/>
        <v>0</v>
      </c>
    </row>
    <row r="646" spans="1:17" x14ac:dyDescent="0.3">
      <c r="A646" s="154" t="s">
        <v>162</v>
      </c>
      <c r="B646" s="154" t="s">
        <v>2846</v>
      </c>
      <c r="C646" s="154" t="s">
        <v>2847</v>
      </c>
      <c r="D646" s="154">
        <v>-43621</v>
      </c>
      <c r="E646" s="154">
        <v>0</v>
      </c>
      <c r="F646" s="154">
        <v>0</v>
      </c>
      <c r="G646" s="154">
        <v>0</v>
      </c>
      <c r="H646" s="154">
        <v>0</v>
      </c>
      <c r="I646" s="154">
        <v>0</v>
      </c>
      <c r="J646" s="154">
        <v>0</v>
      </c>
      <c r="K646" s="154">
        <v>0</v>
      </c>
      <c r="L646" s="154">
        <v>0</v>
      </c>
      <c r="M646" s="154">
        <v>0</v>
      </c>
      <c r="N646" s="154">
        <v>0</v>
      </c>
      <c r="O646" s="154">
        <v>0</v>
      </c>
      <c r="P646" s="154">
        <v>0</v>
      </c>
      <c r="Q646" s="78">
        <f t="shared" si="9"/>
        <v>0</v>
      </c>
    </row>
    <row r="647" spans="1:17" x14ac:dyDescent="0.3">
      <c r="A647" s="154" t="s">
        <v>162</v>
      </c>
      <c r="B647" s="154" t="s">
        <v>2848</v>
      </c>
      <c r="C647" s="154" t="s">
        <v>2849</v>
      </c>
      <c r="D647" s="154">
        <v>-50</v>
      </c>
      <c r="E647" s="154">
        <v>0</v>
      </c>
      <c r="F647" s="154">
        <v>0</v>
      </c>
      <c r="G647" s="154">
        <v>0</v>
      </c>
      <c r="H647" s="154">
        <v>0</v>
      </c>
      <c r="I647" s="154">
        <v>0</v>
      </c>
      <c r="J647" s="154">
        <v>0</v>
      </c>
      <c r="K647" s="154">
        <v>0</v>
      </c>
      <c r="L647" s="154">
        <v>0</v>
      </c>
      <c r="M647" s="154">
        <v>0</v>
      </c>
      <c r="N647" s="154">
        <v>0</v>
      </c>
      <c r="O647" s="154">
        <v>0</v>
      </c>
      <c r="P647" s="154">
        <v>0</v>
      </c>
      <c r="Q647" s="78">
        <f t="shared" si="9"/>
        <v>0</v>
      </c>
    </row>
    <row r="648" spans="1:17" x14ac:dyDescent="0.3">
      <c r="A648" s="154" t="s">
        <v>162</v>
      </c>
      <c r="B648" s="154" t="s">
        <v>2850</v>
      </c>
      <c r="C648" s="154" t="s">
        <v>2851</v>
      </c>
      <c r="D648" s="154">
        <v>-18937.5</v>
      </c>
      <c r="E648" s="154">
        <v>0</v>
      </c>
      <c r="F648" s="154">
        <v>0</v>
      </c>
      <c r="G648" s="154">
        <v>0</v>
      </c>
      <c r="H648" s="154">
        <v>0</v>
      </c>
      <c r="I648" s="154">
        <v>0</v>
      </c>
      <c r="J648" s="154">
        <v>0</v>
      </c>
      <c r="K648" s="154">
        <v>0</v>
      </c>
      <c r="L648" s="154">
        <v>0</v>
      </c>
      <c r="M648" s="154">
        <v>0</v>
      </c>
      <c r="N648" s="154">
        <v>0</v>
      </c>
      <c r="O648" s="154">
        <v>0</v>
      </c>
      <c r="P648" s="154">
        <v>0</v>
      </c>
      <c r="Q648" s="78">
        <f t="shared" si="9"/>
        <v>0</v>
      </c>
    </row>
    <row r="649" spans="1:17" x14ac:dyDescent="0.3">
      <c r="A649" s="154" t="s">
        <v>162</v>
      </c>
      <c r="B649" s="154" t="s">
        <v>2852</v>
      </c>
      <c r="C649" s="154" t="s">
        <v>2853</v>
      </c>
      <c r="D649" s="154">
        <v>584875.41</v>
      </c>
      <c r="E649" s="154">
        <v>0</v>
      </c>
      <c r="F649" s="154">
        <v>0</v>
      </c>
      <c r="G649" s="154">
        <v>0</v>
      </c>
      <c r="H649" s="154">
        <v>0</v>
      </c>
      <c r="I649" s="154">
        <v>0</v>
      </c>
      <c r="J649" s="154">
        <v>0</v>
      </c>
      <c r="K649" s="154">
        <v>0</v>
      </c>
      <c r="L649" s="154">
        <v>0</v>
      </c>
      <c r="M649" s="154">
        <v>0</v>
      </c>
      <c r="N649" s="154">
        <v>0</v>
      </c>
      <c r="O649" s="154">
        <v>0</v>
      </c>
      <c r="P649" s="154">
        <v>0</v>
      </c>
      <c r="Q649" s="78">
        <f t="shared" si="9"/>
        <v>0</v>
      </c>
    </row>
    <row r="650" spans="1:17" x14ac:dyDescent="0.3">
      <c r="A650" s="154" t="s">
        <v>162</v>
      </c>
      <c r="B650" s="154" t="s">
        <v>2854</v>
      </c>
      <c r="C650" s="154" t="s">
        <v>2855</v>
      </c>
      <c r="D650" s="154">
        <v>213472.36</v>
      </c>
      <c r="E650" s="154">
        <v>0</v>
      </c>
      <c r="F650" s="154">
        <v>0</v>
      </c>
      <c r="G650" s="154">
        <v>0</v>
      </c>
      <c r="H650" s="154">
        <v>0</v>
      </c>
      <c r="I650" s="154">
        <v>0</v>
      </c>
      <c r="J650" s="154">
        <v>0</v>
      </c>
      <c r="K650" s="154">
        <v>0</v>
      </c>
      <c r="L650" s="154">
        <v>0</v>
      </c>
      <c r="M650" s="154">
        <v>0</v>
      </c>
      <c r="N650" s="154">
        <v>0</v>
      </c>
      <c r="O650" s="154">
        <v>0</v>
      </c>
      <c r="P650" s="154">
        <v>0</v>
      </c>
      <c r="Q650" s="78">
        <f t="shared" si="9"/>
        <v>0</v>
      </c>
    </row>
    <row r="651" spans="1:17" x14ac:dyDescent="0.3">
      <c r="A651" s="154" t="s">
        <v>162</v>
      </c>
      <c r="B651" s="154" t="s">
        <v>2856</v>
      </c>
      <c r="C651" s="154" t="s">
        <v>2857</v>
      </c>
      <c r="D651" s="154">
        <v>-606023.59</v>
      </c>
      <c r="E651" s="154">
        <v>0</v>
      </c>
      <c r="F651" s="154">
        <v>0</v>
      </c>
      <c r="G651" s="154">
        <v>0</v>
      </c>
      <c r="H651" s="154">
        <v>0</v>
      </c>
      <c r="I651" s="154">
        <v>0</v>
      </c>
      <c r="J651" s="154">
        <v>0</v>
      </c>
      <c r="K651" s="154">
        <v>0</v>
      </c>
      <c r="L651" s="154">
        <v>0</v>
      </c>
      <c r="M651" s="154">
        <v>0</v>
      </c>
      <c r="N651" s="154">
        <v>0</v>
      </c>
      <c r="O651" s="154">
        <v>0</v>
      </c>
      <c r="P651" s="154">
        <v>0</v>
      </c>
      <c r="Q651" s="78">
        <f t="shared" si="9"/>
        <v>0</v>
      </c>
    </row>
    <row r="652" spans="1:17" x14ac:dyDescent="0.3">
      <c r="A652" s="154" t="s">
        <v>162</v>
      </c>
      <c r="B652" s="154" t="s">
        <v>2858</v>
      </c>
      <c r="C652" s="154" t="s">
        <v>2859</v>
      </c>
      <c r="D652" s="154">
        <v>11467407.630000001</v>
      </c>
      <c r="E652" s="154">
        <v>294744</v>
      </c>
      <c r="F652" s="154">
        <v>319914</v>
      </c>
      <c r="G652" s="154">
        <v>679992</v>
      </c>
      <c r="H652" s="154">
        <v>294908</v>
      </c>
      <c r="I652" s="154">
        <v>302032</v>
      </c>
      <c r="J652" s="154">
        <v>240562</v>
      </c>
      <c r="K652" s="154">
        <v>832510</v>
      </c>
      <c r="L652" s="154">
        <v>534031</v>
      </c>
      <c r="M652" s="154">
        <v>235526</v>
      </c>
      <c r="N652" s="154">
        <v>239020</v>
      </c>
      <c r="O652" s="154">
        <v>245706</v>
      </c>
      <c r="P652" s="154">
        <v>211602</v>
      </c>
      <c r="Q652" s="78">
        <f t="shared" si="9"/>
        <v>4430547</v>
      </c>
    </row>
    <row r="653" spans="1:17" x14ac:dyDescent="0.3">
      <c r="A653" s="154" t="s">
        <v>162</v>
      </c>
      <c r="B653" s="154" t="s">
        <v>2860</v>
      </c>
      <c r="C653" s="154" t="s">
        <v>2861</v>
      </c>
      <c r="D653" s="154">
        <v>-13680525.390000001</v>
      </c>
      <c r="E653" s="154">
        <v>1430695</v>
      </c>
      <c r="F653" s="154">
        <v>181881</v>
      </c>
      <c r="G653" s="154">
        <v>-5725328</v>
      </c>
      <c r="H653" s="154">
        <v>3517146</v>
      </c>
      <c r="I653" s="154">
        <v>6173508</v>
      </c>
      <c r="J653" s="154">
        <v>9810053</v>
      </c>
      <c r="K653" s="154">
        <v>11192438</v>
      </c>
      <c r="L653" s="154">
        <v>11430218</v>
      </c>
      <c r="M653" s="154">
        <v>7701181</v>
      </c>
      <c r="N653" s="154">
        <v>4427448</v>
      </c>
      <c r="O653" s="154">
        <v>-80893</v>
      </c>
      <c r="P653" s="154">
        <v>331276</v>
      </c>
      <c r="Q653" s="78">
        <f t="shared" si="9"/>
        <v>50389623</v>
      </c>
    </row>
    <row r="654" spans="1:17" x14ac:dyDescent="0.3">
      <c r="A654" s="154" t="s">
        <v>162</v>
      </c>
      <c r="B654" s="154" t="s">
        <v>2862</v>
      </c>
      <c r="C654" s="154" t="s">
        <v>2863</v>
      </c>
      <c r="D654" s="154">
        <v>3178167.9</v>
      </c>
      <c r="E654" s="154">
        <v>81688</v>
      </c>
      <c r="F654" s="154">
        <v>88663</v>
      </c>
      <c r="G654" s="154">
        <v>188458</v>
      </c>
      <c r="H654" s="154">
        <v>81733</v>
      </c>
      <c r="I654" s="154">
        <v>83707</v>
      </c>
      <c r="J654" s="154">
        <v>66671</v>
      </c>
      <c r="K654" s="154">
        <v>230729</v>
      </c>
      <c r="L654" s="154">
        <v>148006</v>
      </c>
      <c r="M654" s="154">
        <v>65276</v>
      </c>
      <c r="N654" s="154">
        <v>66244</v>
      </c>
      <c r="O654" s="154">
        <v>68097</v>
      </c>
      <c r="P654" s="154">
        <v>58645</v>
      </c>
      <c r="Q654" s="78">
        <f t="shared" si="9"/>
        <v>1227917</v>
      </c>
    </row>
    <row r="655" spans="1:17" x14ac:dyDescent="0.3">
      <c r="A655" s="154" t="s">
        <v>162</v>
      </c>
      <c r="B655" s="154" t="s">
        <v>2864</v>
      </c>
      <c r="C655" s="154" t="s">
        <v>2865</v>
      </c>
      <c r="D655" s="154">
        <v>-2820350.29</v>
      </c>
      <c r="E655" s="154">
        <v>317234</v>
      </c>
      <c r="F655" s="154">
        <v>-28873</v>
      </c>
      <c r="G655" s="154">
        <v>-1666043</v>
      </c>
      <c r="H655" s="154">
        <v>895489</v>
      </c>
      <c r="I655" s="154">
        <v>1631694</v>
      </c>
      <c r="J655" s="154">
        <v>2639555</v>
      </c>
      <c r="K655" s="154">
        <v>3022680</v>
      </c>
      <c r="L655" s="154">
        <v>3088580</v>
      </c>
      <c r="M655" s="154">
        <v>2055085</v>
      </c>
      <c r="N655" s="154">
        <v>1147777</v>
      </c>
      <c r="O655" s="154">
        <v>-101700</v>
      </c>
      <c r="P655" s="154">
        <v>12532</v>
      </c>
      <c r="Q655" s="78">
        <f t="shared" ref="Q655:Q718" si="10">SUM(E655:P655)</f>
        <v>13014010</v>
      </c>
    </row>
    <row r="656" spans="1:17" x14ac:dyDescent="0.3">
      <c r="A656" s="154" t="s">
        <v>162</v>
      </c>
      <c r="B656" s="154" t="s">
        <v>2866</v>
      </c>
      <c r="C656" s="154" t="s">
        <v>2867</v>
      </c>
      <c r="D656" s="154">
        <v>23882427.82</v>
      </c>
      <c r="E656" s="154">
        <v>10125688</v>
      </c>
      <c r="F656" s="154">
        <v>6460322</v>
      </c>
      <c r="G656" s="154">
        <v>17431630</v>
      </c>
      <c r="H656" s="154">
        <v>6372505</v>
      </c>
      <c r="I656" s="154">
        <v>6790270</v>
      </c>
      <c r="J656" s="154">
        <v>6367956</v>
      </c>
      <c r="K656" s="154">
        <v>6455165</v>
      </c>
      <c r="L656" s="154">
        <v>6334830</v>
      </c>
      <c r="M656" s="154">
        <v>6249053</v>
      </c>
      <c r="N656" s="154">
        <v>6036022</v>
      </c>
      <c r="O656" s="154">
        <v>6087795</v>
      </c>
      <c r="P656" s="154">
        <v>9555424</v>
      </c>
      <c r="Q656" s="78">
        <f t="shared" si="10"/>
        <v>94266660</v>
      </c>
    </row>
    <row r="657" spans="1:17" x14ac:dyDescent="0.3">
      <c r="A657" s="154" t="s">
        <v>162</v>
      </c>
      <c r="B657" s="154" t="s">
        <v>2868</v>
      </c>
      <c r="C657" s="154" t="s">
        <v>2869</v>
      </c>
      <c r="D657" s="154">
        <v>243.06</v>
      </c>
      <c r="E657" s="154">
        <v>0</v>
      </c>
      <c r="F657" s="154">
        <v>0</v>
      </c>
      <c r="G657" s="154">
        <v>0</v>
      </c>
      <c r="H657" s="154">
        <v>0</v>
      </c>
      <c r="I657" s="154">
        <v>0</v>
      </c>
      <c r="J657" s="154">
        <v>0</v>
      </c>
      <c r="K657" s="154">
        <v>0</v>
      </c>
      <c r="L657" s="154">
        <v>0</v>
      </c>
      <c r="M657" s="154">
        <v>0</v>
      </c>
      <c r="N657" s="154">
        <v>0</v>
      </c>
      <c r="O657" s="154">
        <v>0</v>
      </c>
      <c r="P657" s="154">
        <v>0</v>
      </c>
      <c r="Q657" s="78">
        <f t="shared" si="10"/>
        <v>0</v>
      </c>
    </row>
    <row r="658" spans="1:17" x14ac:dyDescent="0.3">
      <c r="A658" s="154" t="s">
        <v>162</v>
      </c>
      <c r="B658" s="154" t="s">
        <v>2870</v>
      </c>
      <c r="C658" s="154" t="s">
        <v>2871</v>
      </c>
      <c r="D658" s="154">
        <v>-15638243.560000001</v>
      </c>
      <c r="E658" s="154">
        <v>-9612382</v>
      </c>
      <c r="F658" s="154">
        <v>-7212006</v>
      </c>
      <c r="G658" s="154">
        <v>-7743333</v>
      </c>
      <c r="H658" s="154">
        <v>-9016747</v>
      </c>
      <c r="I658" s="154">
        <v>-9191917</v>
      </c>
      <c r="J658" s="154">
        <v>-10775901</v>
      </c>
      <c r="K658" s="154">
        <v>-10187961</v>
      </c>
      <c r="L658" s="154">
        <v>-9635798</v>
      </c>
      <c r="M658" s="154">
        <v>-22504789</v>
      </c>
      <c r="N658" s="154">
        <v>-6334726</v>
      </c>
      <c r="O658" s="154">
        <v>-5479433</v>
      </c>
      <c r="P658" s="154">
        <v>-6511840</v>
      </c>
      <c r="Q658" s="78">
        <f t="shared" si="10"/>
        <v>-114206833</v>
      </c>
    </row>
    <row r="659" spans="1:17" x14ac:dyDescent="0.3">
      <c r="A659" s="154" t="s">
        <v>162</v>
      </c>
      <c r="B659" s="154" t="s">
        <v>2872</v>
      </c>
      <c r="C659" s="154" t="s">
        <v>2873</v>
      </c>
      <c r="D659" s="154">
        <v>-4419.22</v>
      </c>
      <c r="E659" s="154">
        <v>0</v>
      </c>
      <c r="F659" s="154">
        <v>0</v>
      </c>
      <c r="G659" s="154">
        <v>0</v>
      </c>
      <c r="H659" s="154">
        <v>0</v>
      </c>
      <c r="I659" s="154">
        <v>0</v>
      </c>
      <c r="J659" s="154">
        <v>0</v>
      </c>
      <c r="K659" s="154">
        <v>0</v>
      </c>
      <c r="L659" s="154">
        <v>0</v>
      </c>
      <c r="M659" s="154">
        <v>0</v>
      </c>
      <c r="N659" s="154">
        <v>0</v>
      </c>
      <c r="O659" s="154">
        <v>0</v>
      </c>
      <c r="P659" s="154">
        <v>0</v>
      </c>
      <c r="Q659" s="78">
        <f t="shared" si="10"/>
        <v>0</v>
      </c>
    </row>
    <row r="660" spans="1:17" x14ac:dyDescent="0.3">
      <c r="A660" s="154" t="s">
        <v>162</v>
      </c>
      <c r="B660" s="154" t="s">
        <v>2874</v>
      </c>
      <c r="C660" s="154" t="s">
        <v>2063</v>
      </c>
      <c r="D660" s="154">
        <v>167629.07999999999</v>
      </c>
      <c r="E660" s="154">
        <v>7437</v>
      </c>
      <c r="F660" s="154">
        <v>7437</v>
      </c>
      <c r="G660" s="154">
        <v>7437</v>
      </c>
      <c r="H660" s="154">
        <v>7437</v>
      </c>
      <c r="I660" s="154">
        <v>7437</v>
      </c>
      <c r="J660" s="154">
        <v>7437</v>
      </c>
      <c r="K660" s="154">
        <v>7437</v>
      </c>
      <c r="L660" s="154">
        <v>7437</v>
      </c>
      <c r="M660" s="154">
        <v>7437</v>
      </c>
      <c r="N660" s="154">
        <v>7437</v>
      </c>
      <c r="O660" s="154">
        <v>7437</v>
      </c>
      <c r="P660" s="154">
        <v>7437</v>
      </c>
      <c r="Q660" s="78">
        <f t="shared" si="10"/>
        <v>89244</v>
      </c>
    </row>
    <row r="661" spans="1:17" x14ac:dyDescent="0.3">
      <c r="A661" s="154" t="s">
        <v>162</v>
      </c>
      <c r="B661" s="154" t="s">
        <v>2875</v>
      </c>
      <c r="C661" s="154" t="s">
        <v>2876</v>
      </c>
      <c r="D661" s="154">
        <v>-9219.6</v>
      </c>
      <c r="E661" s="154">
        <v>-135223</v>
      </c>
      <c r="F661" s="154">
        <v>-135223</v>
      </c>
      <c r="G661" s="154">
        <v>-135223</v>
      </c>
      <c r="H661" s="154">
        <v>-135223</v>
      </c>
      <c r="I661" s="154">
        <v>-135223</v>
      </c>
      <c r="J661" s="154">
        <v>-135223</v>
      </c>
      <c r="K661" s="154">
        <v>-135223</v>
      </c>
      <c r="L661" s="154">
        <v>-135223</v>
      </c>
      <c r="M661" s="154">
        <v>-135223</v>
      </c>
      <c r="N661" s="154">
        <v>-135223</v>
      </c>
      <c r="O661" s="154">
        <v>-135223</v>
      </c>
      <c r="P661" s="154">
        <v>-135223</v>
      </c>
      <c r="Q661" s="78">
        <f t="shared" si="10"/>
        <v>-1622676</v>
      </c>
    </row>
    <row r="662" spans="1:17" x14ac:dyDescent="0.3">
      <c r="A662" s="154" t="s">
        <v>162</v>
      </c>
      <c r="B662" s="154" t="s">
        <v>2877</v>
      </c>
      <c r="C662" s="154" t="s">
        <v>2878</v>
      </c>
      <c r="D662" s="154">
        <v>4123711.74</v>
      </c>
      <c r="E662" s="154">
        <v>2954859</v>
      </c>
      <c r="F662" s="154">
        <v>2038742</v>
      </c>
      <c r="G662" s="154">
        <v>3539819</v>
      </c>
      <c r="H662" s="154">
        <v>1999687</v>
      </c>
      <c r="I662" s="154">
        <v>2109471</v>
      </c>
      <c r="J662" s="154">
        <v>1979396</v>
      </c>
      <c r="K662" s="154">
        <v>1998436</v>
      </c>
      <c r="L662" s="154">
        <v>1975911</v>
      </c>
      <c r="M662" s="154">
        <v>1962079</v>
      </c>
      <c r="N662" s="154">
        <v>1939643</v>
      </c>
      <c r="O662" s="154">
        <v>1955555</v>
      </c>
      <c r="P662" s="154">
        <v>2031055</v>
      </c>
      <c r="Q662" s="78">
        <f t="shared" si="10"/>
        <v>26484653</v>
      </c>
    </row>
    <row r="663" spans="1:17" x14ac:dyDescent="0.3">
      <c r="A663" s="154" t="s">
        <v>162</v>
      </c>
      <c r="B663" s="154" t="s">
        <v>2879</v>
      </c>
      <c r="C663" s="154" t="s">
        <v>2880</v>
      </c>
      <c r="D663" s="154">
        <v>-3048908.05</v>
      </c>
      <c r="E663" s="154">
        <v>-1650727</v>
      </c>
      <c r="F663" s="154">
        <v>-910219</v>
      </c>
      <c r="G663" s="154">
        <v>-848053</v>
      </c>
      <c r="H663" s="154">
        <v>-1203601</v>
      </c>
      <c r="I663" s="154">
        <v>-1154622</v>
      </c>
      <c r="J663" s="154">
        <v>-1550865</v>
      </c>
      <c r="K663" s="154">
        <v>-1575425</v>
      </c>
      <c r="L663" s="154">
        <v>-1456441</v>
      </c>
      <c r="M663" s="154">
        <v>-1178256</v>
      </c>
      <c r="N663" s="154">
        <v>-692855</v>
      </c>
      <c r="O663" s="154">
        <v>-604795</v>
      </c>
      <c r="P663" s="154">
        <v>-762647</v>
      </c>
      <c r="Q663" s="78">
        <f t="shared" si="10"/>
        <v>-13588506</v>
      </c>
    </row>
    <row r="664" spans="1:17" x14ac:dyDescent="0.3">
      <c r="A664" s="154" t="s">
        <v>162</v>
      </c>
      <c r="B664" s="154" t="s">
        <v>2881</v>
      </c>
      <c r="C664" s="154" t="s">
        <v>2882</v>
      </c>
      <c r="D664" s="154">
        <v>-1157.4100000000001</v>
      </c>
      <c r="E664" s="154">
        <v>0</v>
      </c>
      <c r="F664" s="154">
        <v>0</v>
      </c>
      <c r="G664" s="154">
        <v>0</v>
      </c>
      <c r="H664" s="154">
        <v>0</v>
      </c>
      <c r="I664" s="154">
        <v>0</v>
      </c>
      <c r="J664" s="154">
        <v>0</v>
      </c>
      <c r="K664" s="154">
        <v>0</v>
      </c>
      <c r="L664" s="154">
        <v>0</v>
      </c>
      <c r="M664" s="154">
        <v>0</v>
      </c>
      <c r="N664" s="154">
        <v>0</v>
      </c>
      <c r="O664" s="154">
        <v>0</v>
      </c>
      <c r="P664" s="154">
        <v>0</v>
      </c>
      <c r="Q664" s="78">
        <f t="shared" si="10"/>
        <v>0</v>
      </c>
    </row>
    <row r="665" spans="1:17" x14ac:dyDescent="0.3">
      <c r="A665" s="154" t="s">
        <v>162</v>
      </c>
      <c r="B665" s="154" t="s">
        <v>2883</v>
      </c>
      <c r="C665" s="154" t="s">
        <v>2065</v>
      </c>
      <c r="D665" s="154">
        <v>46942.77</v>
      </c>
      <c r="E665" s="154">
        <v>0</v>
      </c>
      <c r="F665" s="154">
        <v>0</v>
      </c>
      <c r="G665" s="154">
        <v>0</v>
      </c>
      <c r="H665" s="154">
        <v>0</v>
      </c>
      <c r="I665" s="154">
        <v>0</v>
      </c>
      <c r="J665" s="154">
        <v>0</v>
      </c>
      <c r="K665" s="154">
        <v>0</v>
      </c>
      <c r="L665" s="154">
        <v>0</v>
      </c>
      <c r="M665" s="154">
        <v>0</v>
      </c>
      <c r="N665" s="154">
        <v>0</v>
      </c>
      <c r="O665" s="154">
        <v>0</v>
      </c>
      <c r="P665" s="154">
        <v>0</v>
      </c>
      <c r="Q665" s="78">
        <f t="shared" si="10"/>
        <v>0</v>
      </c>
    </row>
    <row r="666" spans="1:17" x14ac:dyDescent="0.3">
      <c r="A666" s="154" t="s">
        <v>162</v>
      </c>
      <c r="B666" s="154" t="s">
        <v>2884</v>
      </c>
      <c r="C666" s="154" t="s">
        <v>2885</v>
      </c>
      <c r="D666" s="154">
        <v>0</v>
      </c>
      <c r="E666" s="154">
        <v>-35416</v>
      </c>
      <c r="F666" s="154">
        <v>-35416</v>
      </c>
      <c r="G666" s="154">
        <v>-35416</v>
      </c>
      <c r="H666" s="154">
        <v>-35416</v>
      </c>
      <c r="I666" s="154">
        <v>-35416</v>
      </c>
      <c r="J666" s="154">
        <v>-35416</v>
      </c>
      <c r="K666" s="154">
        <v>-35416</v>
      </c>
      <c r="L666" s="154">
        <v>-35416</v>
      </c>
      <c r="M666" s="154">
        <v>-35416</v>
      </c>
      <c r="N666" s="154">
        <v>-35416</v>
      </c>
      <c r="O666" s="154">
        <v>-35416</v>
      </c>
      <c r="P666" s="154">
        <v>-35416</v>
      </c>
      <c r="Q666" s="78">
        <f t="shared" si="10"/>
        <v>-424992</v>
      </c>
    </row>
    <row r="667" spans="1:17" x14ac:dyDescent="0.3">
      <c r="A667" s="154" t="s">
        <v>162</v>
      </c>
      <c r="B667" s="154" t="s">
        <v>2886</v>
      </c>
      <c r="C667" s="154" t="s">
        <v>2887</v>
      </c>
      <c r="D667" s="154">
        <v>-345077.55</v>
      </c>
      <c r="E667" s="154">
        <v>-673078</v>
      </c>
      <c r="F667" s="154">
        <v>-398623</v>
      </c>
      <c r="G667" s="154">
        <v>-673731</v>
      </c>
      <c r="H667" s="154">
        <v>-673731</v>
      </c>
      <c r="I667" s="154">
        <v>-673731</v>
      </c>
      <c r="J667" s="154">
        <v>-673731</v>
      </c>
      <c r="K667" s="154">
        <v>-673731</v>
      </c>
      <c r="L667" s="154">
        <v>-673731</v>
      </c>
      <c r="M667" s="154">
        <v>4807269</v>
      </c>
      <c r="N667" s="154">
        <v>-719406</v>
      </c>
      <c r="O667" s="154">
        <v>-719406</v>
      </c>
      <c r="P667" s="154">
        <v>-719416</v>
      </c>
      <c r="Q667" s="78">
        <f t="shared" si="10"/>
        <v>-2465046</v>
      </c>
    </row>
    <row r="668" spans="1:17" x14ac:dyDescent="0.3">
      <c r="A668" s="154" t="s">
        <v>162</v>
      </c>
      <c r="B668" s="154" t="s">
        <v>2888</v>
      </c>
      <c r="C668" s="154" t="s">
        <v>2889</v>
      </c>
      <c r="D668" s="154">
        <v>-1.44</v>
      </c>
      <c r="E668" s="154">
        <v>-1</v>
      </c>
      <c r="F668" s="154">
        <v>-1</v>
      </c>
      <c r="G668" s="154">
        <v>-1</v>
      </c>
      <c r="H668" s="154">
        <v>-1</v>
      </c>
      <c r="I668" s="154">
        <v>-1</v>
      </c>
      <c r="J668" s="154">
        <v>-1</v>
      </c>
      <c r="K668" s="154">
        <v>-1</v>
      </c>
      <c r="L668" s="154">
        <v>-1</v>
      </c>
      <c r="M668" s="154">
        <v>-1</v>
      </c>
      <c r="N668" s="154">
        <v>-1</v>
      </c>
      <c r="O668" s="154">
        <v>-1</v>
      </c>
      <c r="P668" s="154">
        <v>-1</v>
      </c>
      <c r="Q668" s="78">
        <f t="shared" si="10"/>
        <v>-12</v>
      </c>
    </row>
    <row r="669" spans="1:17" x14ac:dyDescent="0.3">
      <c r="A669" s="154" t="s">
        <v>162</v>
      </c>
      <c r="B669" s="154" t="s">
        <v>2890</v>
      </c>
      <c r="C669" s="154" t="s">
        <v>2891</v>
      </c>
      <c r="D669" s="154">
        <v>-4794685.26</v>
      </c>
      <c r="E669" s="154">
        <v>0</v>
      </c>
      <c r="F669" s="154">
        <v>0</v>
      </c>
      <c r="G669" s="154">
        <v>0</v>
      </c>
      <c r="H669" s="154">
        <v>0</v>
      </c>
      <c r="I669" s="154">
        <v>0</v>
      </c>
      <c r="J669" s="154">
        <v>0</v>
      </c>
      <c r="K669" s="154">
        <v>0</v>
      </c>
      <c r="L669" s="154">
        <v>0</v>
      </c>
      <c r="M669" s="154">
        <v>0</v>
      </c>
      <c r="N669" s="154">
        <v>0</v>
      </c>
      <c r="O669" s="154">
        <v>0</v>
      </c>
      <c r="P669" s="154">
        <v>0</v>
      </c>
      <c r="Q669" s="78">
        <f t="shared" si="10"/>
        <v>0</v>
      </c>
    </row>
    <row r="670" spans="1:17" x14ac:dyDescent="0.3">
      <c r="A670" s="154" t="s">
        <v>162</v>
      </c>
      <c r="B670" s="154" t="s">
        <v>2892</v>
      </c>
      <c r="C670" s="154" t="s">
        <v>2893</v>
      </c>
      <c r="D670" s="154">
        <v>-55646.58</v>
      </c>
      <c r="E670" s="154">
        <v>0</v>
      </c>
      <c r="F670" s="154">
        <v>0</v>
      </c>
      <c r="G670" s="154">
        <v>0</v>
      </c>
      <c r="H670" s="154">
        <v>0</v>
      </c>
      <c r="I670" s="154">
        <v>0</v>
      </c>
      <c r="J670" s="154">
        <v>0</v>
      </c>
      <c r="K670" s="154">
        <v>0</v>
      </c>
      <c r="L670" s="154">
        <v>0</v>
      </c>
      <c r="M670" s="154">
        <v>0</v>
      </c>
      <c r="N670" s="154">
        <v>0</v>
      </c>
      <c r="O670" s="154">
        <v>0</v>
      </c>
      <c r="P670" s="154">
        <v>0</v>
      </c>
      <c r="Q670" s="78">
        <f t="shared" si="10"/>
        <v>0</v>
      </c>
    </row>
    <row r="671" spans="1:17" x14ac:dyDescent="0.3">
      <c r="A671" s="154" t="s">
        <v>162</v>
      </c>
      <c r="B671" s="154" t="s">
        <v>2894</v>
      </c>
      <c r="C671" s="154" t="s">
        <v>2895</v>
      </c>
      <c r="D671" s="154">
        <v>-13500.03</v>
      </c>
      <c r="E671" s="154">
        <v>0</v>
      </c>
      <c r="F671" s="154">
        <v>0</v>
      </c>
      <c r="G671" s="154">
        <v>0</v>
      </c>
      <c r="H671" s="154">
        <v>0</v>
      </c>
      <c r="I671" s="154">
        <v>0</v>
      </c>
      <c r="J671" s="154">
        <v>0</v>
      </c>
      <c r="K671" s="154">
        <v>0</v>
      </c>
      <c r="L671" s="154">
        <v>0</v>
      </c>
      <c r="M671" s="154">
        <v>0</v>
      </c>
      <c r="N671" s="154">
        <v>0</v>
      </c>
      <c r="O671" s="154">
        <v>0</v>
      </c>
      <c r="P671" s="154">
        <v>0</v>
      </c>
      <c r="Q671" s="78">
        <f t="shared" si="10"/>
        <v>0</v>
      </c>
    </row>
    <row r="672" spans="1:17" x14ac:dyDescent="0.3">
      <c r="A672" s="154" t="s">
        <v>162</v>
      </c>
      <c r="B672" s="154" t="s">
        <v>2896</v>
      </c>
      <c r="C672" s="154" t="s">
        <v>2897</v>
      </c>
      <c r="D672" s="154">
        <v>-546090.74</v>
      </c>
      <c r="E672" s="154">
        <v>0</v>
      </c>
      <c r="F672" s="154">
        <v>0</v>
      </c>
      <c r="G672" s="154">
        <v>0</v>
      </c>
      <c r="H672" s="154">
        <v>0</v>
      </c>
      <c r="I672" s="154">
        <v>0</v>
      </c>
      <c r="J672" s="154">
        <v>0</v>
      </c>
      <c r="K672" s="154">
        <v>0</v>
      </c>
      <c r="L672" s="154">
        <v>0</v>
      </c>
      <c r="M672" s="154">
        <v>0</v>
      </c>
      <c r="N672" s="154">
        <v>0</v>
      </c>
      <c r="O672" s="154">
        <v>0</v>
      </c>
      <c r="P672" s="154">
        <v>0</v>
      </c>
      <c r="Q672" s="78">
        <f t="shared" si="10"/>
        <v>0</v>
      </c>
    </row>
    <row r="673" spans="1:17" x14ac:dyDescent="0.3">
      <c r="A673" s="154" t="s">
        <v>162</v>
      </c>
      <c r="B673" s="154" t="s">
        <v>2898</v>
      </c>
      <c r="C673" s="154" t="s">
        <v>2899</v>
      </c>
      <c r="D673" s="154">
        <v>-917857.92</v>
      </c>
      <c r="E673" s="154">
        <v>0</v>
      </c>
      <c r="F673" s="154">
        <v>0</v>
      </c>
      <c r="G673" s="154">
        <v>0</v>
      </c>
      <c r="H673" s="154">
        <v>0</v>
      </c>
      <c r="I673" s="154">
        <v>0</v>
      </c>
      <c r="J673" s="154">
        <v>0</v>
      </c>
      <c r="K673" s="154">
        <v>0</v>
      </c>
      <c r="L673" s="154">
        <v>0</v>
      </c>
      <c r="M673" s="154">
        <v>0</v>
      </c>
      <c r="N673" s="154">
        <v>0</v>
      </c>
      <c r="O673" s="154">
        <v>0</v>
      </c>
      <c r="P673" s="154">
        <v>0</v>
      </c>
      <c r="Q673" s="78">
        <f t="shared" si="10"/>
        <v>0</v>
      </c>
    </row>
    <row r="674" spans="1:17" x14ac:dyDescent="0.3">
      <c r="A674" s="154" t="s">
        <v>162</v>
      </c>
      <c r="B674" s="154" t="s">
        <v>2900</v>
      </c>
      <c r="C674" s="154" t="s">
        <v>2901</v>
      </c>
      <c r="D674" s="154">
        <v>-29638.83</v>
      </c>
      <c r="E674" s="154">
        <v>0</v>
      </c>
      <c r="F674" s="154">
        <v>0</v>
      </c>
      <c r="G674" s="154">
        <v>0</v>
      </c>
      <c r="H674" s="154">
        <v>0</v>
      </c>
      <c r="I674" s="154">
        <v>0</v>
      </c>
      <c r="J674" s="154">
        <v>0</v>
      </c>
      <c r="K674" s="154">
        <v>0</v>
      </c>
      <c r="L674" s="154">
        <v>0</v>
      </c>
      <c r="M674" s="154">
        <v>0</v>
      </c>
      <c r="N674" s="154">
        <v>0</v>
      </c>
      <c r="O674" s="154">
        <v>0</v>
      </c>
      <c r="P674" s="154">
        <v>0</v>
      </c>
      <c r="Q674" s="78">
        <f t="shared" si="10"/>
        <v>0</v>
      </c>
    </row>
    <row r="675" spans="1:17" x14ac:dyDescent="0.3">
      <c r="A675" s="154" t="s">
        <v>162</v>
      </c>
      <c r="B675" s="154" t="s">
        <v>2902</v>
      </c>
      <c r="C675" s="154" t="s">
        <v>2903</v>
      </c>
      <c r="D675" s="154">
        <v>-27510.16</v>
      </c>
      <c r="E675" s="154">
        <v>0</v>
      </c>
      <c r="F675" s="154">
        <v>0</v>
      </c>
      <c r="G675" s="154">
        <v>0</v>
      </c>
      <c r="H675" s="154">
        <v>0</v>
      </c>
      <c r="I675" s="154">
        <v>0</v>
      </c>
      <c r="J675" s="154">
        <v>0</v>
      </c>
      <c r="K675" s="154">
        <v>0</v>
      </c>
      <c r="L675" s="154">
        <v>0</v>
      </c>
      <c r="M675" s="154">
        <v>0</v>
      </c>
      <c r="N675" s="154">
        <v>0</v>
      </c>
      <c r="O675" s="154">
        <v>0</v>
      </c>
      <c r="P675" s="154">
        <v>0</v>
      </c>
      <c r="Q675" s="78">
        <f t="shared" si="10"/>
        <v>0</v>
      </c>
    </row>
    <row r="676" spans="1:17" x14ac:dyDescent="0.3">
      <c r="A676" s="154" t="s">
        <v>162</v>
      </c>
      <c r="B676" s="154" t="s">
        <v>2904</v>
      </c>
      <c r="C676" s="154" t="s">
        <v>2905</v>
      </c>
      <c r="D676" s="154">
        <v>-109159.65</v>
      </c>
      <c r="E676" s="154">
        <v>0</v>
      </c>
      <c r="F676" s="154">
        <v>0</v>
      </c>
      <c r="G676" s="154">
        <v>0</v>
      </c>
      <c r="H676" s="154">
        <v>0</v>
      </c>
      <c r="I676" s="154">
        <v>0</v>
      </c>
      <c r="J676" s="154">
        <v>0</v>
      </c>
      <c r="K676" s="154">
        <v>0</v>
      </c>
      <c r="L676" s="154">
        <v>0</v>
      </c>
      <c r="M676" s="154">
        <v>0</v>
      </c>
      <c r="N676" s="154">
        <v>0</v>
      </c>
      <c r="O676" s="154">
        <v>0</v>
      </c>
      <c r="P676" s="154">
        <v>0</v>
      </c>
      <c r="Q676" s="78">
        <f t="shared" si="10"/>
        <v>0</v>
      </c>
    </row>
    <row r="677" spans="1:17" x14ac:dyDescent="0.3">
      <c r="A677" s="154" t="s">
        <v>162</v>
      </c>
      <c r="B677" s="154" t="s">
        <v>2906</v>
      </c>
      <c r="C677" s="154" t="s">
        <v>2907</v>
      </c>
      <c r="D677" s="154">
        <v>-33414.019999999997</v>
      </c>
      <c r="E677" s="154">
        <v>0</v>
      </c>
      <c r="F677" s="154">
        <v>0</v>
      </c>
      <c r="G677" s="154">
        <v>0</v>
      </c>
      <c r="H677" s="154">
        <v>0</v>
      </c>
      <c r="I677" s="154">
        <v>0</v>
      </c>
      <c r="J677" s="154">
        <v>0</v>
      </c>
      <c r="K677" s="154">
        <v>0</v>
      </c>
      <c r="L677" s="154">
        <v>0</v>
      </c>
      <c r="M677" s="154">
        <v>0</v>
      </c>
      <c r="N677" s="154">
        <v>0</v>
      </c>
      <c r="O677" s="154">
        <v>0</v>
      </c>
      <c r="P677" s="154">
        <v>0</v>
      </c>
      <c r="Q677" s="78">
        <f t="shared" si="10"/>
        <v>0</v>
      </c>
    </row>
    <row r="678" spans="1:17" x14ac:dyDescent="0.3">
      <c r="A678" s="154" t="s">
        <v>162</v>
      </c>
      <c r="B678" s="154" t="s">
        <v>2908</v>
      </c>
      <c r="C678" s="154" t="s">
        <v>2909</v>
      </c>
      <c r="D678" s="154">
        <v>-46973.4</v>
      </c>
      <c r="E678" s="154">
        <v>0</v>
      </c>
      <c r="F678" s="154">
        <v>0</v>
      </c>
      <c r="G678" s="154">
        <v>0</v>
      </c>
      <c r="H678" s="154">
        <v>0</v>
      </c>
      <c r="I678" s="154">
        <v>0</v>
      </c>
      <c r="J678" s="154">
        <v>0</v>
      </c>
      <c r="K678" s="154">
        <v>0</v>
      </c>
      <c r="L678" s="154">
        <v>0</v>
      </c>
      <c r="M678" s="154">
        <v>0</v>
      </c>
      <c r="N678" s="154">
        <v>0</v>
      </c>
      <c r="O678" s="154">
        <v>0</v>
      </c>
      <c r="P678" s="154">
        <v>0</v>
      </c>
      <c r="Q678" s="78">
        <f t="shared" si="10"/>
        <v>0</v>
      </c>
    </row>
    <row r="679" spans="1:17" x14ac:dyDescent="0.3">
      <c r="A679" s="154" t="s">
        <v>162</v>
      </c>
      <c r="B679" s="154" t="s">
        <v>2910</v>
      </c>
      <c r="C679" s="154" t="s">
        <v>2911</v>
      </c>
      <c r="D679" s="154">
        <v>-4273.8900000000003</v>
      </c>
      <c r="E679" s="154">
        <v>0</v>
      </c>
      <c r="F679" s="154">
        <v>0</v>
      </c>
      <c r="G679" s="154">
        <v>0</v>
      </c>
      <c r="H679" s="154">
        <v>0</v>
      </c>
      <c r="I679" s="154">
        <v>0</v>
      </c>
      <c r="J679" s="154">
        <v>0</v>
      </c>
      <c r="K679" s="154">
        <v>0</v>
      </c>
      <c r="L679" s="154">
        <v>0</v>
      </c>
      <c r="M679" s="154">
        <v>0</v>
      </c>
      <c r="N679" s="154">
        <v>0</v>
      </c>
      <c r="O679" s="154">
        <v>0</v>
      </c>
      <c r="P679" s="154">
        <v>0</v>
      </c>
      <c r="Q679" s="78">
        <f t="shared" si="10"/>
        <v>0</v>
      </c>
    </row>
    <row r="680" spans="1:17" x14ac:dyDescent="0.3">
      <c r="A680" s="154" t="s">
        <v>162</v>
      </c>
      <c r="B680" s="154" t="s">
        <v>2912</v>
      </c>
      <c r="C680" s="154" t="s">
        <v>2913</v>
      </c>
      <c r="D680" s="154">
        <v>-9776.4599999999991</v>
      </c>
      <c r="E680" s="154">
        <v>0</v>
      </c>
      <c r="F680" s="154">
        <v>0</v>
      </c>
      <c r="G680" s="154">
        <v>0</v>
      </c>
      <c r="H680" s="154">
        <v>0</v>
      </c>
      <c r="I680" s="154">
        <v>0</v>
      </c>
      <c r="J680" s="154">
        <v>0</v>
      </c>
      <c r="K680" s="154">
        <v>0</v>
      </c>
      <c r="L680" s="154">
        <v>0</v>
      </c>
      <c r="M680" s="154">
        <v>0</v>
      </c>
      <c r="N680" s="154">
        <v>0</v>
      </c>
      <c r="O680" s="154">
        <v>0</v>
      </c>
      <c r="P680" s="154">
        <v>0</v>
      </c>
      <c r="Q680" s="78">
        <f t="shared" si="10"/>
        <v>0</v>
      </c>
    </row>
    <row r="681" spans="1:17" x14ac:dyDescent="0.3">
      <c r="A681" s="154" t="s">
        <v>162</v>
      </c>
      <c r="B681" s="154" t="s">
        <v>2914</v>
      </c>
      <c r="C681" s="154" t="s">
        <v>2915</v>
      </c>
      <c r="D681" s="154">
        <v>-65495.54</v>
      </c>
      <c r="E681" s="154">
        <v>0</v>
      </c>
      <c r="F681" s="154">
        <v>0</v>
      </c>
      <c r="G681" s="154">
        <v>0</v>
      </c>
      <c r="H681" s="154">
        <v>0</v>
      </c>
      <c r="I681" s="154">
        <v>0</v>
      </c>
      <c r="J681" s="154">
        <v>0</v>
      </c>
      <c r="K681" s="154">
        <v>0</v>
      </c>
      <c r="L681" s="154">
        <v>0</v>
      </c>
      <c r="M681" s="154">
        <v>0</v>
      </c>
      <c r="N681" s="154">
        <v>0</v>
      </c>
      <c r="O681" s="154">
        <v>0</v>
      </c>
      <c r="P681" s="154">
        <v>0</v>
      </c>
      <c r="Q681" s="78">
        <f t="shared" si="10"/>
        <v>0</v>
      </c>
    </row>
    <row r="682" spans="1:17" x14ac:dyDescent="0.3">
      <c r="A682" s="154" t="s">
        <v>162</v>
      </c>
      <c r="B682" s="154" t="s">
        <v>2916</v>
      </c>
      <c r="C682" s="154" t="s">
        <v>2917</v>
      </c>
      <c r="D682" s="154">
        <v>-52151.68</v>
      </c>
      <c r="E682" s="154">
        <v>0</v>
      </c>
      <c r="F682" s="154">
        <v>0</v>
      </c>
      <c r="G682" s="154">
        <v>0</v>
      </c>
      <c r="H682" s="154">
        <v>0</v>
      </c>
      <c r="I682" s="154">
        <v>0</v>
      </c>
      <c r="J682" s="154">
        <v>0</v>
      </c>
      <c r="K682" s="154">
        <v>0</v>
      </c>
      <c r="L682" s="154">
        <v>0</v>
      </c>
      <c r="M682" s="154">
        <v>0</v>
      </c>
      <c r="N682" s="154">
        <v>0</v>
      </c>
      <c r="O682" s="154">
        <v>0</v>
      </c>
      <c r="P682" s="154">
        <v>0</v>
      </c>
      <c r="Q682" s="78">
        <f t="shared" si="10"/>
        <v>0</v>
      </c>
    </row>
    <row r="683" spans="1:17" x14ac:dyDescent="0.3">
      <c r="A683" s="154" t="s">
        <v>162</v>
      </c>
      <c r="B683" s="154" t="s">
        <v>2918</v>
      </c>
      <c r="C683" s="154" t="s">
        <v>2919</v>
      </c>
      <c r="D683" s="154">
        <v>-21205891.399999999</v>
      </c>
      <c r="E683" s="154">
        <v>0</v>
      </c>
      <c r="F683" s="154">
        <v>0</v>
      </c>
      <c r="G683" s="154">
        <v>0</v>
      </c>
      <c r="H683" s="154">
        <v>0</v>
      </c>
      <c r="I683" s="154">
        <v>0</v>
      </c>
      <c r="J683" s="154">
        <v>0</v>
      </c>
      <c r="K683" s="154">
        <v>0</v>
      </c>
      <c r="L683" s="154">
        <v>0</v>
      </c>
      <c r="M683" s="154">
        <v>0</v>
      </c>
      <c r="N683" s="154">
        <v>0</v>
      </c>
      <c r="O683" s="154">
        <v>0</v>
      </c>
      <c r="P683" s="154">
        <v>0</v>
      </c>
      <c r="Q683" s="78">
        <f t="shared" si="10"/>
        <v>0</v>
      </c>
    </row>
    <row r="684" spans="1:17" x14ac:dyDescent="0.3">
      <c r="A684" s="154" t="s">
        <v>162</v>
      </c>
      <c r="B684" s="154" t="s">
        <v>2920</v>
      </c>
      <c r="C684" s="154" t="s">
        <v>2921</v>
      </c>
      <c r="D684" s="154">
        <v>0</v>
      </c>
      <c r="E684" s="154">
        <v>-943591.76599590003</v>
      </c>
      <c r="F684" s="154">
        <v>-906114.75694270001</v>
      </c>
      <c r="G684" s="154">
        <v>-906114.75694270001</v>
      </c>
      <c r="H684" s="154">
        <v>-934103.0415551</v>
      </c>
      <c r="I684" s="154">
        <v>-953261.99037310004</v>
      </c>
      <c r="J684" s="154">
        <v>-895785.10210110003</v>
      </c>
      <c r="K684" s="154">
        <v>-953261.99037310004</v>
      </c>
      <c r="L684" s="154">
        <v>-934103.0415551</v>
      </c>
      <c r="M684" s="154">
        <v>-914944.09274670004</v>
      </c>
      <c r="N684" s="154">
        <v>-953261.99037310004</v>
      </c>
      <c r="O684" s="154">
        <v>-914944.09274670004</v>
      </c>
      <c r="P684" s="154">
        <v>-934103.0415551</v>
      </c>
      <c r="Q684" s="78">
        <f t="shared" si="10"/>
        <v>-11143589.663260398</v>
      </c>
    </row>
    <row r="685" spans="1:17" x14ac:dyDescent="0.3">
      <c r="A685" s="154" t="s">
        <v>162</v>
      </c>
      <c r="B685" s="154" t="s">
        <v>2922</v>
      </c>
      <c r="C685" s="154" t="s">
        <v>2923</v>
      </c>
      <c r="D685" s="154">
        <v>0</v>
      </c>
      <c r="E685" s="154">
        <v>32891.961747900001</v>
      </c>
      <c r="F685" s="154">
        <v>30048.1238338</v>
      </c>
      <c r="G685" s="154">
        <v>30995.6738338</v>
      </c>
      <c r="H685" s="154">
        <v>31470.042791</v>
      </c>
      <c r="I685" s="154">
        <v>32891.961747900001</v>
      </c>
      <c r="J685" s="154">
        <v>29573.7517721</v>
      </c>
      <c r="K685" s="154">
        <v>32891.961747900001</v>
      </c>
      <c r="L685" s="154">
        <v>31470.042791</v>
      </c>
      <c r="M685" s="154">
        <v>31627.3738338</v>
      </c>
      <c r="N685" s="154">
        <v>32891.961747900001</v>
      </c>
      <c r="O685" s="154">
        <v>30048.1238338</v>
      </c>
      <c r="P685" s="154">
        <v>33049.292791</v>
      </c>
      <c r="Q685" s="78">
        <f t="shared" si="10"/>
        <v>379850.27247190004</v>
      </c>
    </row>
    <row r="686" spans="1:17" x14ac:dyDescent="0.3">
      <c r="A686" s="154" t="s">
        <v>162</v>
      </c>
      <c r="B686" s="154" t="s">
        <v>2924</v>
      </c>
      <c r="C686" s="154" t="s">
        <v>2925</v>
      </c>
      <c r="D686" s="154">
        <v>0</v>
      </c>
      <c r="E686" s="154">
        <v>85872.0817847</v>
      </c>
      <c r="F686" s="154">
        <v>86834.846230399999</v>
      </c>
      <c r="G686" s="154">
        <v>77845.589008499999</v>
      </c>
      <c r="H686" s="154">
        <v>60825.992194500002</v>
      </c>
      <c r="I686" s="154">
        <v>64036.587876600002</v>
      </c>
      <c r="J686" s="154">
        <v>56663.123384099999</v>
      </c>
      <c r="K686" s="154">
        <v>63089.037876599999</v>
      </c>
      <c r="L686" s="154">
        <v>65033.114194499998</v>
      </c>
      <c r="M686" s="154">
        <v>59494.704008499997</v>
      </c>
      <c r="N686" s="154">
        <v>67963.386784699993</v>
      </c>
      <c r="O686" s="154">
        <v>58815.626508499998</v>
      </c>
      <c r="P686" s="154">
        <v>66451.755514300006</v>
      </c>
      <c r="Q686" s="78">
        <f t="shared" si="10"/>
        <v>812925.84536589985</v>
      </c>
    </row>
    <row r="687" spans="1:17" x14ac:dyDescent="0.3">
      <c r="A687" s="154" t="s">
        <v>162</v>
      </c>
      <c r="B687" s="154" t="s">
        <v>2926</v>
      </c>
      <c r="C687" s="154" t="s">
        <v>2927</v>
      </c>
      <c r="D687" s="154">
        <v>0</v>
      </c>
      <c r="E687" s="154">
        <v>-39004.847349600001</v>
      </c>
      <c r="F687" s="154">
        <v>-35613.1234329</v>
      </c>
      <c r="G687" s="154">
        <v>-35613.1234329</v>
      </c>
      <c r="H687" s="154">
        <v>-38708.072339899998</v>
      </c>
      <c r="I687" s="154">
        <v>-40467.529133900003</v>
      </c>
      <c r="J687" s="154">
        <v>-35189.154934500002</v>
      </c>
      <c r="K687" s="154">
        <v>-40467.529133900003</v>
      </c>
      <c r="L687" s="154">
        <v>-38708.072339899998</v>
      </c>
      <c r="M687" s="154">
        <v>-36948.615559600003</v>
      </c>
      <c r="N687" s="154">
        <v>-40467.529133900003</v>
      </c>
      <c r="O687" s="154">
        <v>-36948.615559600003</v>
      </c>
      <c r="P687" s="154">
        <v>-38708.072339899998</v>
      </c>
      <c r="Q687" s="78">
        <f t="shared" si="10"/>
        <v>-456844.28469050006</v>
      </c>
    </row>
    <row r="688" spans="1:17" x14ac:dyDescent="0.3">
      <c r="A688" s="154" t="s">
        <v>162</v>
      </c>
      <c r="B688" s="154" t="s">
        <v>2928</v>
      </c>
      <c r="C688" s="154" t="s">
        <v>2929</v>
      </c>
      <c r="D688" s="154">
        <v>0</v>
      </c>
      <c r="E688" s="154">
        <v>-7211639.9970004996</v>
      </c>
      <c r="F688" s="154">
        <v>-6578173.1560215997</v>
      </c>
      <c r="G688" s="154">
        <v>-6639396.9225933999</v>
      </c>
      <c r="H688" s="154">
        <v>-7047412.3872739002</v>
      </c>
      <c r="I688" s="154">
        <v>-7338913.5141481003</v>
      </c>
      <c r="J688" s="154">
        <v>-6427532.3603849998</v>
      </c>
      <c r="K688" s="154">
        <v>-7427966.2281745002</v>
      </c>
      <c r="L688" s="154">
        <v>-7117011.6676666997</v>
      </c>
      <c r="M688" s="154">
        <v>-6800676.3815184999</v>
      </c>
      <c r="N688" s="154">
        <v>-7462528.6822742997</v>
      </c>
      <c r="O688" s="154">
        <v>-6774035.3417397002</v>
      </c>
      <c r="P688" s="154">
        <v>-7085298.0528079998</v>
      </c>
      <c r="Q688" s="78">
        <f t="shared" si="10"/>
        <v>-83910584.691604197</v>
      </c>
    </row>
    <row r="689" spans="1:17" x14ac:dyDescent="0.3">
      <c r="A689" s="154" t="s">
        <v>162</v>
      </c>
      <c r="B689" s="154" t="s">
        <v>2930</v>
      </c>
      <c r="C689" s="154" t="s">
        <v>2931</v>
      </c>
      <c r="D689" s="154">
        <v>0</v>
      </c>
      <c r="E689" s="154">
        <v>-426401.73802490003</v>
      </c>
      <c r="F689" s="154">
        <v>-375927.9084595</v>
      </c>
      <c r="G689" s="154">
        <v>-529127.07731570001</v>
      </c>
      <c r="H689" s="154">
        <v>-373899.07634979999</v>
      </c>
      <c r="I689" s="154">
        <v>-400746.52700960002</v>
      </c>
      <c r="J689" s="154">
        <v>-519258.43424680002</v>
      </c>
      <c r="K689" s="154">
        <v>-401349.6437435</v>
      </c>
      <c r="L689" s="154">
        <v>-374015.72660649999</v>
      </c>
      <c r="M689" s="154">
        <v>-546249.37659600005</v>
      </c>
      <c r="N689" s="154">
        <v>-378581.956535</v>
      </c>
      <c r="O689" s="154">
        <v>-395368.9055926</v>
      </c>
      <c r="P689" s="154">
        <v>-528980.16625560005</v>
      </c>
      <c r="Q689" s="78">
        <f t="shared" si="10"/>
        <v>-5249906.5367354993</v>
      </c>
    </row>
    <row r="690" spans="1:17" x14ac:dyDescent="0.3">
      <c r="A690" s="154" t="s">
        <v>162</v>
      </c>
      <c r="B690" s="154" t="s">
        <v>2932</v>
      </c>
      <c r="C690" s="154" t="s">
        <v>2933</v>
      </c>
      <c r="D690" s="154">
        <v>0</v>
      </c>
      <c r="E690" s="154">
        <v>-1057217.1830464001</v>
      </c>
      <c r="F690" s="154">
        <v>-996196.28089409997</v>
      </c>
      <c r="G690" s="154">
        <v>-1074225.1275076999</v>
      </c>
      <c r="H690" s="154">
        <v>-1107214.0879937001</v>
      </c>
      <c r="I690" s="154">
        <v>-1037747.9442202999</v>
      </c>
      <c r="J690" s="154">
        <v>-1017833.2255979</v>
      </c>
      <c r="K690" s="154">
        <v>-1193475.9886783001</v>
      </c>
      <c r="L690" s="154">
        <v>-1062383.6725464</v>
      </c>
      <c r="M690" s="154">
        <v>-1002638.1242636</v>
      </c>
      <c r="N690" s="154">
        <v>-1123782.3943157</v>
      </c>
      <c r="O690" s="154">
        <v>-1004019.9035019</v>
      </c>
      <c r="P690" s="154">
        <v>-1055182.3739159999</v>
      </c>
      <c r="Q690" s="78">
        <f t="shared" si="10"/>
        <v>-12731916.306482</v>
      </c>
    </row>
    <row r="691" spans="1:17" x14ac:dyDescent="0.3">
      <c r="A691" s="154" t="s">
        <v>162</v>
      </c>
      <c r="B691" s="154" t="s">
        <v>2934</v>
      </c>
      <c r="C691" s="154" t="s">
        <v>2935</v>
      </c>
      <c r="D691" s="154">
        <v>0</v>
      </c>
      <c r="E691" s="154">
        <v>63607.440295799999</v>
      </c>
      <c r="F691" s="154">
        <v>63607.440295799999</v>
      </c>
      <c r="G691" s="154">
        <v>63607.440295799999</v>
      </c>
      <c r="H691" s="154">
        <v>63607.440295799999</v>
      </c>
      <c r="I691" s="154">
        <v>63607.440295799999</v>
      </c>
      <c r="J691" s="154">
        <v>63607.440295799999</v>
      </c>
      <c r="K691" s="154">
        <v>63607.440295799999</v>
      </c>
      <c r="L691" s="154">
        <v>63607.440295799999</v>
      </c>
      <c r="M691" s="154">
        <v>63607.440295799999</v>
      </c>
      <c r="N691" s="154">
        <v>63607.440295799999</v>
      </c>
      <c r="O691" s="154">
        <v>63607.440295799999</v>
      </c>
      <c r="P691" s="154">
        <v>63607.440295799999</v>
      </c>
      <c r="Q691" s="78">
        <f t="shared" si="10"/>
        <v>763289.28354959993</v>
      </c>
    </row>
    <row r="692" spans="1:17" x14ac:dyDescent="0.3">
      <c r="A692" s="154" t="s">
        <v>162</v>
      </c>
      <c r="B692" s="154" t="s">
        <v>2936</v>
      </c>
      <c r="C692" s="154" t="s">
        <v>2937</v>
      </c>
      <c r="D692" s="154">
        <v>0</v>
      </c>
      <c r="E692" s="154">
        <v>-19010.5</v>
      </c>
      <c r="F692" s="154">
        <v>-19010.5</v>
      </c>
      <c r="G692" s="154">
        <v>-19010.5</v>
      </c>
      <c r="H692" s="154">
        <v>-19010.5</v>
      </c>
      <c r="I692" s="154">
        <v>-19010.5</v>
      </c>
      <c r="J692" s="154">
        <v>-19010.5</v>
      </c>
      <c r="K692" s="154">
        <v>-19010.5</v>
      </c>
      <c r="L692" s="154">
        <v>-19010.5</v>
      </c>
      <c r="M692" s="154">
        <v>-19010.5</v>
      </c>
      <c r="N692" s="154">
        <v>-19010.5</v>
      </c>
      <c r="O692" s="154">
        <v>-19010.5</v>
      </c>
      <c r="P692" s="154">
        <v>-19010.5</v>
      </c>
      <c r="Q692" s="78">
        <f t="shared" si="10"/>
        <v>-228126</v>
      </c>
    </row>
    <row r="693" spans="1:17" x14ac:dyDescent="0.3">
      <c r="A693" s="154" t="s">
        <v>162</v>
      </c>
      <c r="B693" s="154" t="s">
        <v>2938</v>
      </c>
      <c r="C693" s="154" t="s">
        <v>2939</v>
      </c>
      <c r="D693" s="154">
        <v>0</v>
      </c>
      <c r="E693" s="154">
        <v>-89728.939372699999</v>
      </c>
      <c r="F693" s="154">
        <v>-61300.643682399997</v>
      </c>
      <c r="G693" s="154">
        <v>-64249.358682400001</v>
      </c>
      <c r="H693" s="154">
        <v>-67829.614027599993</v>
      </c>
      <c r="I693" s="154">
        <v>-67549.474372700002</v>
      </c>
      <c r="J693" s="154">
        <v>-61321.177061499999</v>
      </c>
      <c r="K693" s="154">
        <v>-72030.842471800002</v>
      </c>
      <c r="L693" s="154">
        <v>-68466.843596599996</v>
      </c>
      <c r="M693" s="154">
        <v>-70641.3005214</v>
      </c>
      <c r="N693" s="154">
        <v>-80008.042471799999</v>
      </c>
      <c r="O693" s="154">
        <v>-65299.4255214</v>
      </c>
      <c r="P693" s="154">
        <v>-66343.198996599996</v>
      </c>
      <c r="Q693" s="78">
        <f t="shared" si="10"/>
        <v>-834768.8607789001</v>
      </c>
    </row>
    <row r="694" spans="1:17" x14ac:dyDescent="0.3">
      <c r="A694" s="154" t="s">
        <v>162</v>
      </c>
      <c r="B694" s="154" t="s">
        <v>2940</v>
      </c>
      <c r="C694" s="154" t="s">
        <v>2941</v>
      </c>
      <c r="D694" s="154">
        <v>0</v>
      </c>
      <c r="E694" s="154">
        <v>-39827.534561799999</v>
      </c>
      <c r="F694" s="154">
        <v>-39827.534561799999</v>
      </c>
      <c r="G694" s="154">
        <v>-39827.534561799999</v>
      </c>
      <c r="H694" s="154">
        <v>-39827.534561799999</v>
      </c>
      <c r="I694" s="154">
        <v>-39827.534561799999</v>
      </c>
      <c r="J694" s="154">
        <v>-39827.534561799999</v>
      </c>
      <c r="K694" s="154">
        <v>-39827.534561799999</v>
      </c>
      <c r="L694" s="154">
        <v>-39827.534561799999</v>
      </c>
      <c r="M694" s="154">
        <v>-39827.534561799999</v>
      </c>
      <c r="N694" s="154">
        <v>-39827.534561799999</v>
      </c>
      <c r="O694" s="154">
        <v>-39827.534561799999</v>
      </c>
      <c r="P694" s="154">
        <v>-39827.534561799999</v>
      </c>
      <c r="Q694" s="78">
        <f t="shared" si="10"/>
        <v>-477930.41474160011</v>
      </c>
    </row>
    <row r="695" spans="1:17" x14ac:dyDescent="0.3">
      <c r="A695" s="154" t="s">
        <v>162</v>
      </c>
      <c r="B695" s="154" t="s">
        <v>2942</v>
      </c>
      <c r="C695" s="154" t="s">
        <v>2943</v>
      </c>
      <c r="D695" s="154">
        <v>0</v>
      </c>
      <c r="E695" s="154">
        <v>-31695.829840800001</v>
      </c>
      <c r="F695" s="154">
        <v>-29249.841755199999</v>
      </c>
      <c r="G695" s="154">
        <v>-29249.841755199999</v>
      </c>
      <c r="H695" s="154">
        <v>-30472.835798</v>
      </c>
      <c r="I695" s="154">
        <v>-31695.829840800001</v>
      </c>
      <c r="J695" s="154">
        <v>-28026.8450419</v>
      </c>
      <c r="K695" s="154">
        <v>-31731.295877699999</v>
      </c>
      <c r="L695" s="154">
        <v>-30506.759834100001</v>
      </c>
      <c r="M695" s="154">
        <v>-29282.2237905</v>
      </c>
      <c r="N695" s="154">
        <v>-31731.295877699999</v>
      </c>
      <c r="O695" s="154">
        <v>-29282.2237905</v>
      </c>
      <c r="P695" s="154">
        <v>-30506.759834100001</v>
      </c>
      <c r="Q695" s="78">
        <f t="shared" si="10"/>
        <v>-363431.58303650003</v>
      </c>
    </row>
    <row r="696" spans="1:17" x14ac:dyDescent="0.3">
      <c r="A696" s="154" t="s">
        <v>162</v>
      </c>
      <c r="B696" s="154" t="s">
        <v>2944</v>
      </c>
      <c r="C696" s="154" t="s">
        <v>2945</v>
      </c>
      <c r="D696" s="154">
        <v>0</v>
      </c>
      <c r="E696" s="154">
        <v>-4980.3151086999997</v>
      </c>
      <c r="F696" s="154">
        <v>-4807.0173279000001</v>
      </c>
      <c r="G696" s="154">
        <v>-4528.5588279000003</v>
      </c>
      <c r="H696" s="154">
        <v>-4848.7712183000003</v>
      </c>
      <c r="I696" s="154">
        <v>-5159.8951086999996</v>
      </c>
      <c r="J696" s="154">
        <v>-4603.2030211000001</v>
      </c>
      <c r="K696" s="154">
        <v>-5411.4391568999999</v>
      </c>
      <c r="L696" s="154">
        <v>-5352.5880084999999</v>
      </c>
      <c r="M696" s="154">
        <v>-4975.8583600000002</v>
      </c>
      <c r="N696" s="154">
        <v>-5376.7276568999996</v>
      </c>
      <c r="O696" s="154">
        <v>-4951.76836</v>
      </c>
      <c r="P696" s="154">
        <v>-5313.1680084999998</v>
      </c>
      <c r="Q696" s="78">
        <f t="shared" si="10"/>
        <v>-60309.310163399998</v>
      </c>
    </row>
    <row r="697" spans="1:17" x14ac:dyDescent="0.3">
      <c r="A697" s="154" t="s">
        <v>162</v>
      </c>
      <c r="B697" s="154" t="s">
        <v>2946</v>
      </c>
      <c r="C697" s="154" t="s">
        <v>2947</v>
      </c>
      <c r="D697" s="154">
        <v>0</v>
      </c>
      <c r="E697" s="154">
        <v>-11895.1271803</v>
      </c>
      <c r="F697" s="154">
        <v>-25667.5271803</v>
      </c>
      <c r="G697" s="154">
        <v>-1715.5271803000001</v>
      </c>
      <c r="H697" s="154">
        <v>-1715.5271803000001</v>
      </c>
      <c r="I697" s="154">
        <v>-19679.5271803</v>
      </c>
      <c r="J697" s="154">
        <v>-1715.5271803000001</v>
      </c>
      <c r="K697" s="154">
        <v>-1715.5271803000001</v>
      </c>
      <c r="L697" s="154">
        <v>-1715.5271803000001</v>
      </c>
      <c r="M697" s="154">
        <v>-1715.5271803000001</v>
      </c>
      <c r="N697" s="154">
        <v>-1715.5271803000001</v>
      </c>
      <c r="O697" s="154">
        <v>-1715.5271803000001</v>
      </c>
      <c r="P697" s="154">
        <v>-1715.5271803000001</v>
      </c>
      <c r="Q697" s="78">
        <f t="shared" si="10"/>
        <v>-72681.92616360003</v>
      </c>
    </row>
    <row r="698" spans="1:17" x14ac:dyDescent="0.3">
      <c r="A698" s="154" t="s">
        <v>162</v>
      </c>
      <c r="B698" s="154" t="s">
        <v>2948</v>
      </c>
      <c r="C698" s="154" t="s">
        <v>2949</v>
      </c>
      <c r="D698" s="154">
        <v>0</v>
      </c>
      <c r="E698" s="154">
        <v>-85660.953122499996</v>
      </c>
      <c r="F698" s="154">
        <v>-78942.325214299999</v>
      </c>
      <c r="G698" s="154">
        <v>-80147.725214299993</v>
      </c>
      <c r="H698" s="154">
        <v>-82723.529168499997</v>
      </c>
      <c r="I698" s="154">
        <v>-85660.953122499996</v>
      </c>
      <c r="J698" s="154">
        <v>-76487.053925300002</v>
      </c>
      <c r="K698" s="154">
        <v>-85660.953122499996</v>
      </c>
      <c r="L698" s="154">
        <v>-83085.149168499993</v>
      </c>
      <c r="M698" s="154">
        <v>-81051.775214299996</v>
      </c>
      <c r="N698" s="154">
        <v>-85962.303122500001</v>
      </c>
      <c r="O698" s="154">
        <v>-79062.865214300007</v>
      </c>
      <c r="P698" s="154">
        <v>-84109.739168500004</v>
      </c>
      <c r="Q698" s="78">
        <f t="shared" si="10"/>
        <v>-988555.32477799989</v>
      </c>
    </row>
    <row r="699" spans="1:17" x14ac:dyDescent="0.3">
      <c r="A699" s="154" t="s">
        <v>162</v>
      </c>
      <c r="B699" s="154" t="s">
        <v>2950</v>
      </c>
      <c r="C699" s="154" t="s">
        <v>2951</v>
      </c>
      <c r="D699" s="154">
        <v>0</v>
      </c>
      <c r="E699" s="154">
        <v>-57017.274765200003</v>
      </c>
      <c r="F699" s="154">
        <v>-52958.034614199998</v>
      </c>
      <c r="G699" s="154">
        <v>-52958.034889199997</v>
      </c>
      <c r="H699" s="154">
        <v>-54987.654827300001</v>
      </c>
      <c r="I699" s="154">
        <v>-92526.677242599995</v>
      </c>
      <c r="J699" s="154">
        <v>-50928.410519899997</v>
      </c>
      <c r="K699" s="154">
        <v>-57017.274765200003</v>
      </c>
      <c r="L699" s="154">
        <v>-54987.654827300001</v>
      </c>
      <c r="M699" s="154">
        <v>-52958.034889199997</v>
      </c>
      <c r="N699" s="154">
        <v>-57017.274765200003</v>
      </c>
      <c r="O699" s="154">
        <v>-52958.034889199997</v>
      </c>
      <c r="P699" s="154">
        <v>-55011.6030273</v>
      </c>
      <c r="Q699" s="78">
        <f t="shared" si="10"/>
        <v>-691325.96402179985</v>
      </c>
    </row>
    <row r="700" spans="1:17" x14ac:dyDescent="0.3">
      <c r="A700" s="154" t="s">
        <v>162</v>
      </c>
      <c r="B700" s="154" t="s">
        <v>2952</v>
      </c>
      <c r="C700" s="154" t="s">
        <v>2953</v>
      </c>
      <c r="D700" s="154">
        <v>0</v>
      </c>
      <c r="E700" s="154">
        <v>-52068.959550200001</v>
      </c>
      <c r="F700" s="154">
        <v>-47567.079046699997</v>
      </c>
      <c r="G700" s="154">
        <v>-49067.079046699997</v>
      </c>
      <c r="H700" s="154">
        <v>-49818.019298699997</v>
      </c>
      <c r="I700" s="154">
        <v>-52068.959550200001</v>
      </c>
      <c r="J700" s="154">
        <v>-46816.133880200003</v>
      </c>
      <c r="K700" s="154">
        <v>-52068.959550200001</v>
      </c>
      <c r="L700" s="154">
        <v>-49818.019298699997</v>
      </c>
      <c r="M700" s="154">
        <v>-50067.079046699997</v>
      </c>
      <c r="N700" s="154">
        <v>-52068.959550200001</v>
      </c>
      <c r="O700" s="154">
        <v>-47567.079046699997</v>
      </c>
      <c r="P700" s="154">
        <v>-52318.019298699997</v>
      </c>
      <c r="Q700" s="78">
        <f t="shared" si="10"/>
        <v>-601314.3461639001</v>
      </c>
    </row>
    <row r="701" spans="1:17" x14ac:dyDescent="0.3">
      <c r="A701" s="154" t="s">
        <v>162</v>
      </c>
      <c r="B701" s="154" t="s">
        <v>2954</v>
      </c>
      <c r="C701" s="154" t="s">
        <v>2955</v>
      </c>
      <c r="D701" s="154">
        <v>0</v>
      </c>
      <c r="E701" s="154">
        <v>-136213.07469479999</v>
      </c>
      <c r="F701" s="154">
        <v>-137537.1596175</v>
      </c>
      <c r="G701" s="154">
        <v>-123931.89648330001</v>
      </c>
      <c r="H701" s="154">
        <v>-96339.365512899996</v>
      </c>
      <c r="I701" s="154">
        <v>-101421.8345364</v>
      </c>
      <c r="J701" s="154">
        <v>-89749.419636100007</v>
      </c>
      <c r="K701" s="154">
        <v>-99921.834536399998</v>
      </c>
      <c r="L701" s="154">
        <v>-102999.3655129</v>
      </c>
      <c r="M701" s="154">
        <v>-94231.896483300006</v>
      </c>
      <c r="N701" s="154">
        <v>-107638.0746948</v>
      </c>
      <c r="O701" s="154">
        <v>-93156.896483300006</v>
      </c>
      <c r="P701" s="154">
        <v>-105245.1171668</v>
      </c>
      <c r="Q701" s="78">
        <f t="shared" si="10"/>
        <v>-1288385.9353584999</v>
      </c>
    </row>
    <row r="702" spans="1:17" x14ac:dyDescent="0.3">
      <c r="A702" s="154" t="s">
        <v>162</v>
      </c>
      <c r="B702" s="154" t="s">
        <v>2956</v>
      </c>
      <c r="C702" s="154" t="s">
        <v>2957</v>
      </c>
      <c r="D702" s="154">
        <v>0</v>
      </c>
      <c r="E702" s="154">
        <v>-346131.95639429998</v>
      </c>
      <c r="F702" s="154">
        <v>-311320.96734700003</v>
      </c>
      <c r="G702" s="154">
        <v>-311320.96734700003</v>
      </c>
      <c r="H702" s="154">
        <v>-338376.23228120001</v>
      </c>
      <c r="I702" s="154">
        <v>-353756.96095939999</v>
      </c>
      <c r="J702" s="154">
        <v>-307614.74137790001</v>
      </c>
      <c r="K702" s="154">
        <v>-353756.96095939999</v>
      </c>
      <c r="L702" s="154">
        <v>-338376.23228120001</v>
      </c>
      <c r="M702" s="154">
        <v>-322995.50363649998</v>
      </c>
      <c r="N702" s="154">
        <v>-353756.96095939999</v>
      </c>
      <c r="O702" s="154">
        <v>-322995.50363649998</v>
      </c>
      <c r="P702" s="154">
        <v>-338376.23228120001</v>
      </c>
      <c r="Q702" s="78">
        <f t="shared" si="10"/>
        <v>-3998779.2194610001</v>
      </c>
    </row>
    <row r="703" spans="1:17" x14ac:dyDescent="0.3">
      <c r="A703" s="154" t="s">
        <v>162</v>
      </c>
      <c r="B703" s="154" t="s">
        <v>2958</v>
      </c>
      <c r="C703" s="154" t="s">
        <v>2959</v>
      </c>
      <c r="D703" s="154">
        <v>0</v>
      </c>
      <c r="E703" s="154">
        <v>759421.17599589995</v>
      </c>
      <c r="F703" s="154">
        <v>721944.16694270005</v>
      </c>
      <c r="G703" s="154">
        <v>721944.16694270005</v>
      </c>
      <c r="H703" s="154">
        <v>749932.45155510004</v>
      </c>
      <c r="I703" s="154">
        <v>769091.40037309995</v>
      </c>
      <c r="J703" s="154">
        <v>711614.51210109994</v>
      </c>
      <c r="K703" s="154">
        <v>769091.40037309995</v>
      </c>
      <c r="L703" s="154">
        <v>749932.45155510004</v>
      </c>
      <c r="M703" s="154">
        <v>730773.50274669996</v>
      </c>
      <c r="N703" s="154">
        <v>769091.40037309995</v>
      </c>
      <c r="O703" s="154">
        <v>730773.50274669996</v>
      </c>
      <c r="P703" s="154">
        <v>749932.45155510004</v>
      </c>
      <c r="Q703" s="78">
        <f t="shared" si="10"/>
        <v>8933542.5832604021</v>
      </c>
    </row>
    <row r="704" spans="1:17" x14ac:dyDescent="0.3">
      <c r="A704" s="154" t="s">
        <v>162</v>
      </c>
      <c r="B704" s="154" t="s">
        <v>2960</v>
      </c>
      <c r="C704" s="154" t="s">
        <v>2961</v>
      </c>
      <c r="D704" s="154">
        <v>0</v>
      </c>
      <c r="E704" s="154">
        <v>165</v>
      </c>
      <c r="F704" s="154">
        <v>165</v>
      </c>
      <c r="G704" s="154">
        <v>165</v>
      </c>
      <c r="H704" s="154">
        <v>165</v>
      </c>
      <c r="I704" s="154">
        <v>165</v>
      </c>
      <c r="J704" s="154">
        <v>165</v>
      </c>
      <c r="K704" s="154">
        <v>165</v>
      </c>
      <c r="L704" s="154">
        <v>165</v>
      </c>
      <c r="M704" s="154">
        <v>165</v>
      </c>
      <c r="N704" s="154">
        <v>165</v>
      </c>
      <c r="O704" s="154">
        <v>165</v>
      </c>
      <c r="P704" s="154">
        <v>165</v>
      </c>
      <c r="Q704" s="78">
        <f t="shared" si="10"/>
        <v>1980</v>
      </c>
    </row>
    <row r="705" spans="1:17" x14ac:dyDescent="0.3">
      <c r="A705" s="154" t="s">
        <v>162</v>
      </c>
      <c r="B705" s="154" t="s">
        <v>2962</v>
      </c>
      <c r="C705" s="154" t="s">
        <v>2963</v>
      </c>
      <c r="D705" s="154">
        <v>0</v>
      </c>
      <c r="E705" s="154">
        <v>-25000</v>
      </c>
      <c r="F705" s="154">
        <v>-25000</v>
      </c>
      <c r="G705" s="154">
        <v>-25000</v>
      </c>
      <c r="H705" s="154">
        <v>-25000</v>
      </c>
      <c r="I705" s="154">
        <v>-25000</v>
      </c>
      <c r="J705" s="154">
        <v>-25000</v>
      </c>
      <c r="K705" s="154">
        <v>-25000</v>
      </c>
      <c r="L705" s="154">
        <v>-25000</v>
      </c>
      <c r="M705" s="154">
        <v>-25000</v>
      </c>
      <c r="N705" s="154">
        <v>-25000</v>
      </c>
      <c r="O705" s="154">
        <v>-25000</v>
      </c>
      <c r="P705" s="154">
        <v>-25000</v>
      </c>
      <c r="Q705" s="78">
        <f t="shared" si="10"/>
        <v>-300000</v>
      </c>
    </row>
    <row r="706" spans="1:17" x14ac:dyDescent="0.3">
      <c r="A706" s="154" t="s">
        <v>162</v>
      </c>
      <c r="B706" s="154" t="s">
        <v>2964</v>
      </c>
      <c r="C706" s="154" t="s">
        <v>2965</v>
      </c>
      <c r="D706" s="154">
        <v>0</v>
      </c>
      <c r="E706" s="154">
        <v>35022</v>
      </c>
      <c r="F706" s="154">
        <v>76422</v>
      </c>
      <c r="G706" s="154">
        <v>4422</v>
      </c>
      <c r="H706" s="154">
        <v>4422</v>
      </c>
      <c r="I706" s="154">
        <v>58422</v>
      </c>
      <c r="J706" s="154">
        <v>4422</v>
      </c>
      <c r="K706" s="154">
        <v>4422</v>
      </c>
      <c r="L706" s="154">
        <v>4422</v>
      </c>
      <c r="M706" s="154">
        <v>4422</v>
      </c>
      <c r="N706" s="154">
        <v>4422</v>
      </c>
      <c r="O706" s="154">
        <v>4422</v>
      </c>
      <c r="P706" s="154">
        <v>4422</v>
      </c>
      <c r="Q706" s="78">
        <f t="shared" si="10"/>
        <v>209664</v>
      </c>
    </row>
    <row r="707" spans="1:17" x14ac:dyDescent="0.3">
      <c r="A707" s="154" t="s">
        <v>162</v>
      </c>
      <c r="B707" s="154" t="s">
        <v>2966</v>
      </c>
      <c r="C707" s="154" t="s">
        <v>2967</v>
      </c>
      <c r="D707" s="154">
        <v>0</v>
      </c>
      <c r="E707" s="154">
        <v>2096809.1166044001</v>
      </c>
      <c r="F707" s="154">
        <v>2107586.7309472002</v>
      </c>
      <c r="G707" s="154">
        <v>2109897.3209472001</v>
      </c>
      <c r="H707" s="154">
        <v>2109963.7309472002</v>
      </c>
      <c r="I707" s="154">
        <v>2110030.1409471999</v>
      </c>
      <c r="J707" s="154">
        <v>2130902.5409471998</v>
      </c>
      <c r="K707" s="154">
        <v>2203848.6813472002</v>
      </c>
      <c r="L707" s="154">
        <v>2131035.3509471999</v>
      </c>
      <c r="M707" s="154">
        <v>2131101.7609472</v>
      </c>
      <c r="N707" s="154">
        <v>2131168.1709472002</v>
      </c>
      <c r="O707" s="154">
        <v>2131234.5709472001</v>
      </c>
      <c r="P707" s="154">
        <v>2152587.3463472002</v>
      </c>
      <c r="Q707" s="78">
        <f t="shared" si="10"/>
        <v>25546165.462823603</v>
      </c>
    </row>
    <row r="708" spans="1:17" x14ac:dyDescent="0.3">
      <c r="A708" s="154" t="s">
        <v>162</v>
      </c>
      <c r="B708" s="154" t="s">
        <v>2968</v>
      </c>
      <c r="C708" s="154" t="s">
        <v>2969</v>
      </c>
      <c r="D708" s="154">
        <v>0</v>
      </c>
      <c r="E708" s="154">
        <v>14608126.796165001</v>
      </c>
      <c r="F708" s="154">
        <v>13345768.189909199</v>
      </c>
      <c r="G708" s="154">
        <v>13371876.616645699</v>
      </c>
      <c r="H708" s="154">
        <v>14254729.847867301</v>
      </c>
      <c r="I708" s="154">
        <v>14896985.192524601</v>
      </c>
      <c r="J708" s="154">
        <v>12949561.8092415</v>
      </c>
      <c r="K708" s="154">
        <v>14983152.4795382</v>
      </c>
      <c r="L708" s="154">
        <v>14335887.3955412</v>
      </c>
      <c r="M708" s="154">
        <v>13644418.136577399</v>
      </c>
      <c r="N708" s="154">
        <v>14990502.8780345</v>
      </c>
      <c r="O708" s="154">
        <v>13690140.319749</v>
      </c>
      <c r="P708" s="154">
        <v>14308424.7809033</v>
      </c>
      <c r="Q708" s="78">
        <f t="shared" si="10"/>
        <v>169379574.44269693</v>
      </c>
    </row>
    <row r="709" spans="1:17" x14ac:dyDescent="0.3">
      <c r="A709" s="154" t="s">
        <v>162</v>
      </c>
      <c r="B709" s="154" t="s">
        <v>2970</v>
      </c>
      <c r="C709" s="154" t="s">
        <v>2971</v>
      </c>
      <c r="D709" s="154">
        <v>0</v>
      </c>
      <c r="E709" s="154">
        <v>1268594.25603</v>
      </c>
      <c r="F709" s="154">
        <v>1125763.4453986001</v>
      </c>
      <c r="G709" s="154">
        <v>1198993.6557026999</v>
      </c>
      <c r="H709" s="154">
        <v>1252154.5595058999</v>
      </c>
      <c r="I709" s="154">
        <v>1208076.2510408999</v>
      </c>
      <c r="J709" s="154">
        <v>1105342.7053221001</v>
      </c>
      <c r="K709" s="154">
        <v>1271412.4821049001</v>
      </c>
      <c r="L709" s="154">
        <v>1202722.9276221001</v>
      </c>
      <c r="M709" s="154">
        <v>1158378.4985978</v>
      </c>
      <c r="N709" s="154">
        <v>1396945.5562918</v>
      </c>
      <c r="O709" s="154">
        <v>1212745.4946458</v>
      </c>
      <c r="P709" s="154">
        <v>1265675.5917499999</v>
      </c>
      <c r="Q709" s="78">
        <f t="shared" si="10"/>
        <v>14666805.424012601</v>
      </c>
    </row>
    <row r="710" spans="1:17" x14ac:dyDescent="0.3">
      <c r="A710" s="154" t="s">
        <v>162</v>
      </c>
      <c r="B710" s="154" t="s">
        <v>2972</v>
      </c>
      <c r="C710" s="154" t="s">
        <v>2973</v>
      </c>
      <c r="D710" s="154">
        <v>0</v>
      </c>
      <c r="E710" s="154">
        <v>9500</v>
      </c>
      <c r="F710" s="154">
        <v>9500</v>
      </c>
      <c r="G710" s="154">
        <v>9500</v>
      </c>
      <c r="H710" s="154">
        <v>9500</v>
      </c>
      <c r="I710" s="154">
        <v>9500</v>
      </c>
      <c r="J710" s="154">
        <v>9500</v>
      </c>
      <c r="K710" s="154">
        <v>9500</v>
      </c>
      <c r="L710" s="154">
        <v>9500</v>
      </c>
      <c r="M710" s="154">
        <v>9500</v>
      </c>
      <c r="N710" s="154">
        <v>9500</v>
      </c>
      <c r="O710" s="154">
        <v>9500</v>
      </c>
      <c r="P710" s="154">
        <v>9500</v>
      </c>
      <c r="Q710" s="78">
        <f t="shared" si="10"/>
        <v>114000</v>
      </c>
    </row>
    <row r="711" spans="1:17" x14ac:dyDescent="0.3">
      <c r="A711" s="154" t="s">
        <v>162</v>
      </c>
      <c r="B711" s="154" t="s">
        <v>2974</v>
      </c>
      <c r="C711" s="154" t="s">
        <v>2975</v>
      </c>
      <c r="D711" s="154">
        <v>0</v>
      </c>
      <c r="E711" s="154">
        <v>126645.1196679</v>
      </c>
      <c r="F711" s="154">
        <v>182842.67950190001</v>
      </c>
      <c r="G711" s="154">
        <v>126645.1196679</v>
      </c>
      <c r="H711" s="154">
        <v>126645.1196679</v>
      </c>
      <c r="I711" s="154">
        <v>135395.1196679</v>
      </c>
      <c r="J711" s="154">
        <v>126645.1196679</v>
      </c>
      <c r="K711" s="154">
        <v>126645.1196679</v>
      </c>
      <c r="L711" s="154">
        <v>182842.67950190001</v>
      </c>
      <c r="M711" s="154">
        <v>135395.1196679</v>
      </c>
      <c r="N711" s="154">
        <v>126645.1196679</v>
      </c>
      <c r="O711" s="154">
        <v>126645.1196679</v>
      </c>
      <c r="P711" s="154">
        <v>126645.1196679</v>
      </c>
      <c r="Q711" s="78">
        <f t="shared" si="10"/>
        <v>1649636.5556828002</v>
      </c>
    </row>
    <row r="712" spans="1:17" x14ac:dyDescent="0.3">
      <c r="A712" s="154" t="s">
        <v>162</v>
      </c>
      <c r="B712" s="154" t="s">
        <v>2976</v>
      </c>
      <c r="C712" s="154" t="s">
        <v>2977</v>
      </c>
      <c r="D712" s="154">
        <v>0</v>
      </c>
      <c r="E712" s="154">
        <v>-1139541.9947474001</v>
      </c>
      <c r="F712" s="154">
        <v>-1328911.5718437999</v>
      </c>
      <c r="G712" s="154">
        <v>-1345481.3392857001</v>
      </c>
      <c r="H712" s="154">
        <v>-1403519.2578526</v>
      </c>
      <c r="I712" s="154">
        <v>-1424647.276517</v>
      </c>
      <c r="J712" s="154">
        <v>-1307193.0873233001</v>
      </c>
      <c r="K712" s="154">
        <v>-1420251.1365701</v>
      </c>
      <c r="L712" s="154">
        <v>-1382565.1475771</v>
      </c>
      <c r="M712" s="154">
        <v>-1344878.1585818001</v>
      </c>
      <c r="N712" s="154">
        <v>-1432677.2683530999</v>
      </c>
      <c r="O712" s="154">
        <v>-1365589.7864888001</v>
      </c>
      <c r="P712" s="154">
        <v>-1401920.4534316</v>
      </c>
      <c r="Q712" s="78">
        <f t="shared" si="10"/>
        <v>-16297176.478572302</v>
      </c>
    </row>
    <row r="713" spans="1:17" x14ac:dyDescent="0.3">
      <c r="A713" s="154" t="s">
        <v>162</v>
      </c>
      <c r="B713" s="154" t="s">
        <v>2978</v>
      </c>
      <c r="C713" s="154" t="s">
        <v>2979</v>
      </c>
      <c r="D713" s="154">
        <v>0</v>
      </c>
      <c r="E713" s="154">
        <v>4604143.7454506001</v>
      </c>
      <c r="F713" s="154">
        <v>4196675.4613963999</v>
      </c>
      <c r="G713" s="154">
        <v>4225483.6661385</v>
      </c>
      <c r="H713" s="154">
        <v>4496924.4932578998</v>
      </c>
      <c r="I713" s="154">
        <v>4670392.5617151996</v>
      </c>
      <c r="J713" s="154">
        <v>4075856.8684264999</v>
      </c>
      <c r="K713" s="154">
        <v>4713748.5819583004</v>
      </c>
      <c r="L713" s="154">
        <v>4506125.0088374</v>
      </c>
      <c r="M713" s="154">
        <v>4292742.3113583997</v>
      </c>
      <c r="N713" s="154">
        <v>4752284.7890360998</v>
      </c>
      <c r="O713" s="154">
        <v>4321768.1733326996</v>
      </c>
      <c r="P713" s="154">
        <v>4516417.1231899997</v>
      </c>
      <c r="Q713" s="78">
        <f t="shared" si="10"/>
        <v>53372562.784098007</v>
      </c>
    </row>
    <row r="714" spans="1:17" x14ac:dyDescent="0.3">
      <c r="A714" s="154" t="s">
        <v>162</v>
      </c>
      <c r="B714" s="154" t="s">
        <v>2980</v>
      </c>
      <c r="C714" s="154" t="s">
        <v>2981</v>
      </c>
      <c r="D714" s="154">
        <v>0</v>
      </c>
      <c r="E714" s="154">
        <v>25500</v>
      </c>
      <c r="F714" s="154">
        <v>25500</v>
      </c>
      <c r="G714" s="154">
        <v>25500</v>
      </c>
      <c r="H714" s="154">
        <v>25500</v>
      </c>
      <c r="I714" s="154">
        <v>25500</v>
      </c>
      <c r="J714" s="154">
        <v>25500</v>
      </c>
      <c r="K714" s="154">
        <v>25500</v>
      </c>
      <c r="L714" s="154">
        <v>25500</v>
      </c>
      <c r="M714" s="154">
        <v>25500</v>
      </c>
      <c r="N714" s="154">
        <v>25500</v>
      </c>
      <c r="O714" s="154">
        <v>25500</v>
      </c>
      <c r="P714" s="154">
        <v>25500</v>
      </c>
      <c r="Q714" s="78">
        <f t="shared" si="10"/>
        <v>306000</v>
      </c>
    </row>
    <row r="715" spans="1:17" x14ac:dyDescent="0.3">
      <c r="A715" s="154" t="s">
        <v>162</v>
      </c>
      <c r="B715" s="154" t="s">
        <v>2982</v>
      </c>
      <c r="C715" s="154" t="s">
        <v>2983</v>
      </c>
      <c r="D715" s="154">
        <v>0</v>
      </c>
      <c r="E715" s="154">
        <v>17916.669999999998</v>
      </c>
      <c r="F715" s="154">
        <v>17916.669999999998</v>
      </c>
      <c r="G715" s="154">
        <v>17916.669999999998</v>
      </c>
      <c r="H715" s="154">
        <v>17916.669999999998</v>
      </c>
      <c r="I715" s="154">
        <v>17916.669999999998</v>
      </c>
      <c r="J715" s="154">
        <v>17916.669999999998</v>
      </c>
      <c r="K715" s="154">
        <v>17916.669999999998</v>
      </c>
      <c r="L715" s="154">
        <v>17916.669999999998</v>
      </c>
      <c r="M715" s="154">
        <v>17916.669999999998</v>
      </c>
      <c r="N715" s="154">
        <v>17916.669999999998</v>
      </c>
      <c r="O715" s="154">
        <v>17916.669999999998</v>
      </c>
      <c r="P715" s="154">
        <v>17916.669999999998</v>
      </c>
      <c r="Q715" s="78">
        <f t="shared" si="10"/>
        <v>215000.03999999992</v>
      </c>
    </row>
    <row r="716" spans="1:17" x14ac:dyDescent="0.3">
      <c r="A716" s="154" t="s">
        <v>162</v>
      </c>
      <c r="B716" s="154" t="s">
        <v>2984</v>
      </c>
      <c r="C716" s="154" t="s">
        <v>2985</v>
      </c>
      <c r="D716" s="154">
        <v>0</v>
      </c>
      <c r="E716" s="154">
        <v>29666.67</v>
      </c>
      <c r="F716" s="154">
        <v>29666.67</v>
      </c>
      <c r="G716" s="154">
        <v>29666.67</v>
      </c>
      <c r="H716" s="154">
        <v>29666.67</v>
      </c>
      <c r="I716" s="154">
        <v>29666.67</v>
      </c>
      <c r="J716" s="154">
        <v>29666.67</v>
      </c>
      <c r="K716" s="154">
        <v>29666.67</v>
      </c>
      <c r="L716" s="154">
        <v>29666.67</v>
      </c>
      <c r="M716" s="154">
        <v>29666.67</v>
      </c>
      <c r="N716" s="154">
        <v>29666.67</v>
      </c>
      <c r="O716" s="154">
        <v>29666.67</v>
      </c>
      <c r="P716" s="154">
        <v>29666.67</v>
      </c>
      <c r="Q716" s="78">
        <f t="shared" si="10"/>
        <v>356000.03999999986</v>
      </c>
    </row>
    <row r="717" spans="1:17" x14ac:dyDescent="0.3">
      <c r="A717" s="154" t="s">
        <v>162</v>
      </c>
      <c r="B717" s="154" t="s">
        <v>2986</v>
      </c>
      <c r="C717" s="154" t="s">
        <v>2987</v>
      </c>
      <c r="D717" s="154">
        <v>0</v>
      </c>
      <c r="E717" s="154">
        <v>12000</v>
      </c>
      <c r="F717" s="154">
        <v>12000</v>
      </c>
      <c r="G717" s="154">
        <v>12000</v>
      </c>
      <c r="H717" s="154">
        <v>12000</v>
      </c>
      <c r="I717" s="154">
        <v>12000</v>
      </c>
      <c r="J717" s="154">
        <v>12000</v>
      </c>
      <c r="K717" s="154">
        <v>12000</v>
      </c>
      <c r="L717" s="154">
        <v>12000</v>
      </c>
      <c r="M717" s="154">
        <v>12000</v>
      </c>
      <c r="N717" s="154">
        <v>12000</v>
      </c>
      <c r="O717" s="154">
        <v>12000</v>
      </c>
      <c r="P717" s="154">
        <v>12000</v>
      </c>
      <c r="Q717" s="78">
        <f t="shared" si="10"/>
        <v>144000</v>
      </c>
    </row>
    <row r="718" spans="1:17" x14ac:dyDescent="0.3">
      <c r="A718" s="154" t="s">
        <v>162</v>
      </c>
      <c r="B718" s="154" t="s">
        <v>2988</v>
      </c>
      <c r="C718" s="154" t="s">
        <v>2989</v>
      </c>
      <c r="D718" s="154">
        <v>0</v>
      </c>
      <c r="E718" s="154">
        <v>2708333.33</v>
      </c>
      <c r="F718" s="154">
        <v>2708333.33</v>
      </c>
      <c r="G718" s="154">
        <v>2708333.33</v>
      </c>
      <c r="H718" s="154">
        <v>2708333.33</v>
      </c>
      <c r="I718" s="154">
        <v>2708333.33</v>
      </c>
      <c r="J718" s="154">
        <v>2708333.33</v>
      </c>
      <c r="K718" s="154">
        <v>2708333.33</v>
      </c>
      <c r="L718" s="154">
        <v>2708333.33</v>
      </c>
      <c r="M718" s="154">
        <v>2708333.33</v>
      </c>
      <c r="N718" s="154">
        <v>2708333.33</v>
      </c>
      <c r="O718" s="154">
        <v>2708333.33</v>
      </c>
      <c r="P718" s="154">
        <v>2708333.37</v>
      </c>
      <c r="Q718" s="78">
        <f t="shared" si="10"/>
        <v>32499999.999999996</v>
      </c>
    </row>
    <row r="719" spans="1:17" x14ac:dyDescent="0.3">
      <c r="A719" s="154" t="s">
        <v>162</v>
      </c>
      <c r="B719" s="154" t="s">
        <v>2990</v>
      </c>
      <c r="C719" s="154" t="s">
        <v>2991</v>
      </c>
      <c r="D719" s="154">
        <v>0</v>
      </c>
      <c r="E719" s="154">
        <v>0</v>
      </c>
      <c r="F719" s="154">
        <v>0</v>
      </c>
      <c r="G719" s="154">
        <v>-293783</v>
      </c>
      <c r="H719" s="154">
        <v>0</v>
      </c>
      <c r="I719" s="154">
        <v>0</v>
      </c>
      <c r="J719" s="154">
        <v>-293783</v>
      </c>
      <c r="K719" s="154">
        <v>0</v>
      </c>
      <c r="L719" s="154">
        <v>0</v>
      </c>
      <c r="M719" s="154">
        <v>-293783</v>
      </c>
      <c r="N719" s="154">
        <v>0</v>
      </c>
      <c r="O719" s="154">
        <v>0</v>
      </c>
      <c r="P719" s="154">
        <v>-293783</v>
      </c>
      <c r="Q719" s="78">
        <f t="shared" ref="Q719:Q782" si="11">SUM(E719:P719)</f>
        <v>-1175132</v>
      </c>
    </row>
    <row r="720" spans="1:17" x14ac:dyDescent="0.3">
      <c r="A720" s="154" t="s">
        <v>162</v>
      </c>
      <c r="B720" s="154" t="s">
        <v>2992</v>
      </c>
      <c r="C720" s="154" t="s">
        <v>2993</v>
      </c>
      <c r="D720" s="154">
        <v>0</v>
      </c>
      <c r="E720" s="154">
        <v>0</v>
      </c>
      <c r="F720" s="154">
        <v>0</v>
      </c>
      <c r="G720" s="154">
        <v>401343.87</v>
      </c>
      <c r="H720" s="154">
        <v>0</v>
      </c>
      <c r="I720" s="154">
        <v>0</v>
      </c>
      <c r="J720" s="154">
        <v>401343.87</v>
      </c>
      <c r="K720" s="154">
        <v>0</v>
      </c>
      <c r="L720" s="154">
        <v>0</v>
      </c>
      <c r="M720" s="154">
        <v>401343.87</v>
      </c>
      <c r="N720" s="154">
        <v>0</v>
      </c>
      <c r="O720" s="154">
        <v>0</v>
      </c>
      <c r="P720" s="154">
        <v>401343.87</v>
      </c>
      <c r="Q720" s="78">
        <f t="shared" si="11"/>
        <v>1605375.48</v>
      </c>
    </row>
    <row r="721" spans="1:17" x14ac:dyDescent="0.3">
      <c r="A721" s="154" t="s">
        <v>162</v>
      </c>
      <c r="B721" s="154" t="s">
        <v>2994</v>
      </c>
      <c r="C721" s="154" t="s">
        <v>2995</v>
      </c>
      <c r="D721" s="154">
        <v>0</v>
      </c>
      <c r="E721" s="154">
        <v>0</v>
      </c>
      <c r="F721" s="154">
        <v>0</v>
      </c>
      <c r="G721" s="154">
        <v>678652.13</v>
      </c>
      <c r="H721" s="154">
        <v>0</v>
      </c>
      <c r="I721" s="154">
        <v>0</v>
      </c>
      <c r="J721" s="154">
        <v>678652.13</v>
      </c>
      <c r="K721" s="154">
        <v>0</v>
      </c>
      <c r="L721" s="154">
        <v>0</v>
      </c>
      <c r="M721" s="154">
        <v>678652.13</v>
      </c>
      <c r="N721" s="154">
        <v>0</v>
      </c>
      <c r="O721" s="154">
        <v>0</v>
      </c>
      <c r="P721" s="154">
        <v>678652.13</v>
      </c>
      <c r="Q721" s="78">
        <f t="shared" si="11"/>
        <v>2714608.52</v>
      </c>
    </row>
    <row r="722" spans="1:17" x14ac:dyDescent="0.3">
      <c r="A722" s="154" t="s">
        <v>162</v>
      </c>
      <c r="B722" s="154" t="s">
        <v>2996</v>
      </c>
      <c r="C722" s="154" t="s">
        <v>2997</v>
      </c>
      <c r="D722" s="154">
        <v>0</v>
      </c>
      <c r="E722" s="154">
        <v>0</v>
      </c>
      <c r="F722" s="154">
        <v>0</v>
      </c>
      <c r="G722" s="154">
        <v>1593190</v>
      </c>
      <c r="H722" s="154">
        <v>0</v>
      </c>
      <c r="I722" s="154">
        <v>0</v>
      </c>
      <c r="J722" s="154">
        <v>1593190</v>
      </c>
      <c r="K722" s="154">
        <v>0</v>
      </c>
      <c r="L722" s="154">
        <v>0</v>
      </c>
      <c r="M722" s="154">
        <v>1593190</v>
      </c>
      <c r="N722" s="154">
        <v>0</v>
      </c>
      <c r="O722" s="154">
        <v>0</v>
      </c>
      <c r="P722" s="154">
        <v>1593190</v>
      </c>
      <c r="Q722" s="78">
        <f t="shared" si="11"/>
        <v>6372760</v>
      </c>
    </row>
    <row r="723" spans="1:17" x14ac:dyDescent="0.3">
      <c r="A723" s="154" t="s">
        <v>162</v>
      </c>
      <c r="B723" s="154" t="s">
        <v>2998</v>
      </c>
      <c r="C723" s="154" t="s">
        <v>2999</v>
      </c>
      <c r="D723" s="154">
        <v>0</v>
      </c>
      <c r="E723" s="154">
        <v>12500</v>
      </c>
      <c r="F723" s="154">
        <v>12500</v>
      </c>
      <c r="G723" s="154">
        <v>12500</v>
      </c>
      <c r="H723" s="154">
        <v>12500</v>
      </c>
      <c r="I723" s="154">
        <v>12500</v>
      </c>
      <c r="J723" s="154">
        <v>12500</v>
      </c>
      <c r="K723" s="154">
        <v>12500</v>
      </c>
      <c r="L723" s="154">
        <v>12500</v>
      </c>
      <c r="M723" s="154">
        <v>12500</v>
      </c>
      <c r="N723" s="154">
        <v>12500</v>
      </c>
      <c r="O723" s="154">
        <v>12500</v>
      </c>
      <c r="P723" s="154">
        <v>12500</v>
      </c>
      <c r="Q723" s="78">
        <f t="shared" si="11"/>
        <v>150000</v>
      </c>
    </row>
    <row r="724" spans="1:17" x14ac:dyDescent="0.3">
      <c r="A724" s="154" t="s">
        <v>162</v>
      </c>
      <c r="B724" s="154" t="s">
        <v>3000</v>
      </c>
      <c r="C724" s="154" t="s">
        <v>3001</v>
      </c>
      <c r="D724" s="154">
        <v>0</v>
      </c>
      <c r="E724" s="154">
        <v>685452.44</v>
      </c>
      <c r="F724" s="154">
        <v>685452.44</v>
      </c>
      <c r="G724" s="154">
        <v>685452.44</v>
      </c>
      <c r="H724" s="154">
        <v>685452.44</v>
      </c>
      <c r="I724" s="154">
        <v>685452.44</v>
      </c>
      <c r="J724" s="154">
        <v>685452.44</v>
      </c>
      <c r="K724" s="154">
        <v>685452.44</v>
      </c>
      <c r="L724" s="154">
        <v>685452.44</v>
      </c>
      <c r="M724" s="154">
        <v>685452.44</v>
      </c>
      <c r="N724" s="154">
        <v>685452.44</v>
      </c>
      <c r="O724" s="154">
        <v>685452.44</v>
      </c>
      <c r="P724" s="154">
        <v>685452.44</v>
      </c>
      <c r="Q724" s="78">
        <f t="shared" si="11"/>
        <v>8225429.2799999975</v>
      </c>
    </row>
    <row r="725" spans="1:17" x14ac:dyDescent="0.3">
      <c r="A725" s="154" t="s">
        <v>162</v>
      </c>
      <c r="B725" s="154" t="s">
        <v>3002</v>
      </c>
      <c r="C725" s="154" t="s">
        <v>3003</v>
      </c>
      <c r="D725" s="154">
        <v>0</v>
      </c>
      <c r="E725" s="154">
        <v>823657.57</v>
      </c>
      <c r="F725" s="154">
        <v>823657.57</v>
      </c>
      <c r="G725" s="154">
        <v>823657.57</v>
      </c>
      <c r="H725" s="154">
        <v>823657.57</v>
      </c>
      <c r="I725" s="154">
        <v>823657.57</v>
      </c>
      <c r="J725" s="154">
        <v>823657.57</v>
      </c>
      <c r="K725" s="154">
        <v>823657.57</v>
      </c>
      <c r="L725" s="154">
        <v>823657.57</v>
      </c>
      <c r="M725" s="154">
        <v>823657.57</v>
      </c>
      <c r="N725" s="154">
        <v>823657.57</v>
      </c>
      <c r="O725" s="154">
        <v>823657.57</v>
      </c>
      <c r="P725" s="154">
        <v>823657.57</v>
      </c>
      <c r="Q725" s="78">
        <f t="shared" si="11"/>
        <v>9883890.8400000017</v>
      </c>
    </row>
    <row r="726" spans="1:17" x14ac:dyDescent="0.3">
      <c r="A726" s="154" t="s">
        <v>162</v>
      </c>
      <c r="B726" s="154" t="s">
        <v>3004</v>
      </c>
      <c r="C726" s="154" t="s">
        <v>3005</v>
      </c>
      <c r="D726" s="154">
        <v>0</v>
      </c>
      <c r="E726" s="154">
        <v>0</v>
      </c>
      <c r="F726" s="154">
        <v>0</v>
      </c>
      <c r="G726" s="154">
        <v>29252</v>
      </c>
      <c r="H726" s="154">
        <v>0</v>
      </c>
      <c r="I726" s="154">
        <v>0</v>
      </c>
      <c r="J726" s="154">
        <v>29252</v>
      </c>
      <c r="K726" s="154">
        <v>0</v>
      </c>
      <c r="L726" s="154">
        <v>0</v>
      </c>
      <c r="M726" s="154">
        <v>29252</v>
      </c>
      <c r="N726" s="154">
        <v>0</v>
      </c>
      <c r="O726" s="154">
        <v>0</v>
      </c>
      <c r="P726" s="154">
        <v>29252</v>
      </c>
      <c r="Q726" s="78">
        <f t="shared" si="11"/>
        <v>117008</v>
      </c>
    </row>
    <row r="727" spans="1:17" x14ac:dyDescent="0.3">
      <c r="A727" s="154" t="s">
        <v>162</v>
      </c>
      <c r="B727" s="154" t="s">
        <v>3006</v>
      </c>
      <c r="C727" s="154" t="s">
        <v>3007</v>
      </c>
      <c r="D727" s="154">
        <v>0</v>
      </c>
      <c r="E727" s="154">
        <v>150000</v>
      </c>
      <c r="F727" s="154">
        <v>150000</v>
      </c>
      <c r="G727" s="154">
        <v>150000</v>
      </c>
      <c r="H727" s="154">
        <v>150000</v>
      </c>
      <c r="I727" s="154">
        <v>150000</v>
      </c>
      <c r="J727" s="154">
        <v>150000</v>
      </c>
      <c r="K727" s="154">
        <v>150000</v>
      </c>
      <c r="L727" s="154">
        <v>150000</v>
      </c>
      <c r="M727" s="154">
        <v>150000</v>
      </c>
      <c r="N727" s="154">
        <v>150000</v>
      </c>
      <c r="O727" s="154">
        <v>150000</v>
      </c>
      <c r="P727" s="154">
        <v>150000</v>
      </c>
      <c r="Q727" s="78">
        <f t="shared" si="11"/>
        <v>1800000</v>
      </c>
    </row>
    <row r="728" spans="1:17" x14ac:dyDescent="0.3">
      <c r="A728" s="154" t="s">
        <v>162</v>
      </c>
      <c r="B728" s="154" t="s">
        <v>3008</v>
      </c>
      <c r="C728" s="154" t="s">
        <v>3009</v>
      </c>
      <c r="D728" s="154">
        <v>0</v>
      </c>
      <c r="E728" s="154">
        <v>100000</v>
      </c>
      <c r="F728" s="154">
        <v>100000</v>
      </c>
      <c r="G728" s="154">
        <v>100000</v>
      </c>
      <c r="H728" s="154">
        <v>100000</v>
      </c>
      <c r="I728" s="154">
        <v>100000</v>
      </c>
      <c r="J728" s="154">
        <v>100000</v>
      </c>
      <c r="K728" s="154">
        <v>100000</v>
      </c>
      <c r="L728" s="154">
        <v>100000</v>
      </c>
      <c r="M728" s="154">
        <v>100000</v>
      </c>
      <c r="N728" s="154">
        <v>100000</v>
      </c>
      <c r="O728" s="154">
        <v>100000</v>
      </c>
      <c r="P728" s="154">
        <v>100000</v>
      </c>
      <c r="Q728" s="78">
        <f t="shared" si="11"/>
        <v>1200000</v>
      </c>
    </row>
    <row r="729" spans="1:17" x14ac:dyDescent="0.3">
      <c r="A729" s="154" t="s">
        <v>162</v>
      </c>
      <c r="B729" s="154" t="s">
        <v>3010</v>
      </c>
      <c r="C729" s="154" t="s">
        <v>3011</v>
      </c>
      <c r="D729" s="154">
        <v>0</v>
      </c>
      <c r="E729" s="154">
        <v>100000</v>
      </c>
      <c r="F729" s="154">
        <v>100000</v>
      </c>
      <c r="G729" s="154">
        <v>100000</v>
      </c>
      <c r="H729" s="154">
        <v>100000</v>
      </c>
      <c r="I729" s="154">
        <v>100000</v>
      </c>
      <c r="J729" s="154">
        <v>100000</v>
      </c>
      <c r="K729" s="154">
        <v>100000</v>
      </c>
      <c r="L729" s="154">
        <v>100000</v>
      </c>
      <c r="M729" s="154">
        <v>100000</v>
      </c>
      <c r="N729" s="154">
        <v>100000</v>
      </c>
      <c r="O729" s="154">
        <v>100000</v>
      </c>
      <c r="P729" s="154">
        <v>100000</v>
      </c>
      <c r="Q729" s="78">
        <f t="shared" si="11"/>
        <v>1200000</v>
      </c>
    </row>
    <row r="730" spans="1:17" x14ac:dyDescent="0.3">
      <c r="A730" s="154" t="s">
        <v>162</v>
      </c>
      <c r="B730" s="154" t="s">
        <v>3012</v>
      </c>
      <c r="C730" s="154" t="s">
        <v>3013</v>
      </c>
      <c r="D730" s="154">
        <v>0</v>
      </c>
      <c r="E730" s="154">
        <v>0</v>
      </c>
      <c r="F730" s="154">
        <v>0</v>
      </c>
      <c r="G730" s="154">
        <v>56958</v>
      </c>
      <c r="H730" s="154">
        <v>0</v>
      </c>
      <c r="I730" s="154">
        <v>0</v>
      </c>
      <c r="J730" s="154">
        <v>56958</v>
      </c>
      <c r="K730" s="154">
        <v>0</v>
      </c>
      <c r="L730" s="154">
        <v>0</v>
      </c>
      <c r="M730" s="154">
        <v>56958</v>
      </c>
      <c r="N730" s="154">
        <v>0</v>
      </c>
      <c r="O730" s="154">
        <v>0</v>
      </c>
      <c r="P730" s="154">
        <v>56958</v>
      </c>
      <c r="Q730" s="78">
        <f t="shared" si="11"/>
        <v>227832</v>
      </c>
    </row>
    <row r="731" spans="1:17" x14ac:dyDescent="0.3">
      <c r="A731" s="154" t="s">
        <v>162</v>
      </c>
      <c r="B731" s="154" t="s">
        <v>3014</v>
      </c>
      <c r="C731" s="154" t="s">
        <v>3015</v>
      </c>
      <c r="D731" s="154">
        <v>0</v>
      </c>
      <c r="E731" s="154">
        <v>41499</v>
      </c>
      <c r="F731" s="154">
        <v>41500</v>
      </c>
      <c r="G731" s="154">
        <v>41501</v>
      </c>
      <c r="H731" s="154">
        <v>41499</v>
      </c>
      <c r="I731" s="154">
        <v>41500</v>
      </c>
      <c r="J731" s="154">
        <v>41501</v>
      </c>
      <c r="K731" s="154">
        <v>41499</v>
      </c>
      <c r="L731" s="154">
        <v>41500</v>
      </c>
      <c r="M731" s="154">
        <v>41501</v>
      </c>
      <c r="N731" s="154">
        <v>41499</v>
      </c>
      <c r="O731" s="154">
        <v>41500</v>
      </c>
      <c r="P731" s="154">
        <v>41501</v>
      </c>
      <c r="Q731" s="78">
        <f t="shared" si="11"/>
        <v>498000</v>
      </c>
    </row>
    <row r="732" spans="1:17" x14ac:dyDescent="0.3">
      <c r="A732" s="154" t="s">
        <v>162</v>
      </c>
      <c r="B732" s="154" t="s">
        <v>3016</v>
      </c>
      <c r="C732" s="154" t="s">
        <v>3017</v>
      </c>
      <c r="D732" s="154">
        <v>0</v>
      </c>
      <c r="E732" s="154">
        <v>-170291.64130459999</v>
      </c>
      <c r="F732" s="154">
        <v>-154784.22305830001</v>
      </c>
      <c r="G732" s="154">
        <v>-146484.22305830001</v>
      </c>
      <c r="H732" s="154">
        <v>-166200.78472329999</v>
      </c>
      <c r="I732" s="154">
        <v>-174120.98704430001</v>
      </c>
      <c r="J732" s="154">
        <v>-141996.43562609999</v>
      </c>
      <c r="K732" s="154">
        <v>-174047.47080079999</v>
      </c>
      <c r="L732" s="154">
        <v>-166130.4648364</v>
      </c>
      <c r="M732" s="154">
        <v>-149913.45887100001</v>
      </c>
      <c r="N732" s="154">
        <v>-174047.47080079999</v>
      </c>
      <c r="O732" s="154">
        <v>-158213.45887100001</v>
      </c>
      <c r="P732" s="154">
        <v>-158381.88044740001</v>
      </c>
      <c r="Q732" s="78">
        <f t="shared" si="11"/>
        <v>-1934612.4994423001</v>
      </c>
    </row>
    <row r="733" spans="1:17" x14ac:dyDescent="0.3">
      <c r="A733" s="154" t="s">
        <v>162</v>
      </c>
      <c r="B733" s="154" t="s">
        <v>3018</v>
      </c>
      <c r="C733" s="154" t="s">
        <v>3019</v>
      </c>
      <c r="D733" s="154">
        <v>0</v>
      </c>
      <c r="E733" s="154">
        <v>2265570.83</v>
      </c>
      <c r="F733" s="154">
        <v>2265570.83</v>
      </c>
      <c r="G733" s="154">
        <v>2265570.83</v>
      </c>
      <c r="H733" s="154">
        <v>2265570.83</v>
      </c>
      <c r="I733" s="154">
        <v>2265570.83</v>
      </c>
      <c r="J733" s="154">
        <v>2265570.83</v>
      </c>
      <c r="K733" s="154">
        <v>2265570.83</v>
      </c>
      <c r="L733" s="154">
        <v>2265570.83</v>
      </c>
      <c r="M733" s="154">
        <v>2265570.83</v>
      </c>
      <c r="N733" s="154">
        <v>2265570.83</v>
      </c>
      <c r="O733" s="154">
        <v>2265570.83</v>
      </c>
      <c r="P733" s="154">
        <v>2265570.83</v>
      </c>
      <c r="Q733" s="78">
        <f t="shared" si="11"/>
        <v>27186849.959999993</v>
      </c>
    </row>
    <row r="734" spans="1:17" x14ac:dyDescent="0.3">
      <c r="A734" s="154" t="s">
        <v>162</v>
      </c>
      <c r="B734" s="154" t="s">
        <v>3020</v>
      </c>
      <c r="C734" s="154" t="s">
        <v>3021</v>
      </c>
      <c r="D734" s="154">
        <v>0</v>
      </c>
      <c r="E734" s="154">
        <v>10000</v>
      </c>
      <c r="F734" s="154">
        <v>10000</v>
      </c>
      <c r="G734" s="154">
        <v>10000</v>
      </c>
      <c r="H734" s="154">
        <v>10000</v>
      </c>
      <c r="I734" s="154">
        <v>10000</v>
      </c>
      <c r="J734" s="154">
        <v>10000</v>
      </c>
      <c r="K734" s="154">
        <v>10000</v>
      </c>
      <c r="L734" s="154">
        <v>10000</v>
      </c>
      <c r="M734" s="154">
        <v>10000</v>
      </c>
      <c r="N734" s="154">
        <v>10000</v>
      </c>
      <c r="O734" s="154">
        <v>10000</v>
      </c>
      <c r="P734" s="154">
        <v>10000</v>
      </c>
      <c r="Q734" s="78">
        <f t="shared" si="11"/>
        <v>120000</v>
      </c>
    </row>
    <row r="735" spans="1:17" x14ac:dyDescent="0.3">
      <c r="A735" s="154" t="s">
        <v>162</v>
      </c>
      <c r="B735" s="154" t="s">
        <v>3022</v>
      </c>
      <c r="C735" s="154" t="s">
        <v>3023</v>
      </c>
      <c r="D735" s="154">
        <v>0</v>
      </c>
      <c r="E735" s="154">
        <v>550720.59319869999</v>
      </c>
      <c r="F735" s="154">
        <v>484670.09817730001</v>
      </c>
      <c r="G735" s="154">
        <v>479864.86561919999</v>
      </c>
      <c r="H735" s="154">
        <v>477378.41237570002</v>
      </c>
      <c r="I735" s="154">
        <v>479621.06592889997</v>
      </c>
      <c r="J735" s="154">
        <v>488509.49846059998</v>
      </c>
      <c r="K735" s="154">
        <v>482061.63268550002</v>
      </c>
      <c r="L735" s="154">
        <v>484623.98688430001</v>
      </c>
      <c r="M735" s="154">
        <v>487186.63108279998</v>
      </c>
      <c r="N735" s="154">
        <v>479697.25688399997</v>
      </c>
      <c r="O735" s="154">
        <v>482419.46140530001</v>
      </c>
      <c r="P735" s="154">
        <v>486953.50409050001</v>
      </c>
      <c r="Q735" s="78">
        <f t="shared" si="11"/>
        <v>5863707.0067928005</v>
      </c>
    </row>
    <row r="736" spans="1:17" x14ac:dyDescent="0.3">
      <c r="A736" s="154" t="s">
        <v>162</v>
      </c>
      <c r="B736" s="154" t="s">
        <v>3024</v>
      </c>
      <c r="C736" s="154" t="s">
        <v>3025</v>
      </c>
      <c r="D736" s="154">
        <v>0</v>
      </c>
      <c r="E736" s="154">
        <v>50052.333415699999</v>
      </c>
      <c r="F736" s="154">
        <v>38702.299247700001</v>
      </c>
      <c r="G736" s="154">
        <v>33207.609247699998</v>
      </c>
      <c r="H736" s="154">
        <v>25639.806759300001</v>
      </c>
      <c r="I736" s="154">
        <v>24256.916759299998</v>
      </c>
      <c r="J736" s="154">
        <v>31353.1727593</v>
      </c>
      <c r="K736" s="154">
        <v>26462.596515099998</v>
      </c>
      <c r="L736" s="154">
        <v>26064.0895151</v>
      </c>
      <c r="M736" s="154">
        <v>26852.0505151</v>
      </c>
      <c r="N736" s="154">
        <v>25951.864270900001</v>
      </c>
      <c r="O736" s="154">
        <v>27784.864270900001</v>
      </c>
      <c r="P736" s="154">
        <v>38801.573049799998</v>
      </c>
      <c r="Q736" s="78">
        <f t="shared" si="11"/>
        <v>375129.17632590007</v>
      </c>
    </row>
    <row r="737" spans="1:17" x14ac:dyDescent="0.3">
      <c r="A737" s="154" t="s">
        <v>162</v>
      </c>
      <c r="B737" s="154" t="s">
        <v>3026</v>
      </c>
      <c r="C737" s="154" t="s">
        <v>3027</v>
      </c>
      <c r="D737" s="154">
        <v>0</v>
      </c>
      <c r="E737" s="154">
        <v>0</v>
      </c>
      <c r="F737" s="154">
        <v>100</v>
      </c>
      <c r="G737" s="154">
        <v>500</v>
      </c>
      <c r="H737" s="154">
        <v>0</v>
      </c>
      <c r="I737" s="154">
        <v>100</v>
      </c>
      <c r="J737" s="154">
        <v>0</v>
      </c>
      <c r="K737" s="154">
        <v>100</v>
      </c>
      <c r="L737" s="154">
        <v>0</v>
      </c>
      <c r="M737" s="154">
        <v>100</v>
      </c>
      <c r="N737" s="154">
        <v>0</v>
      </c>
      <c r="O737" s="154">
        <v>100</v>
      </c>
      <c r="P737" s="154">
        <v>0</v>
      </c>
      <c r="Q737" s="78">
        <f t="shared" si="11"/>
        <v>1000</v>
      </c>
    </row>
    <row r="738" spans="1:17" x14ac:dyDescent="0.3">
      <c r="A738" s="154" t="s">
        <v>162</v>
      </c>
      <c r="B738" s="154" t="s">
        <v>3028</v>
      </c>
      <c r="C738" s="154" t="s">
        <v>3029</v>
      </c>
      <c r="D738" s="154">
        <v>0</v>
      </c>
      <c r="E738" s="154">
        <v>6000</v>
      </c>
      <c r="F738" s="154">
        <v>6000</v>
      </c>
      <c r="G738" s="154">
        <v>6000</v>
      </c>
      <c r="H738" s="154">
        <v>6000</v>
      </c>
      <c r="I738" s="154">
        <v>6000</v>
      </c>
      <c r="J738" s="154">
        <v>6000</v>
      </c>
      <c r="K738" s="154">
        <v>6000</v>
      </c>
      <c r="L738" s="154">
        <v>6000</v>
      </c>
      <c r="M738" s="154">
        <v>6000</v>
      </c>
      <c r="N738" s="154">
        <v>6000</v>
      </c>
      <c r="O738" s="154">
        <v>6000</v>
      </c>
      <c r="P738" s="154">
        <v>6000</v>
      </c>
      <c r="Q738" s="78">
        <f t="shared" si="11"/>
        <v>72000</v>
      </c>
    </row>
    <row r="739" spans="1:17" x14ac:dyDescent="0.3">
      <c r="A739" s="154" t="s">
        <v>162</v>
      </c>
      <c r="B739" s="154" t="s">
        <v>3030</v>
      </c>
      <c r="C739" s="154" t="s">
        <v>3031</v>
      </c>
      <c r="D739" s="154">
        <v>0</v>
      </c>
      <c r="E739" s="154">
        <v>93912.952605600003</v>
      </c>
      <c r="F739" s="154">
        <v>91977.924705600002</v>
      </c>
      <c r="G739" s="154">
        <v>100650.02560560001</v>
      </c>
      <c r="H739" s="154">
        <v>102071.9671349</v>
      </c>
      <c r="I739" s="154">
        <v>100579.19163489999</v>
      </c>
      <c r="J739" s="154">
        <v>109707.92783489999</v>
      </c>
      <c r="K739" s="154">
        <v>103837.5589497</v>
      </c>
      <c r="L739" s="154">
        <v>105453.82494970001</v>
      </c>
      <c r="M739" s="154">
        <v>106156.5589497</v>
      </c>
      <c r="N739" s="154">
        <v>103655.1900643</v>
      </c>
      <c r="O739" s="154">
        <v>108390.89006429999</v>
      </c>
      <c r="P739" s="154">
        <v>130722.8616378</v>
      </c>
      <c r="Q739" s="78">
        <f t="shared" si="11"/>
        <v>1257116.8741369999</v>
      </c>
    </row>
    <row r="740" spans="1:17" x14ac:dyDescent="0.3">
      <c r="A740" s="154" t="s">
        <v>162</v>
      </c>
      <c r="B740" s="154" t="s">
        <v>3032</v>
      </c>
      <c r="C740" s="154" t="s">
        <v>3033</v>
      </c>
      <c r="D740" s="154">
        <v>0</v>
      </c>
      <c r="E740" s="154">
        <v>13854.9025633</v>
      </c>
      <c r="F740" s="154">
        <v>14363.9025633</v>
      </c>
      <c r="G740" s="154">
        <v>14322.9025633</v>
      </c>
      <c r="H740" s="154">
        <v>14000.1699104</v>
      </c>
      <c r="I740" s="154">
        <v>14059.1699104</v>
      </c>
      <c r="J740" s="154">
        <v>15978.1699104</v>
      </c>
      <c r="K740" s="154">
        <v>13335.803583999999</v>
      </c>
      <c r="L740" s="154">
        <v>14149.803583999999</v>
      </c>
      <c r="M740" s="154">
        <v>14540.069584000001</v>
      </c>
      <c r="N740" s="154">
        <v>13755.4372575</v>
      </c>
      <c r="O740" s="154">
        <v>15002.4372575</v>
      </c>
      <c r="P740" s="154">
        <v>16762.504625400001</v>
      </c>
      <c r="Q740" s="78">
        <f t="shared" si="11"/>
        <v>174125.27331349999</v>
      </c>
    </row>
    <row r="741" spans="1:17" x14ac:dyDescent="0.3">
      <c r="A741" s="154" t="s">
        <v>162</v>
      </c>
      <c r="B741" s="154" t="s">
        <v>3034</v>
      </c>
      <c r="C741" s="154" t="s">
        <v>3035</v>
      </c>
      <c r="D741" s="154">
        <v>0</v>
      </c>
      <c r="E741" s="154">
        <v>5489.7266632999999</v>
      </c>
      <c r="F741" s="154">
        <v>5489.7266632999999</v>
      </c>
      <c r="G741" s="154">
        <v>5489.7266632999999</v>
      </c>
      <c r="H741" s="154">
        <v>6023.9733294999996</v>
      </c>
      <c r="I741" s="154">
        <v>6023.9733294999996</v>
      </c>
      <c r="J741" s="154">
        <v>6023.9733294999996</v>
      </c>
      <c r="K741" s="154">
        <v>6291.0966625999999</v>
      </c>
      <c r="L741" s="154">
        <v>6291.0966625999999</v>
      </c>
      <c r="M741" s="154">
        <v>6291.0966625999999</v>
      </c>
      <c r="N741" s="154">
        <v>6558.2199956000004</v>
      </c>
      <c r="O741" s="154">
        <v>6558.2199956000004</v>
      </c>
      <c r="P741" s="154">
        <v>7893.8366611000001</v>
      </c>
      <c r="Q741" s="78">
        <f t="shared" si="11"/>
        <v>74424.666618499992</v>
      </c>
    </row>
    <row r="742" spans="1:17" x14ac:dyDescent="0.3">
      <c r="A742" s="154" t="s">
        <v>162</v>
      </c>
      <c r="B742" s="154" t="s">
        <v>3036</v>
      </c>
      <c r="C742" s="154" t="s">
        <v>3037</v>
      </c>
      <c r="D742" s="154">
        <v>0</v>
      </c>
      <c r="E742" s="154">
        <v>41570.841544100003</v>
      </c>
      <c r="F742" s="154">
        <v>42083.841544100003</v>
      </c>
      <c r="G742" s="154">
        <v>62367.841544100003</v>
      </c>
      <c r="H742" s="154">
        <v>46157.307479000003</v>
      </c>
      <c r="I742" s="154">
        <v>60758.377479000002</v>
      </c>
      <c r="J742" s="154">
        <v>76989.807478999996</v>
      </c>
      <c r="K742" s="154">
        <v>47876.040446400002</v>
      </c>
      <c r="L742" s="154">
        <v>50113.838446399997</v>
      </c>
      <c r="M742" s="154">
        <v>57866.040446400002</v>
      </c>
      <c r="N742" s="154">
        <v>48248.773413900002</v>
      </c>
      <c r="O742" s="154">
        <v>42882.773413900002</v>
      </c>
      <c r="P742" s="154">
        <v>59848.438251</v>
      </c>
      <c r="Q742" s="78">
        <f t="shared" si="11"/>
        <v>636763.92148730019</v>
      </c>
    </row>
    <row r="743" spans="1:17" x14ac:dyDescent="0.3">
      <c r="A743" s="154" t="s">
        <v>162</v>
      </c>
      <c r="B743" s="154" t="s">
        <v>3038</v>
      </c>
      <c r="C743" s="154" t="s">
        <v>3039</v>
      </c>
      <c r="D743" s="154">
        <v>0</v>
      </c>
      <c r="E743" s="154">
        <v>83239.981748200007</v>
      </c>
      <c r="F743" s="154">
        <v>77674.611748199997</v>
      </c>
      <c r="G743" s="154">
        <v>87970.291748200005</v>
      </c>
      <c r="H743" s="154">
        <v>90858.322474200002</v>
      </c>
      <c r="I743" s="154">
        <v>82986.212474200001</v>
      </c>
      <c r="J743" s="154">
        <v>104501.7724742</v>
      </c>
      <c r="K743" s="154">
        <v>83598.7128371</v>
      </c>
      <c r="L743" s="154">
        <v>82044.308837100005</v>
      </c>
      <c r="M743" s="154">
        <v>107656.4628371</v>
      </c>
      <c r="N743" s="154">
        <v>84216.103200099999</v>
      </c>
      <c r="O743" s="154">
        <v>94321.604200100002</v>
      </c>
      <c r="P743" s="154">
        <v>100051.70401489999</v>
      </c>
      <c r="Q743" s="78">
        <f t="shared" si="11"/>
        <v>1079120.0885936001</v>
      </c>
    </row>
    <row r="744" spans="1:17" x14ac:dyDescent="0.3">
      <c r="A744" s="154" t="s">
        <v>162</v>
      </c>
      <c r="B744" s="154" t="s">
        <v>3040</v>
      </c>
      <c r="C744" s="154" t="s">
        <v>3041</v>
      </c>
      <c r="D744" s="154">
        <v>0</v>
      </c>
      <c r="E744" s="154">
        <v>22143.306421699999</v>
      </c>
      <c r="F744" s="154">
        <v>15297.306421699999</v>
      </c>
      <c r="G744" s="154">
        <v>11044.306421699999</v>
      </c>
      <c r="H744" s="154">
        <v>10854.84722</v>
      </c>
      <c r="I744" s="154">
        <v>11192.79722</v>
      </c>
      <c r="J744" s="154">
        <v>11447.84722</v>
      </c>
      <c r="K744" s="154">
        <v>11062.1176192</v>
      </c>
      <c r="L744" s="154">
        <v>11137.1176192</v>
      </c>
      <c r="M744" s="154">
        <v>11494.1176192</v>
      </c>
      <c r="N744" s="154">
        <v>12165.388018400001</v>
      </c>
      <c r="O744" s="154">
        <v>13275.388018400001</v>
      </c>
      <c r="P744" s="154">
        <v>18334.740014200001</v>
      </c>
      <c r="Q744" s="78">
        <f t="shared" si="11"/>
        <v>159449.27983370001</v>
      </c>
    </row>
    <row r="745" spans="1:17" x14ac:dyDescent="0.3">
      <c r="A745" s="154" t="s">
        <v>162</v>
      </c>
      <c r="B745" s="154" t="s">
        <v>3042</v>
      </c>
      <c r="C745" s="154" t="s">
        <v>3043</v>
      </c>
      <c r="D745" s="154">
        <v>0</v>
      </c>
      <c r="E745" s="154">
        <v>125280.76076580001</v>
      </c>
      <c r="F745" s="154">
        <v>125556.26076580001</v>
      </c>
      <c r="G745" s="154">
        <v>135199.8607658</v>
      </c>
      <c r="H745" s="154">
        <v>171317.59550729999</v>
      </c>
      <c r="I745" s="154">
        <v>121147.52459820001</v>
      </c>
      <c r="J745" s="154">
        <v>169254.24550729999</v>
      </c>
      <c r="K745" s="154">
        <v>122413.952878</v>
      </c>
      <c r="L745" s="154">
        <v>124327.732878</v>
      </c>
      <c r="M745" s="154">
        <v>149631.65287799999</v>
      </c>
      <c r="N745" s="154">
        <v>164385.66024880001</v>
      </c>
      <c r="O745" s="154">
        <v>138303.0602488</v>
      </c>
      <c r="P745" s="154">
        <v>232296.0971023</v>
      </c>
      <c r="Q745" s="78">
        <f t="shared" si="11"/>
        <v>1779114.4041440999</v>
      </c>
    </row>
    <row r="746" spans="1:17" x14ac:dyDescent="0.3">
      <c r="A746" s="154" t="s">
        <v>162</v>
      </c>
      <c r="B746" s="154" t="s">
        <v>3044</v>
      </c>
      <c r="C746" s="154" t="s">
        <v>3045</v>
      </c>
      <c r="D746" s="154">
        <v>0</v>
      </c>
      <c r="E746" s="154">
        <v>1180</v>
      </c>
      <c r="F746" s="154">
        <v>1180</v>
      </c>
      <c r="G746" s="154">
        <v>1180</v>
      </c>
      <c r="H746" s="154">
        <v>1180</v>
      </c>
      <c r="I746" s="154">
        <v>1180</v>
      </c>
      <c r="J746" s="154">
        <v>1180</v>
      </c>
      <c r="K746" s="154">
        <v>1180</v>
      </c>
      <c r="L746" s="154">
        <v>1180</v>
      </c>
      <c r="M746" s="154">
        <v>1180</v>
      </c>
      <c r="N746" s="154">
        <v>1180</v>
      </c>
      <c r="O746" s="154">
        <v>1180</v>
      </c>
      <c r="P746" s="154">
        <v>1180</v>
      </c>
      <c r="Q746" s="78">
        <f t="shared" si="11"/>
        <v>14160</v>
      </c>
    </row>
    <row r="747" spans="1:17" x14ac:dyDescent="0.3">
      <c r="A747" s="154" t="s">
        <v>162</v>
      </c>
      <c r="B747" s="154" t="s">
        <v>3046</v>
      </c>
      <c r="C747" s="154" t="s">
        <v>3047</v>
      </c>
      <c r="D747" s="154">
        <v>0</v>
      </c>
      <c r="E747" s="154">
        <v>-8088.6</v>
      </c>
      <c r="F747" s="154">
        <v>94673.7</v>
      </c>
      <c r="G747" s="154">
        <v>167731.4</v>
      </c>
      <c r="H747" s="154">
        <v>64868.6</v>
      </c>
      <c r="I747" s="154">
        <v>58301.1</v>
      </c>
      <c r="J747" s="154">
        <v>85911.4</v>
      </c>
      <c r="K747" s="154">
        <v>77274.2</v>
      </c>
      <c r="L747" s="154">
        <v>158130.9</v>
      </c>
      <c r="M747" s="154">
        <v>114368.6</v>
      </c>
      <c r="N747" s="154">
        <v>59274.2</v>
      </c>
      <c r="O747" s="154">
        <v>59274.2</v>
      </c>
      <c r="P747" s="154">
        <v>28387.48</v>
      </c>
      <c r="Q747" s="78">
        <f t="shared" si="11"/>
        <v>960107.17999999982</v>
      </c>
    </row>
    <row r="748" spans="1:17" x14ac:dyDescent="0.3">
      <c r="A748" s="154" t="s">
        <v>162</v>
      </c>
      <c r="B748" s="154" t="s">
        <v>3048</v>
      </c>
      <c r="C748" s="154" t="s">
        <v>3049</v>
      </c>
      <c r="D748" s="154">
        <v>0</v>
      </c>
      <c r="E748" s="154">
        <v>147285.7142857</v>
      </c>
      <c r="F748" s="154">
        <v>0</v>
      </c>
      <c r="G748" s="154">
        <v>61000</v>
      </c>
      <c r="H748" s="154">
        <v>0</v>
      </c>
      <c r="I748" s="154">
        <v>160285.7142857</v>
      </c>
      <c r="J748" s="154">
        <v>95285.7142857</v>
      </c>
      <c r="K748" s="154">
        <v>65000</v>
      </c>
      <c r="L748" s="154">
        <v>95285.7142857</v>
      </c>
      <c r="M748" s="154">
        <v>160285.7142857</v>
      </c>
      <c r="N748" s="154">
        <v>0</v>
      </c>
      <c r="O748" s="154">
        <v>160285.7142857</v>
      </c>
      <c r="P748" s="154">
        <v>95285.7142857</v>
      </c>
      <c r="Q748" s="78">
        <f t="shared" si="11"/>
        <v>1039999.9999999</v>
      </c>
    </row>
    <row r="749" spans="1:17" x14ac:dyDescent="0.3">
      <c r="A749" s="154" t="s">
        <v>162</v>
      </c>
      <c r="B749" s="154" t="s">
        <v>3050</v>
      </c>
      <c r="C749" s="154" t="s">
        <v>3051</v>
      </c>
      <c r="D749" s="154">
        <v>0</v>
      </c>
      <c r="E749" s="154">
        <v>333.92028909999999</v>
      </c>
      <c r="F749" s="154">
        <v>333.92028909999999</v>
      </c>
      <c r="G749" s="154">
        <v>429.32608599999998</v>
      </c>
      <c r="H749" s="154">
        <v>477.02898449999998</v>
      </c>
      <c r="I749" s="154">
        <v>381.62318759999999</v>
      </c>
      <c r="J749" s="154">
        <v>357.7717384</v>
      </c>
      <c r="K749" s="154">
        <v>357.7717384</v>
      </c>
      <c r="L749" s="154">
        <v>357.7717384</v>
      </c>
      <c r="M749" s="154">
        <v>357.7717384</v>
      </c>
      <c r="N749" s="154">
        <v>429.32608599999998</v>
      </c>
      <c r="O749" s="154">
        <v>477.02898449999998</v>
      </c>
      <c r="P749" s="154">
        <v>477.02898449999998</v>
      </c>
      <c r="Q749" s="78">
        <f t="shared" si="11"/>
        <v>4770.2898448999986</v>
      </c>
    </row>
    <row r="750" spans="1:17" x14ac:dyDescent="0.3">
      <c r="A750" s="154" t="s">
        <v>162</v>
      </c>
      <c r="B750" s="154" t="s">
        <v>3052</v>
      </c>
      <c r="C750" s="154" t="s">
        <v>3053</v>
      </c>
      <c r="D750" s="154">
        <v>0</v>
      </c>
      <c r="E750" s="154">
        <v>16956.25</v>
      </c>
      <c r="F750" s="154">
        <v>16956.25</v>
      </c>
      <c r="G750" s="154">
        <v>16956.25</v>
      </c>
      <c r="H750" s="154">
        <v>17256.25</v>
      </c>
      <c r="I750" s="154">
        <v>17256.25</v>
      </c>
      <c r="J750" s="154">
        <v>53848.61</v>
      </c>
      <c r="K750" s="154">
        <v>17406.25</v>
      </c>
      <c r="L750" s="154">
        <v>17406.25</v>
      </c>
      <c r="M750" s="154">
        <v>17406.25</v>
      </c>
      <c r="N750" s="154">
        <v>17556.25</v>
      </c>
      <c r="O750" s="154">
        <v>17556.25</v>
      </c>
      <c r="P750" s="154">
        <v>18306.25</v>
      </c>
      <c r="Q750" s="78">
        <f t="shared" si="11"/>
        <v>244867.36</v>
      </c>
    </row>
    <row r="751" spans="1:17" x14ac:dyDescent="0.3">
      <c r="A751" s="154" t="s">
        <v>162</v>
      </c>
      <c r="B751" s="154" t="s">
        <v>3054</v>
      </c>
      <c r="C751" s="154" t="s">
        <v>3055</v>
      </c>
      <c r="D751" s="154">
        <v>0</v>
      </c>
      <c r="E751" s="154">
        <v>109625.0033333</v>
      </c>
      <c r="F751" s="154">
        <v>107750.0033333</v>
      </c>
      <c r="G751" s="154">
        <v>210750.0033333</v>
      </c>
      <c r="H751" s="154">
        <v>109625.0033333</v>
      </c>
      <c r="I751" s="154">
        <v>107750.0033333</v>
      </c>
      <c r="J751" s="154">
        <v>208250.0033333</v>
      </c>
      <c r="K751" s="154">
        <v>112625.0033333</v>
      </c>
      <c r="L751" s="154">
        <v>107750.0033333</v>
      </c>
      <c r="M751" s="154">
        <v>210750.0033333</v>
      </c>
      <c r="N751" s="154">
        <v>109625.0033333</v>
      </c>
      <c r="O751" s="154">
        <v>117750.0033333</v>
      </c>
      <c r="P751" s="154">
        <v>223150.0033333</v>
      </c>
      <c r="Q751" s="78">
        <f t="shared" si="11"/>
        <v>1735400.0399995996</v>
      </c>
    </row>
    <row r="752" spans="1:17" x14ac:dyDescent="0.3">
      <c r="A752" s="154" t="s">
        <v>162</v>
      </c>
      <c r="B752" s="154" t="s">
        <v>3056</v>
      </c>
      <c r="C752" s="154" t="s">
        <v>3057</v>
      </c>
      <c r="D752" s="154">
        <v>0</v>
      </c>
      <c r="E752" s="154">
        <v>193087.3336667</v>
      </c>
      <c r="F752" s="154">
        <v>208088.33333369999</v>
      </c>
      <c r="G752" s="154">
        <v>218087.3336667</v>
      </c>
      <c r="H752" s="154">
        <v>208088.3336667</v>
      </c>
      <c r="I752" s="154">
        <v>251087.33666669999</v>
      </c>
      <c r="J752" s="154">
        <v>208088.3336667</v>
      </c>
      <c r="K752" s="154">
        <v>208087.3336667</v>
      </c>
      <c r="L752" s="154">
        <v>228092.3336667</v>
      </c>
      <c r="M752" s="154">
        <v>213088.3336667</v>
      </c>
      <c r="N752" s="154">
        <v>221421.3336667</v>
      </c>
      <c r="O752" s="154">
        <v>225588.3336667</v>
      </c>
      <c r="P752" s="154">
        <v>196691.3336667</v>
      </c>
      <c r="Q752" s="78">
        <f t="shared" si="11"/>
        <v>2579496.0066673998</v>
      </c>
    </row>
    <row r="753" spans="1:17" x14ac:dyDescent="0.3">
      <c r="A753" s="154" t="s">
        <v>162</v>
      </c>
      <c r="B753" s="154" t="s">
        <v>3058</v>
      </c>
      <c r="C753" s="154" t="s">
        <v>3059</v>
      </c>
      <c r="D753" s="154">
        <v>0</v>
      </c>
      <c r="E753" s="154">
        <v>649749.96333329997</v>
      </c>
      <c r="F753" s="154">
        <v>226639.96333329999</v>
      </c>
      <c r="G753" s="154">
        <v>253639.96333329999</v>
      </c>
      <c r="H753" s="154">
        <v>443363.76333330001</v>
      </c>
      <c r="I753" s="154">
        <v>243116.96333329999</v>
      </c>
      <c r="J753" s="154">
        <v>208239.96333329999</v>
      </c>
      <c r="K753" s="154">
        <v>297679.96333330002</v>
      </c>
      <c r="L753" s="154">
        <v>242281.96333329999</v>
      </c>
      <c r="M753" s="154">
        <v>297439.96333330002</v>
      </c>
      <c r="N753" s="154">
        <v>253769.96333329999</v>
      </c>
      <c r="O753" s="154">
        <v>225939.96333329999</v>
      </c>
      <c r="P753" s="154">
        <v>207582.96333329999</v>
      </c>
      <c r="Q753" s="78">
        <f t="shared" si="11"/>
        <v>3549445.3599995994</v>
      </c>
    </row>
    <row r="754" spans="1:17" x14ac:dyDescent="0.3">
      <c r="A754" s="154" t="s">
        <v>162</v>
      </c>
      <c r="B754" s="154" t="s">
        <v>3060</v>
      </c>
      <c r="C754" s="154" t="s">
        <v>3061</v>
      </c>
      <c r="D754" s="154">
        <v>0</v>
      </c>
      <c r="E754" s="154">
        <v>10000</v>
      </c>
      <c r="F754" s="154">
        <v>10000</v>
      </c>
      <c r="G754" s="154">
        <v>60000</v>
      </c>
      <c r="H754" s="154">
        <v>10000</v>
      </c>
      <c r="I754" s="154">
        <v>65000</v>
      </c>
      <c r="J754" s="154">
        <v>30000</v>
      </c>
      <c r="K754" s="154">
        <v>55000</v>
      </c>
      <c r="L754" s="154">
        <v>0</v>
      </c>
      <c r="M754" s="154">
        <v>87000</v>
      </c>
      <c r="N754" s="154">
        <v>0</v>
      </c>
      <c r="O754" s="154">
        <v>20000</v>
      </c>
      <c r="P754" s="154">
        <v>0</v>
      </c>
      <c r="Q754" s="78">
        <f t="shared" si="11"/>
        <v>347000</v>
      </c>
    </row>
    <row r="755" spans="1:17" x14ac:dyDescent="0.3">
      <c r="A755" s="154" t="s">
        <v>162</v>
      </c>
      <c r="B755" s="154" t="s">
        <v>3062</v>
      </c>
      <c r="C755" s="154" t="s">
        <v>3063</v>
      </c>
      <c r="D755" s="154">
        <v>0</v>
      </c>
      <c r="E755" s="154">
        <v>5373200.7085737996</v>
      </c>
      <c r="F755" s="154">
        <v>7879763.2890218003</v>
      </c>
      <c r="G755" s="154">
        <v>8953430.9820440002</v>
      </c>
      <c r="H755" s="154">
        <v>5537864.7662091004</v>
      </c>
      <c r="I755" s="154">
        <v>5568376.8554368997</v>
      </c>
      <c r="J755" s="154">
        <v>5774877.4470042996</v>
      </c>
      <c r="K755" s="154">
        <v>6683867.6706098001</v>
      </c>
      <c r="L755" s="154">
        <v>6063749.0994076999</v>
      </c>
      <c r="M755" s="154">
        <v>5838882.3557200003</v>
      </c>
      <c r="N755" s="154">
        <v>6176821.2756371005</v>
      </c>
      <c r="O755" s="154">
        <v>5949082.8652077001</v>
      </c>
      <c r="P755" s="154">
        <v>5793606.9142139005</v>
      </c>
      <c r="Q755" s="78">
        <f t="shared" si="11"/>
        <v>75593524.229086086</v>
      </c>
    </row>
    <row r="756" spans="1:17" x14ac:dyDescent="0.3">
      <c r="A756" s="154" t="s">
        <v>162</v>
      </c>
      <c r="B756" s="154" t="s">
        <v>3064</v>
      </c>
      <c r="C756" s="154" t="s">
        <v>3065</v>
      </c>
      <c r="D756" s="154">
        <v>0</v>
      </c>
      <c r="E756" s="154">
        <v>106</v>
      </c>
      <c r="F756" s="154">
        <v>0</v>
      </c>
      <c r="G756" s="154">
        <v>795</v>
      </c>
      <c r="H756" s="154">
        <v>2223</v>
      </c>
      <c r="I756" s="154">
        <v>622</v>
      </c>
      <c r="J756" s="154">
        <v>2126</v>
      </c>
      <c r="K756" s="154">
        <v>1534</v>
      </c>
      <c r="L756" s="154">
        <v>0</v>
      </c>
      <c r="M756" s="154">
        <v>265</v>
      </c>
      <c r="N756" s="154">
        <v>24</v>
      </c>
      <c r="O756" s="154">
        <v>162</v>
      </c>
      <c r="P756" s="154">
        <v>290</v>
      </c>
      <c r="Q756" s="78">
        <f t="shared" si="11"/>
        <v>8147</v>
      </c>
    </row>
    <row r="757" spans="1:17" x14ac:dyDescent="0.3">
      <c r="A757" s="154" t="s">
        <v>162</v>
      </c>
      <c r="B757" s="154" t="s">
        <v>3066</v>
      </c>
      <c r="C757" s="154" t="s">
        <v>3067</v>
      </c>
      <c r="D757" s="154">
        <v>0</v>
      </c>
      <c r="E757" s="154">
        <v>2277329.9649999999</v>
      </c>
      <c r="F757" s="154">
        <v>2277346.9649999999</v>
      </c>
      <c r="G757" s="154">
        <v>2277347.9649999999</v>
      </c>
      <c r="H757" s="154">
        <v>2278194.9649999999</v>
      </c>
      <c r="I757" s="154">
        <v>2277346.9649999999</v>
      </c>
      <c r="J757" s="154">
        <v>2277397.9649999999</v>
      </c>
      <c r="K757" s="154">
        <v>2277429.9649999999</v>
      </c>
      <c r="L757" s="154">
        <v>2277346.9649999999</v>
      </c>
      <c r="M757" s="154">
        <v>2277400.9649999999</v>
      </c>
      <c r="N757" s="154">
        <v>2277346.9649999999</v>
      </c>
      <c r="O757" s="154">
        <v>2277346.9649999999</v>
      </c>
      <c r="P757" s="154">
        <v>2282861.6230000001</v>
      </c>
      <c r="Q757" s="78">
        <f t="shared" si="11"/>
        <v>27334698.237999998</v>
      </c>
    </row>
    <row r="758" spans="1:17" x14ac:dyDescent="0.3">
      <c r="A758" s="154" t="s">
        <v>162</v>
      </c>
      <c r="B758" s="154" t="s">
        <v>3068</v>
      </c>
      <c r="C758" s="154" t="s">
        <v>3069</v>
      </c>
      <c r="D758" s="154">
        <v>0</v>
      </c>
      <c r="E758" s="154">
        <v>417.60075890000002</v>
      </c>
      <c r="F758" s="154">
        <v>416.60075890000002</v>
      </c>
      <c r="G758" s="154">
        <v>4030.4866900000002</v>
      </c>
      <c r="H758" s="154">
        <v>422.42965559999999</v>
      </c>
      <c r="I758" s="154">
        <v>526.19372439999995</v>
      </c>
      <c r="J758" s="154">
        <v>4007.5722417000002</v>
      </c>
      <c r="K758" s="154">
        <v>417.57224170000001</v>
      </c>
      <c r="L758" s="154">
        <v>427.57224170000001</v>
      </c>
      <c r="M758" s="154">
        <v>1417.5722416999999</v>
      </c>
      <c r="N758" s="154">
        <v>720.48668999999995</v>
      </c>
      <c r="O758" s="154">
        <v>2925.4296555999999</v>
      </c>
      <c r="P758" s="154">
        <v>1422.4296555999999</v>
      </c>
      <c r="Q758" s="78">
        <f t="shared" si="11"/>
        <v>17151.946555800001</v>
      </c>
    </row>
    <row r="759" spans="1:17" x14ac:dyDescent="0.3">
      <c r="A759" s="154" t="s">
        <v>162</v>
      </c>
      <c r="B759" s="154" t="s">
        <v>3070</v>
      </c>
      <c r="C759" s="154" t="s">
        <v>3071</v>
      </c>
      <c r="D759" s="154">
        <v>0</v>
      </c>
      <c r="E759" s="154">
        <v>350000</v>
      </c>
      <c r="F759" s="154">
        <v>350000</v>
      </c>
      <c r="G759" s="154">
        <v>350000</v>
      </c>
      <c r="H759" s="154">
        <v>350000</v>
      </c>
      <c r="I759" s="154">
        <v>350000</v>
      </c>
      <c r="J759" s="154">
        <v>350000</v>
      </c>
      <c r="K759" s="154">
        <v>350000</v>
      </c>
      <c r="L759" s="154">
        <v>350000</v>
      </c>
      <c r="M759" s="154">
        <v>350000</v>
      </c>
      <c r="N759" s="154">
        <v>350000</v>
      </c>
      <c r="O759" s="154">
        <v>350000</v>
      </c>
      <c r="P759" s="154">
        <v>350000</v>
      </c>
      <c r="Q759" s="78">
        <f t="shared" si="11"/>
        <v>4200000</v>
      </c>
    </row>
    <row r="760" spans="1:17" x14ac:dyDescent="0.3">
      <c r="A760" s="154" t="s">
        <v>162</v>
      </c>
      <c r="B760" s="154" t="s">
        <v>3072</v>
      </c>
      <c r="C760" s="154" t="s">
        <v>3073</v>
      </c>
      <c r="D760" s="154">
        <v>0</v>
      </c>
      <c r="E760" s="154">
        <v>250</v>
      </c>
      <c r="F760" s="154">
        <v>250</v>
      </c>
      <c r="G760" s="154">
        <v>250</v>
      </c>
      <c r="H760" s="154">
        <v>250</v>
      </c>
      <c r="I760" s="154">
        <v>250</v>
      </c>
      <c r="J760" s="154">
        <v>250</v>
      </c>
      <c r="K760" s="154">
        <v>250</v>
      </c>
      <c r="L760" s="154">
        <v>250</v>
      </c>
      <c r="M760" s="154">
        <v>250</v>
      </c>
      <c r="N760" s="154">
        <v>250</v>
      </c>
      <c r="O760" s="154">
        <v>250</v>
      </c>
      <c r="P760" s="154">
        <v>250</v>
      </c>
      <c r="Q760" s="78">
        <f t="shared" si="11"/>
        <v>3000</v>
      </c>
    </row>
    <row r="761" spans="1:17" x14ac:dyDescent="0.3">
      <c r="A761" s="154" t="s">
        <v>162</v>
      </c>
      <c r="B761" s="154" t="s">
        <v>3074</v>
      </c>
      <c r="C761" s="154" t="s">
        <v>3075</v>
      </c>
      <c r="D761" s="154">
        <v>0</v>
      </c>
      <c r="E761" s="154">
        <v>12764.207844</v>
      </c>
      <c r="F761" s="154">
        <v>12764.207844</v>
      </c>
      <c r="G761" s="154">
        <v>12764.207844</v>
      </c>
      <c r="H761" s="154">
        <v>14587.6661074</v>
      </c>
      <c r="I761" s="154">
        <v>14587.6661074</v>
      </c>
      <c r="J761" s="154">
        <v>14587.6661074</v>
      </c>
      <c r="K761" s="154">
        <v>15499.3952391</v>
      </c>
      <c r="L761" s="154">
        <v>15499.3952391</v>
      </c>
      <c r="M761" s="154">
        <v>15499.3952391</v>
      </c>
      <c r="N761" s="154">
        <v>16411.124370900001</v>
      </c>
      <c r="O761" s="154">
        <v>16411.124370900001</v>
      </c>
      <c r="P761" s="154">
        <v>20969.770029399999</v>
      </c>
      <c r="Q761" s="78">
        <f t="shared" si="11"/>
        <v>182345.82634270005</v>
      </c>
    </row>
    <row r="762" spans="1:17" x14ac:dyDescent="0.3">
      <c r="A762" s="154" t="s">
        <v>162</v>
      </c>
      <c r="B762" s="154" t="s">
        <v>3076</v>
      </c>
      <c r="C762" s="154" t="s">
        <v>3077</v>
      </c>
      <c r="D762" s="154">
        <v>0</v>
      </c>
      <c r="E762" s="154">
        <v>1555421.5706939001</v>
      </c>
      <c r="F762" s="154">
        <v>1339919.5339579</v>
      </c>
      <c r="G762" s="154">
        <v>1395846.0585777999</v>
      </c>
      <c r="H762" s="154">
        <v>1445398.9497326999</v>
      </c>
      <c r="I762" s="154">
        <v>1385554.6682163</v>
      </c>
      <c r="J762" s="154">
        <v>1372229.6373703999</v>
      </c>
      <c r="K762" s="154">
        <v>1493420.5764704</v>
      </c>
      <c r="L762" s="154">
        <v>1381700.7086704001</v>
      </c>
      <c r="M762" s="154">
        <v>1378835.6053371001</v>
      </c>
      <c r="N762" s="154">
        <v>1221248.7073078</v>
      </c>
      <c r="O762" s="154">
        <v>1286992.3597327</v>
      </c>
      <c r="P762" s="154">
        <v>1583045.3897327001</v>
      </c>
      <c r="Q762" s="78">
        <f t="shared" si="11"/>
        <v>16839613.7658001</v>
      </c>
    </row>
    <row r="763" spans="1:17" x14ac:dyDescent="0.3">
      <c r="A763" s="154" t="s">
        <v>162</v>
      </c>
      <c r="B763" s="154" t="s">
        <v>3078</v>
      </c>
      <c r="C763" s="154" t="s">
        <v>3079</v>
      </c>
      <c r="D763" s="154">
        <v>0</v>
      </c>
      <c r="E763" s="154">
        <v>0</v>
      </c>
      <c r="F763" s="154">
        <v>0</v>
      </c>
      <c r="G763" s="154">
        <v>8400</v>
      </c>
      <c r="H763" s="154">
        <v>0</v>
      </c>
      <c r="I763" s="154">
        <v>8400</v>
      </c>
      <c r="J763" s="154">
        <v>12600</v>
      </c>
      <c r="K763" s="154">
        <v>8400</v>
      </c>
      <c r="L763" s="154">
        <v>0</v>
      </c>
      <c r="M763" s="154">
        <v>4200</v>
      </c>
      <c r="N763" s="154">
        <v>12600</v>
      </c>
      <c r="O763" s="154">
        <v>0</v>
      </c>
      <c r="P763" s="154">
        <v>0</v>
      </c>
      <c r="Q763" s="78">
        <f t="shared" si="11"/>
        <v>54600</v>
      </c>
    </row>
    <row r="764" spans="1:17" x14ac:dyDescent="0.3">
      <c r="A764" s="154" t="s">
        <v>162</v>
      </c>
      <c r="B764" s="154" t="s">
        <v>3080</v>
      </c>
      <c r="C764" s="154" t="s">
        <v>3081</v>
      </c>
      <c r="D764" s="154">
        <v>0</v>
      </c>
      <c r="E764" s="154">
        <v>224853.49609669999</v>
      </c>
      <c r="F764" s="154">
        <v>224853.49609669999</v>
      </c>
      <c r="G764" s="154">
        <v>224853.49609669999</v>
      </c>
      <c r="H764" s="154">
        <v>224853.49609669999</v>
      </c>
      <c r="I764" s="154">
        <v>224853.49609669999</v>
      </c>
      <c r="J764" s="154">
        <v>224853.49609669999</v>
      </c>
      <c r="K764" s="154">
        <v>224853.49609669999</v>
      </c>
      <c r="L764" s="154">
        <v>224853.49609669999</v>
      </c>
      <c r="M764" s="154">
        <v>224853.49609669999</v>
      </c>
      <c r="N764" s="154">
        <v>224853.49609669999</v>
      </c>
      <c r="O764" s="154">
        <v>224853.49609669999</v>
      </c>
      <c r="P764" s="154">
        <v>224853.49609669999</v>
      </c>
      <c r="Q764" s="78">
        <f t="shared" si="11"/>
        <v>2698241.9531604</v>
      </c>
    </row>
    <row r="765" spans="1:17" x14ac:dyDescent="0.3">
      <c r="A765" s="154" t="s">
        <v>162</v>
      </c>
      <c r="B765" s="154" t="s">
        <v>3082</v>
      </c>
      <c r="C765" s="154" t="s">
        <v>3083</v>
      </c>
      <c r="D765" s="154">
        <v>0</v>
      </c>
      <c r="E765" s="154">
        <v>1279300</v>
      </c>
      <c r="F765" s="154">
        <v>421820</v>
      </c>
      <c r="G765" s="154">
        <v>533194</v>
      </c>
      <c r="H765" s="154">
        <v>6707</v>
      </c>
      <c r="I765" s="154">
        <v>848362</v>
      </c>
      <c r="J765" s="154">
        <v>539357</v>
      </c>
      <c r="K765" s="154">
        <v>164590</v>
      </c>
      <c r="L765" s="154">
        <v>531894</v>
      </c>
      <c r="M765" s="154">
        <v>365933</v>
      </c>
      <c r="N765" s="154">
        <v>818788</v>
      </c>
      <c r="O765" s="154">
        <v>3405518</v>
      </c>
      <c r="P765" s="154">
        <v>9271511</v>
      </c>
      <c r="Q765" s="78">
        <f t="shared" si="11"/>
        <v>18186974</v>
      </c>
    </row>
    <row r="766" spans="1:17" x14ac:dyDescent="0.3">
      <c r="A766" s="154" t="s">
        <v>162</v>
      </c>
      <c r="B766" s="154" t="s">
        <v>3084</v>
      </c>
      <c r="C766" s="154" t="s">
        <v>3085</v>
      </c>
      <c r="D766" s="154">
        <v>0</v>
      </c>
      <c r="E766" s="154">
        <v>49331185</v>
      </c>
      <c r="F766" s="154">
        <v>43182455</v>
      </c>
      <c r="G766" s="154">
        <v>44281814</v>
      </c>
      <c r="H766" s="154">
        <v>43508328</v>
      </c>
      <c r="I766" s="154">
        <v>51603616</v>
      </c>
      <c r="J766" s="154">
        <v>57963247</v>
      </c>
      <c r="K766" s="154">
        <v>62222564</v>
      </c>
      <c r="L766" s="154">
        <v>62794685</v>
      </c>
      <c r="M766" s="154">
        <v>57568914</v>
      </c>
      <c r="N766" s="154">
        <v>54216721</v>
      </c>
      <c r="O766" s="154">
        <v>44663212</v>
      </c>
      <c r="P766" s="154">
        <v>47165324</v>
      </c>
      <c r="Q766" s="78">
        <f t="shared" si="11"/>
        <v>618502065</v>
      </c>
    </row>
    <row r="767" spans="1:17" x14ac:dyDescent="0.3">
      <c r="A767" s="154" t="s">
        <v>162</v>
      </c>
      <c r="B767" s="154" t="s">
        <v>3086</v>
      </c>
      <c r="C767" s="154" t="s">
        <v>3087</v>
      </c>
      <c r="D767" s="154">
        <v>0</v>
      </c>
      <c r="E767" s="154">
        <v>68796</v>
      </c>
      <c r="F767" s="154">
        <v>68796</v>
      </c>
      <c r="G767" s="154">
        <v>67232</v>
      </c>
      <c r="H767" s="154">
        <v>67232</v>
      </c>
      <c r="I767" s="154">
        <v>67232</v>
      </c>
      <c r="J767" s="154">
        <v>67232</v>
      </c>
      <c r="K767" s="154">
        <v>67232</v>
      </c>
      <c r="L767" s="154">
        <v>67232</v>
      </c>
      <c r="M767" s="154">
        <v>66525</v>
      </c>
      <c r="N767" s="154">
        <v>66525</v>
      </c>
      <c r="O767" s="154">
        <v>66525</v>
      </c>
      <c r="P767" s="154">
        <v>66525</v>
      </c>
      <c r="Q767" s="78">
        <f t="shared" si="11"/>
        <v>807084</v>
      </c>
    </row>
    <row r="768" spans="1:17" x14ac:dyDescent="0.3">
      <c r="A768" s="154" t="s">
        <v>162</v>
      </c>
      <c r="B768" s="154" t="s">
        <v>3088</v>
      </c>
      <c r="C768" s="154" t="s">
        <v>3089</v>
      </c>
      <c r="D768" s="154">
        <v>0</v>
      </c>
      <c r="E768" s="154">
        <v>-6</v>
      </c>
      <c r="F768" s="154">
        <v>0</v>
      </c>
      <c r="G768" s="154">
        <v>0</v>
      </c>
      <c r="H768" s="154">
        <v>-5</v>
      </c>
      <c r="I768" s="154">
        <v>0</v>
      </c>
      <c r="J768" s="154">
        <v>0</v>
      </c>
      <c r="K768" s="154">
        <v>-5</v>
      </c>
      <c r="L768" s="154">
        <v>0</v>
      </c>
      <c r="M768" s="154">
        <v>0</v>
      </c>
      <c r="N768" s="154">
        <v>-5</v>
      </c>
      <c r="O768" s="154">
        <v>0</v>
      </c>
      <c r="P768" s="154">
        <v>0</v>
      </c>
      <c r="Q768" s="78">
        <f t="shared" si="11"/>
        <v>-21</v>
      </c>
    </row>
    <row r="769" spans="1:17" x14ac:dyDescent="0.3">
      <c r="A769" s="154" t="s">
        <v>162</v>
      </c>
      <c r="B769" s="154" t="s">
        <v>3090</v>
      </c>
      <c r="C769" s="154" t="s">
        <v>3091</v>
      </c>
      <c r="D769" s="154">
        <v>0</v>
      </c>
      <c r="E769" s="154">
        <v>3972327.2478429</v>
      </c>
      <c r="F769" s="154">
        <v>4100042.9461522</v>
      </c>
      <c r="G769" s="154">
        <v>1350259.4972095999</v>
      </c>
      <c r="H769" s="154">
        <v>1348156.9236709999</v>
      </c>
      <c r="I769" s="154">
        <v>1634485.1844202001</v>
      </c>
      <c r="J769" s="154">
        <v>686575.92626710003</v>
      </c>
      <c r="K769" s="154">
        <v>1032697.5637826</v>
      </c>
      <c r="L769" s="154">
        <v>137238.86247960001</v>
      </c>
      <c r="M769" s="154">
        <v>2884726.5675364002</v>
      </c>
      <c r="N769" s="154">
        <v>1942781.5899179999</v>
      </c>
      <c r="O769" s="154">
        <v>1497848.7890695001</v>
      </c>
      <c r="P769" s="154">
        <v>441510.33011169999</v>
      </c>
      <c r="Q769" s="78">
        <f t="shared" si="11"/>
        <v>21028651.428460799</v>
      </c>
    </row>
    <row r="770" spans="1:17" x14ac:dyDescent="0.3">
      <c r="A770" s="154" t="s">
        <v>162</v>
      </c>
      <c r="B770" s="154" t="s">
        <v>3092</v>
      </c>
      <c r="C770" s="154" t="s">
        <v>3093</v>
      </c>
      <c r="D770" s="154">
        <v>0</v>
      </c>
      <c r="E770" s="154">
        <v>833</v>
      </c>
      <c r="F770" s="154">
        <v>895.5</v>
      </c>
      <c r="G770" s="154">
        <v>833</v>
      </c>
      <c r="H770" s="154">
        <v>833</v>
      </c>
      <c r="I770" s="154">
        <v>833</v>
      </c>
      <c r="J770" s="154">
        <v>1833</v>
      </c>
      <c r="K770" s="154">
        <v>1895.5</v>
      </c>
      <c r="L770" s="154">
        <v>1833</v>
      </c>
      <c r="M770" s="154">
        <v>1833</v>
      </c>
      <c r="N770" s="154">
        <v>1833</v>
      </c>
      <c r="O770" s="154">
        <v>1833</v>
      </c>
      <c r="P770" s="154">
        <v>1899.5</v>
      </c>
      <c r="Q770" s="78">
        <f t="shared" si="11"/>
        <v>17187.5</v>
      </c>
    </row>
    <row r="771" spans="1:17" x14ac:dyDescent="0.3">
      <c r="A771" s="154" t="s">
        <v>162</v>
      </c>
      <c r="B771" s="154" t="s">
        <v>3094</v>
      </c>
      <c r="C771" s="154" t="s">
        <v>3095</v>
      </c>
      <c r="D771" s="154">
        <v>0</v>
      </c>
      <c r="E771" s="154">
        <v>20885.518019499999</v>
      </c>
      <c r="F771" s="154">
        <v>21754.0580195</v>
      </c>
      <c r="G771" s="154">
        <v>28459.820787000001</v>
      </c>
      <c r="H771" s="154">
        <v>25443.347170699999</v>
      </c>
      <c r="I771" s="154">
        <v>22052.014403199999</v>
      </c>
      <c r="J771" s="154">
        <v>24068.531211400001</v>
      </c>
      <c r="K771" s="154">
        <v>28706.531211400001</v>
      </c>
      <c r="L771" s="154">
        <v>21915.531211400001</v>
      </c>
      <c r="M771" s="154">
        <v>22714.531211400001</v>
      </c>
      <c r="N771" s="154">
        <v>21459.820787000001</v>
      </c>
      <c r="O771" s="154">
        <v>26621.347170699999</v>
      </c>
      <c r="P771" s="154">
        <v>24989.347170699999</v>
      </c>
      <c r="Q771" s="78">
        <f t="shared" si="11"/>
        <v>289070.39837389998</v>
      </c>
    </row>
    <row r="772" spans="1:17" x14ac:dyDescent="0.3">
      <c r="A772" s="154" t="s">
        <v>162</v>
      </c>
      <c r="B772" s="154" t="s">
        <v>3096</v>
      </c>
      <c r="C772" s="154" t="s">
        <v>3097</v>
      </c>
      <c r="D772" s="154">
        <v>0</v>
      </c>
      <c r="E772" s="154">
        <v>79870.755423800001</v>
      </c>
      <c r="F772" s="154">
        <v>81399.615423800002</v>
      </c>
      <c r="G772" s="154">
        <v>84232.387898400004</v>
      </c>
      <c r="H772" s="154">
        <v>81545.914135800005</v>
      </c>
      <c r="I772" s="154">
        <v>83490.361661100003</v>
      </c>
      <c r="J772" s="154">
        <v>82005.418542500003</v>
      </c>
      <c r="K772" s="154">
        <v>81296.418542500003</v>
      </c>
      <c r="L772" s="154">
        <v>82869.418542500003</v>
      </c>
      <c r="M772" s="154">
        <v>81794.418542500003</v>
      </c>
      <c r="N772" s="154">
        <v>78938.407898399993</v>
      </c>
      <c r="O772" s="154">
        <v>85564.734135799998</v>
      </c>
      <c r="P772" s="154">
        <v>85534.734135799998</v>
      </c>
      <c r="Q772" s="78">
        <f t="shared" si="11"/>
        <v>988542.58488290012</v>
      </c>
    </row>
    <row r="773" spans="1:17" x14ac:dyDescent="0.3">
      <c r="A773" s="154" t="s">
        <v>162</v>
      </c>
      <c r="B773" s="154" t="s">
        <v>3098</v>
      </c>
      <c r="C773" s="154" t="s">
        <v>3099</v>
      </c>
      <c r="D773" s="154">
        <v>0</v>
      </c>
      <c r="E773" s="154">
        <v>440342.4483173</v>
      </c>
      <c r="F773" s="154">
        <v>410342.4483173</v>
      </c>
      <c r="G773" s="154">
        <v>495842.4483173</v>
      </c>
      <c r="H773" s="154">
        <v>441776.219599</v>
      </c>
      <c r="I773" s="154">
        <v>441776.219599</v>
      </c>
      <c r="J773" s="154">
        <v>441776.219599</v>
      </c>
      <c r="K773" s="154">
        <v>457493.1052398</v>
      </c>
      <c r="L773" s="154">
        <v>457493.1052398</v>
      </c>
      <c r="M773" s="154">
        <v>457493.1052398</v>
      </c>
      <c r="N773" s="154">
        <v>473209.9908808</v>
      </c>
      <c r="O773" s="154">
        <v>473209.9908808</v>
      </c>
      <c r="P773" s="154">
        <v>466294.419085</v>
      </c>
      <c r="Q773" s="78">
        <f t="shared" si="11"/>
        <v>5457049.7203149013</v>
      </c>
    </row>
    <row r="774" spans="1:17" x14ac:dyDescent="0.3">
      <c r="A774" s="154" t="s">
        <v>162</v>
      </c>
      <c r="B774" s="154" t="s">
        <v>3100</v>
      </c>
      <c r="C774" s="154" t="s">
        <v>3101</v>
      </c>
      <c r="D774" s="154">
        <v>0</v>
      </c>
      <c r="E774" s="154">
        <v>41851.352707999999</v>
      </c>
      <c r="F774" s="154">
        <v>22112.5</v>
      </c>
      <c r="G774" s="154">
        <v>22112.5</v>
      </c>
      <c r="H774" s="154">
        <v>22377.3571429</v>
      </c>
      <c r="I774" s="154">
        <v>22377.3571429</v>
      </c>
      <c r="J774" s="154">
        <v>22377.3571429</v>
      </c>
      <c r="K774" s="154">
        <v>22509.7857143</v>
      </c>
      <c r="L774" s="154">
        <v>22509.7857143</v>
      </c>
      <c r="M774" s="154">
        <v>22509.7857143</v>
      </c>
      <c r="N774" s="154">
        <v>22642.2142857</v>
      </c>
      <c r="O774" s="154">
        <v>22642.2142857</v>
      </c>
      <c r="P774" s="154">
        <v>23304.3571429</v>
      </c>
      <c r="Q774" s="78">
        <f t="shared" si="11"/>
        <v>289326.56699389999</v>
      </c>
    </row>
    <row r="775" spans="1:17" x14ac:dyDescent="0.3">
      <c r="A775" s="154" t="s">
        <v>162</v>
      </c>
      <c r="B775" s="154" t="s">
        <v>3102</v>
      </c>
      <c r="C775" s="154" t="s">
        <v>3103</v>
      </c>
      <c r="D775" s="154">
        <v>0</v>
      </c>
      <c r="E775" s="154">
        <v>2000</v>
      </c>
      <c r="F775" s="154">
        <v>2000</v>
      </c>
      <c r="G775" s="154">
        <v>2000</v>
      </c>
      <c r="H775" s="154">
        <v>2000</v>
      </c>
      <c r="I775" s="154">
        <v>2000</v>
      </c>
      <c r="J775" s="154">
        <v>2000</v>
      </c>
      <c r="K775" s="154">
        <v>2000</v>
      </c>
      <c r="L775" s="154">
        <v>2000</v>
      </c>
      <c r="M775" s="154">
        <v>2000</v>
      </c>
      <c r="N775" s="154">
        <v>2000</v>
      </c>
      <c r="O775" s="154">
        <v>2000</v>
      </c>
      <c r="P775" s="154">
        <v>2000</v>
      </c>
      <c r="Q775" s="78">
        <f t="shared" si="11"/>
        <v>24000</v>
      </c>
    </row>
    <row r="776" spans="1:17" x14ac:dyDescent="0.3">
      <c r="A776" s="154" t="s">
        <v>162</v>
      </c>
      <c r="B776" s="154" t="s">
        <v>3104</v>
      </c>
      <c r="C776" s="154" t="s">
        <v>3105</v>
      </c>
      <c r="D776" s="154">
        <v>0</v>
      </c>
      <c r="E776" s="154">
        <v>57932.717939299997</v>
      </c>
      <c r="F776" s="154">
        <v>52156.8303313</v>
      </c>
      <c r="G776" s="154">
        <v>57932.717939299997</v>
      </c>
      <c r="H776" s="154">
        <v>61614.987597599997</v>
      </c>
      <c r="I776" s="154">
        <v>61614.987597599997</v>
      </c>
      <c r="J776" s="154">
        <v>61614.987597599997</v>
      </c>
      <c r="K776" s="154">
        <v>63456.1224267</v>
      </c>
      <c r="L776" s="154">
        <v>63456.1224267</v>
      </c>
      <c r="M776" s="154">
        <v>63456.1224267</v>
      </c>
      <c r="N776" s="154">
        <v>65297.257255899996</v>
      </c>
      <c r="O776" s="154">
        <v>65297.257255899996</v>
      </c>
      <c r="P776" s="154">
        <v>74502.931401599999</v>
      </c>
      <c r="Q776" s="78">
        <f t="shared" si="11"/>
        <v>748333.04219619988</v>
      </c>
    </row>
    <row r="777" spans="1:17" x14ac:dyDescent="0.3">
      <c r="A777" s="154" t="s">
        <v>162</v>
      </c>
      <c r="B777" s="154" t="s">
        <v>3106</v>
      </c>
      <c r="C777" s="154" t="s">
        <v>3107</v>
      </c>
      <c r="D777" s="154">
        <v>0</v>
      </c>
      <c r="E777" s="154">
        <v>7482.6022497000004</v>
      </c>
      <c r="F777" s="154">
        <v>7482.6022497000004</v>
      </c>
      <c r="G777" s="154">
        <v>7490.4886066999998</v>
      </c>
      <c r="H777" s="154">
        <v>7644.4317853000002</v>
      </c>
      <c r="I777" s="154">
        <v>7936.5454282000001</v>
      </c>
      <c r="J777" s="154">
        <v>7634.5738388999998</v>
      </c>
      <c r="K777" s="154">
        <v>7709.5738388999998</v>
      </c>
      <c r="L777" s="154">
        <v>7709.5738388999998</v>
      </c>
      <c r="M777" s="154">
        <v>7709.5738388999998</v>
      </c>
      <c r="N777" s="154">
        <v>7790.4886066999998</v>
      </c>
      <c r="O777" s="154">
        <v>7794.4317853000002</v>
      </c>
      <c r="P777" s="154">
        <v>8169.4317853000002</v>
      </c>
      <c r="Q777" s="78">
        <f t="shared" si="11"/>
        <v>92554.317852500011</v>
      </c>
    </row>
    <row r="778" spans="1:17" x14ac:dyDescent="0.3">
      <c r="A778" s="154" t="s">
        <v>162</v>
      </c>
      <c r="B778" s="154" t="s">
        <v>3108</v>
      </c>
      <c r="C778" s="154" t="s">
        <v>3109</v>
      </c>
      <c r="D778" s="154">
        <v>0</v>
      </c>
      <c r="E778" s="154">
        <v>42.700755999999998</v>
      </c>
      <c r="F778" s="154">
        <v>17.700755999999998</v>
      </c>
      <c r="G778" s="154">
        <v>188.70075600000001</v>
      </c>
      <c r="H778" s="154">
        <v>20.2294354</v>
      </c>
      <c r="I778" s="154">
        <v>20.2294354</v>
      </c>
      <c r="J778" s="154">
        <v>38.2294354</v>
      </c>
      <c r="K778" s="154">
        <v>21.493775100000001</v>
      </c>
      <c r="L778" s="154">
        <v>34.493775100000001</v>
      </c>
      <c r="M778" s="154">
        <v>50.493775100000001</v>
      </c>
      <c r="N778" s="154">
        <v>22.758114899999999</v>
      </c>
      <c r="O778" s="154">
        <v>22.758114899999999</v>
      </c>
      <c r="P778" s="154">
        <v>29.079813399999999</v>
      </c>
      <c r="Q778" s="78">
        <f t="shared" si="11"/>
        <v>508.86794270000001</v>
      </c>
    </row>
    <row r="779" spans="1:17" x14ac:dyDescent="0.3">
      <c r="A779" s="154" t="s">
        <v>162</v>
      </c>
      <c r="B779" s="154" t="s">
        <v>3110</v>
      </c>
      <c r="C779" s="154" t="s">
        <v>3111</v>
      </c>
      <c r="D779" s="154">
        <v>0</v>
      </c>
      <c r="E779" s="154">
        <v>749059.95204050001</v>
      </c>
      <c r="F779" s="154">
        <v>1286810.4231868</v>
      </c>
      <c r="G779" s="154">
        <v>1640047.3730295999</v>
      </c>
      <c r="H779" s="154">
        <v>707253.76672409999</v>
      </c>
      <c r="I779" s="154">
        <v>710433.13688130002</v>
      </c>
      <c r="J779" s="154">
        <v>801547.72942059999</v>
      </c>
      <c r="K779" s="154">
        <v>716837.11438030005</v>
      </c>
      <c r="L779" s="154">
        <v>733140.11438030005</v>
      </c>
      <c r="M779" s="154">
        <v>1071924.6388598999</v>
      </c>
      <c r="N779" s="154">
        <v>1223611.2462017999</v>
      </c>
      <c r="O779" s="154">
        <v>1194941.0611232</v>
      </c>
      <c r="P779" s="154">
        <v>867137.4614421</v>
      </c>
      <c r="Q779" s="78">
        <f t="shared" si="11"/>
        <v>11702744.017670499</v>
      </c>
    </row>
    <row r="780" spans="1:17" x14ac:dyDescent="0.3">
      <c r="A780" s="154" t="s">
        <v>162</v>
      </c>
      <c r="B780" s="154" t="s">
        <v>3112</v>
      </c>
      <c r="C780" s="154" t="s">
        <v>3113</v>
      </c>
      <c r="D780" s="154">
        <v>0</v>
      </c>
      <c r="E780" s="154">
        <v>3708</v>
      </c>
      <c r="F780" s="154">
        <v>3708</v>
      </c>
      <c r="G780" s="154">
        <v>3708</v>
      </c>
      <c r="H780" s="154">
        <v>3708</v>
      </c>
      <c r="I780" s="154">
        <v>3708</v>
      </c>
      <c r="J780" s="154">
        <v>3708</v>
      </c>
      <c r="K780" s="154">
        <v>3708</v>
      </c>
      <c r="L780" s="154">
        <v>3708</v>
      </c>
      <c r="M780" s="154">
        <v>3708</v>
      </c>
      <c r="N780" s="154">
        <v>3708</v>
      </c>
      <c r="O780" s="154">
        <v>3708</v>
      </c>
      <c r="P780" s="154">
        <v>3708</v>
      </c>
      <c r="Q780" s="78">
        <f t="shared" si="11"/>
        <v>44496</v>
      </c>
    </row>
    <row r="781" spans="1:17" x14ac:dyDescent="0.3">
      <c r="A781" s="154" t="s">
        <v>162</v>
      </c>
      <c r="B781" s="154" t="s">
        <v>3114</v>
      </c>
      <c r="C781" s="154" t="s">
        <v>3115</v>
      </c>
      <c r="D781" s="154">
        <v>0</v>
      </c>
      <c r="E781" s="154">
        <v>18037.565999999999</v>
      </c>
      <c r="F781" s="154">
        <v>18037.565999999999</v>
      </c>
      <c r="G781" s="154">
        <v>18037.565999999999</v>
      </c>
      <c r="H781" s="154">
        <v>20614.361142900001</v>
      </c>
      <c r="I781" s="154">
        <v>20614.361142900001</v>
      </c>
      <c r="J781" s="154">
        <v>20614.361142900001</v>
      </c>
      <c r="K781" s="154">
        <v>21902.758714299998</v>
      </c>
      <c r="L781" s="154">
        <v>21902.758714299998</v>
      </c>
      <c r="M781" s="154">
        <v>21902.758714299998</v>
      </c>
      <c r="N781" s="154">
        <v>23191.156285699999</v>
      </c>
      <c r="O781" s="154">
        <v>23191.156285699999</v>
      </c>
      <c r="P781" s="154">
        <v>29633.144142900001</v>
      </c>
      <c r="Q781" s="78">
        <f t="shared" si="11"/>
        <v>257679.51428590002</v>
      </c>
    </row>
    <row r="782" spans="1:17" x14ac:dyDescent="0.3">
      <c r="A782" s="154" t="s">
        <v>162</v>
      </c>
      <c r="B782" s="154" t="s">
        <v>3116</v>
      </c>
      <c r="C782" s="154" t="s">
        <v>3117</v>
      </c>
      <c r="D782" s="154">
        <v>0</v>
      </c>
      <c r="E782" s="154">
        <v>14371.0433861</v>
      </c>
      <c r="F782" s="154">
        <v>13174.0433861</v>
      </c>
      <c r="G782" s="154">
        <v>13063.0433861</v>
      </c>
      <c r="H782" s="154">
        <v>13736.0433861</v>
      </c>
      <c r="I782" s="154">
        <v>13933.0433861</v>
      </c>
      <c r="J782" s="154">
        <v>12713.0433861</v>
      </c>
      <c r="K782" s="154">
        <v>14099.0433861</v>
      </c>
      <c r="L782" s="154">
        <v>14250.0433861</v>
      </c>
      <c r="M782" s="154">
        <v>13971.0433861</v>
      </c>
      <c r="N782" s="154">
        <v>14574.0433861</v>
      </c>
      <c r="O782" s="154">
        <v>14681.0433861</v>
      </c>
      <c r="P782" s="154">
        <v>16024.0433861</v>
      </c>
      <c r="Q782" s="78">
        <f t="shared" si="11"/>
        <v>168589.52063320004</v>
      </c>
    </row>
    <row r="783" spans="1:17" x14ac:dyDescent="0.3">
      <c r="A783" s="154" t="s">
        <v>162</v>
      </c>
      <c r="B783" s="154" t="s">
        <v>3118</v>
      </c>
      <c r="C783" s="154" t="s">
        <v>3119</v>
      </c>
      <c r="D783" s="154">
        <v>0</v>
      </c>
      <c r="E783" s="154">
        <v>-140636</v>
      </c>
      <c r="F783" s="154">
        <v>-145285</v>
      </c>
      <c r="G783" s="154">
        <v>-142986</v>
      </c>
      <c r="H783" s="154">
        <v>-111835</v>
      </c>
      <c r="I783" s="154">
        <v>-145186</v>
      </c>
      <c r="J783" s="154">
        <v>-132585</v>
      </c>
      <c r="K783" s="154">
        <v>-144636</v>
      </c>
      <c r="L783" s="154">
        <v>-112285</v>
      </c>
      <c r="M783" s="154">
        <v>-142986</v>
      </c>
      <c r="N783" s="154">
        <v>-144835</v>
      </c>
      <c r="O783" s="154">
        <v>-138186</v>
      </c>
      <c r="P783" s="154">
        <v>-111685</v>
      </c>
      <c r="Q783" s="78">
        <f t="shared" ref="Q783:Q846" si="12">SUM(E783:P783)</f>
        <v>-1613126</v>
      </c>
    </row>
    <row r="784" spans="1:17" x14ac:dyDescent="0.3">
      <c r="A784" s="154" t="s">
        <v>162</v>
      </c>
      <c r="B784" s="154" t="s">
        <v>3120</v>
      </c>
      <c r="C784" s="154" t="s">
        <v>3121</v>
      </c>
      <c r="D784" s="154">
        <v>0</v>
      </c>
      <c r="E784" s="154">
        <v>261048.3367137</v>
      </c>
      <c r="F784" s="154">
        <v>469602.52785999997</v>
      </c>
      <c r="G784" s="154">
        <v>525251.30641810002</v>
      </c>
      <c r="H784" s="154">
        <v>278755.40846509999</v>
      </c>
      <c r="I784" s="154">
        <v>277985.629907</v>
      </c>
      <c r="J784" s="154">
        <v>278329.4352675</v>
      </c>
      <c r="K784" s="154">
        <v>286282.38722460001</v>
      </c>
      <c r="L784" s="154">
        <v>291167.38722460001</v>
      </c>
      <c r="M784" s="154">
        <v>445352.05389129999</v>
      </c>
      <c r="N784" s="154">
        <v>456242.5897671</v>
      </c>
      <c r="O784" s="154">
        <v>428288.17019239999</v>
      </c>
      <c r="P784" s="154">
        <v>361611.07216510002</v>
      </c>
      <c r="Q784" s="78">
        <f t="shared" si="12"/>
        <v>4359916.3050965006</v>
      </c>
    </row>
    <row r="785" spans="1:17" x14ac:dyDescent="0.3">
      <c r="A785" s="154" t="s">
        <v>162</v>
      </c>
      <c r="B785" s="154" t="s">
        <v>3122</v>
      </c>
      <c r="C785" s="154" t="s">
        <v>3123</v>
      </c>
      <c r="D785" s="154">
        <v>0</v>
      </c>
      <c r="E785" s="154">
        <v>59166.67</v>
      </c>
      <c r="F785" s="154">
        <v>59166.67</v>
      </c>
      <c r="G785" s="154">
        <v>59166.67</v>
      </c>
      <c r="H785" s="154">
        <v>59166.67</v>
      </c>
      <c r="I785" s="154">
        <v>39166.67</v>
      </c>
      <c r="J785" s="154">
        <v>-833.33</v>
      </c>
      <c r="K785" s="154">
        <v>-833.33</v>
      </c>
      <c r="L785" s="154">
        <v>-833.33</v>
      </c>
      <c r="M785" s="154">
        <v>-833.33</v>
      </c>
      <c r="N785" s="154">
        <v>-833.33</v>
      </c>
      <c r="O785" s="154">
        <v>-833.33</v>
      </c>
      <c r="P785" s="154">
        <v>-833.33</v>
      </c>
      <c r="Q785" s="78">
        <f t="shared" si="12"/>
        <v>270000.03999999986</v>
      </c>
    </row>
    <row r="786" spans="1:17" x14ac:dyDescent="0.3">
      <c r="A786" s="154" t="s">
        <v>162</v>
      </c>
      <c r="B786" s="154" t="s">
        <v>3124</v>
      </c>
      <c r="C786" s="154" t="s">
        <v>3125</v>
      </c>
      <c r="D786" s="154">
        <v>0</v>
      </c>
      <c r="E786" s="154">
        <v>-1791095.1090797</v>
      </c>
      <c r="F786" s="154">
        <v>-1799895.8574146</v>
      </c>
      <c r="G786" s="154">
        <v>-1802594.9648146001</v>
      </c>
      <c r="H786" s="154">
        <v>-1802623.6872431999</v>
      </c>
      <c r="I786" s="154">
        <v>-1802100.7998432</v>
      </c>
      <c r="J786" s="154">
        <v>-1820629.0638432</v>
      </c>
      <c r="K786" s="154">
        <v>-1883180.0495015001</v>
      </c>
      <c r="L786" s="154">
        <v>-1820582.5853575</v>
      </c>
      <c r="M786" s="154">
        <v>-1820794.6979574999</v>
      </c>
      <c r="N786" s="154">
        <v>-1820737.1154717</v>
      </c>
      <c r="O786" s="154">
        <v>-1820876.2194717</v>
      </c>
      <c r="P786" s="154">
        <v>-1838999.1308871999</v>
      </c>
      <c r="Q786" s="78">
        <f t="shared" si="12"/>
        <v>-21824109.280885596</v>
      </c>
    </row>
    <row r="787" spans="1:17" x14ac:dyDescent="0.3">
      <c r="A787" s="154" t="s">
        <v>162</v>
      </c>
      <c r="B787" s="154" t="s">
        <v>3126</v>
      </c>
      <c r="C787" s="154" t="s">
        <v>3127</v>
      </c>
      <c r="D787" s="154">
        <v>0</v>
      </c>
      <c r="E787" s="154">
        <v>2158674.4</v>
      </c>
      <c r="F787" s="154">
        <v>1975766.1</v>
      </c>
      <c r="G787" s="154">
        <v>1879625.14</v>
      </c>
      <c r="H787" s="154">
        <v>1989101.56</v>
      </c>
      <c r="I787" s="154">
        <v>2276771.3199999998</v>
      </c>
      <c r="J787" s="154">
        <v>2737603.44</v>
      </c>
      <c r="K787" s="154">
        <v>2917208.95</v>
      </c>
      <c r="L787" s="154">
        <v>2900852.82</v>
      </c>
      <c r="M787" s="154">
        <v>2978327.24</v>
      </c>
      <c r="N787" s="154">
        <v>2596725.7999999998</v>
      </c>
      <c r="O787" s="154">
        <v>2140068.58</v>
      </c>
      <c r="P787" s="154">
        <v>1993252.07</v>
      </c>
      <c r="Q787" s="78">
        <f t="shared" si="12"/>
        <v>28543977.420000002</v>
      </c>
    </row>
    <row r="788" spans="1:17" x14ac:dyDescent="0.3">
      <c r="A788" s="154" t="s">
        <v>162</v>
      </c>
      <c r="B788" s="154" t="s">
        <v>3128</v>
      </c>
      <c r="C788" s="154" t="s">
        <v>3129</v>
      </c>
      <c r="D788" s="154">
        <v>0</v>
      </c>
      <c r="E788" s="154">
        <v>0</v>
      </c>
      <c r="F788" s="154">
        <v>0</v>
      </c>
      <c r="G788" s="154">
        <v>0</v>
      </c>
      <c r="H788" s="154">
        <v>0</v>
      </c>
      <c r="I788" s="154">
        <v>0</v>
      </c>
      <c r="J788" s="154">
        <v>0</v>
      </c>
      <c r="K788" s="154">
        <v>0</v>
      </c>
      <c r="L788" s="154">
        <v>0</v>
      </c>
      <c r="M788" s="154">
        <v>0</v>
      </c>
      <c r="N788" s="154">
        <v>0</v>
      </c>
      <c r="O788" s="154">
        <v>0</v>
      </c>
      <c r="P788" s="154">
        <v>609148.4048586</v>
      </c>
      <c r="Q788" s="78">
        <f t="shared" si="12"/>
        <v>609148.4048586</v>
      </c>
    </row>
    <row r="789" spans="1:17" x14ac:dyDescent="0.3">
      <c r="A789" s="154" t="s">
        <v>162</v>
      </c>
      <c r="B789" s="154" t="s">
        <v>3130</v>
      </c>
      <c r="C789" s="154" t="s">
        <v>3131</v>
      </c>
      <c r="D789" s="154">
        <v>0</v>
      </c>
      <c r="E789" s="154">
        <v>3811.65</v>
      </c>
      <c r="F789" s="154">
        <v>3811.65</v>
      </c>
      <c r="G789" s="154">
        <v>3811.65</v>
      </c>
      <c r="H789" s="154">
        <v>3811.65</v>
      </c>
      <c r="I789" s="154">
        <v>3811.65</v>
      </c>
      <c r="J789" s="154">
        <v>3811.65</v>
      </c>
      <c r="K789" s="154">
        <v>3811.65</v>
      </c>
      <c r="L789" s="154">
        <v>3811.65</v>
      </c>
      <c r="M789" s="154">
        <v>3811.65</v>
      </c>
      <c r="N789" s="154">
        <v>3811.65</v>
      </c>
      <c r="O789" s="154">
        <v>3811.65</v>
      </c>
      <c r="P789" s="154">
        <v>3811.65</v>
      </c>
      <c r="Q789" s="78">
        <f t="shared" si="12"/>
        <v>45739.80000000001</v>
      </c>
    </row>
    <row r="790" spans="1:17" x14ac:dyDescent="0.3">
      <c r="A790" s="154" t="s">
        <v>162</v>
      </c>
      <c r="B790" s="154" t="s">
        <v>3132</v>
      </c>
      <c r="C790" s="154" t="s">
        <v>3133</v>
      </c>
      <c r="D790" s="154">
        <v>0</v>
      </c>
      <c r="E790" s="154">
        <v>25220.0776415</v>
      </c>
      <c r="F790" s="154">
        <v>25220.02</v>
      </c>
      <c r="G790" s="154">
        <v>25220.02</v>
      </c>
      <c r="H790" s="154">
        <v>25220.02</v>
      </c>
      <c r="I790" s="154">
        <v>25220.02</v>
      </c>
      <c r="J790" s="154">
        <v>25220.02</v>
      </c>
      <c r="K790" s="154">
        <v>25220.02</v>
      </c>
      <c r="L790" s="154">
        <v>25220.02</v>
      </c>
      <c r="M790" s="154">
        <v>25220.02</v>
      </c>
      <c r="N790" s="154">
        <v>25220.02</v>
      </c>
      <c r="O790" s="154">
        <v>25220.02</v>
      </c>
      <c r="P790" s="154">
        <v>25220.02</v>
      </c>
      <c r="Q790" s="78">
        <f t="shared" si="12"/>
        <v>302640.29764150002</v>
      </c>
    </row>
    <row r="791" spans="1:17" x14ac:dyDescent="0.3">
      <c r="A791" s="154" t="s">
        <v>162</v>
      </c>
      <c r="B791" s="154" t="s">
        <v>3134</v>
      </c>
      <c r="C791" s="154" t="s">
        <v>3135</v>
      </c>
      <c r="D791" s="154">
        <v>0</v>
      </c>
      <c r="E791" s="154">
        <v>4336.5</v>
      </c>
      <c r="F791" s="154">
        <v>4336.5</v>
      </c>
      <c r="G791" s="154">
        <v>4336.5</v>
      </c>
      <c r="H791" s="154">
        <v>4336.5</v>
      </c>
      <c r="I791" s="154">
        <v>4336.5</v>
      </c>
      <c r="J791" s="154">
        <v>4770.1499999999996</v>
      </c>
      <c r="K791" s="154">
        <v>4770.1499999999996</v>
      </c>
      <c r="L791" s="154">
        <v>4770.1499999999996</v>
      </c>
      <c r="M791" s="154">
        <v>4770.1499999999996</v>
      </c>
      <c r="N791" s="154">
        <v>4770.1499999999996</v>
      </c>
      <c r="O791" s="154">
        <v>4770.1499999999996</v>
      </c>
      <c r="P791" s="154">
        <v>4770.1499999999996</v>
      </c>
      <c r="Q791" s="78">
        <f t="shared" si="12"/>
        <v>55073.55000000001</v>
      </c>
    </row>
    <row r="792" spans="1:17" x14ac:dyDescent="0.3">
      <c r="A792" s="154" t="s">
        <v>162</v>
      </c>
      <c r="B792" s="154" t="s">
        <v>3136</v>
      </c>
      <c r="C792" s="154" t="s">
        <v>3137</v>
      </c>
      <c r="D792" s="154">
        <v>0</v>
      </c>
      <c r="E792" s="154">
        <v>1282049.97</v>
      </c>
      <c r="F792" s="154">
        <v>1282049.97</v>
      </c>
      <c r="G792" s="154">
        <v>1282049.97</v>
      </c>
      <c r="H792" s="154">
        <v>1282049.97</v>
      </c>
      <c r="I792" s="154">
        <v>1282049.97</v>
      </c>
      <c r="J792" s="154">
        <v>1361677.02</v>
      </c>
      <c r="K792" s="154">
        <v>1361677.08</v>
      </c>
      <c r="L792" s="154">
        <v>1361677.08</v>
      </c>
      <c r="M792" s="154">
        <v>1361677.08</v>
      </c>
      <c r="N792" s="154">
        <v>1361677.08</v>
      </c>
      <c r="O792" s="154">
        <v>1361677.08</v>
      </c>
      <c r="P792" s="154">
        <v>1361677.08</v>
      </c>
      <c r="Q792" s="78">
        <f t="shared" si="12"/>
        <v>15941989.35</v>
      </c>
    </row>
    <row r="793" spans="1:17" x14ac:dyDescent="0.3">
      <c r="A793" s="154" t="s">
        <v>162</v>
      </c>
      <c r="B793" s="154" t="s">
        <v>3138</v>
      </c>
      <c r="C793" s="154" t="s">
        <v>3139</v>
      </c>
      <c r="D793" s="154">
        <v>0</v>
      </c>
      <c r="E793" s="154">
        <v>5393.3225149</v>
      </c>
      <c r="F793" s="154">
        <v>5393.31</v>
      </c>
      <c r="G793" s="154">
        <v>5393.31</v>
      </c>
      <c r="H793" s="154">
        <v>5393.31</v>
      </c>
      <c r="I793" s="154">
        <v>5393.31</v>
      </c>
      <c r="J793" s="154">
        <v>5393.31</v>
      </c>
      <c r="K793" s="154">
        <v>5393.31</v>
      </c>
      <c r="L793" s="154">
        <v>5393.31</v>
      </c>
      <c r="M793" s="154">
        <v>5393.31</v>
      </c>
      <c r="N793" s="154">
        <v>5393.31</v>
      </c>
      <c r="O793" s="154">
        <v>5393.31</v>
      </c>
      <c r="P793" s="154">
        <v>5393.31</v>
      </c>
      <c r="Q793" s="78">
        <f t="shared" si="12"/>
        <v>64719.732514899995</v>
      </c>
    </row>
    <row r="794" spans="1:17" x14ac:dyDescent="0.3">
      <c r="A794" s="154" t="s">
        <v>162</v>
      </c>
      <c r="B794" s="154" t="s">
        <v>3140</v>
      </c>
      <c r="C794" s="154" t="s">
        <v>3141</v>
      </c>
      <c r="D794" s="154">
        <v>0</v>
      </c>
      <c r="E794" s="154">
        <v>311566.98814209999</v>
      </c>
      <c r="F794" s="154">
        <v>311566.98814209999</v>
      </c>
      <c r="G794" s="154">
        <v>311566.98814209999</v>
      </c>
      <c r="H794" s="154">
        <v>311566.98814209999</v>
      </c>
      <c r="I794" s="154">
        <v>311566.98814209999</v>
      </c>
      <c r="J794" s="154">
        <v>311566.98814209999</v>
      </c>
      <c r="K794" s="154">
        <v>311566.98814209999</v>
      </c>
      <c r="L794" s="154">
        <v>311566.98814209999</v>
      </c>
      <c r="M794" s="154">
        <v>311566.98814209999</v>
      </c>
      <c r="N794" s="154">
        <v>311566.98814209999</v>
      </c>
      <c r="O794" s="154">
        <v>311566.98814209999</v>
      </c>
      <c r="P794" s="154">
        <v>311566.98814209999</v>
      </c>
      <c r="Q794" s="78">
        <f t="shared" si="12"/>
        <v>3738803.8577052006</v>
      </c>
    </row>
    <row r="795" spans="1:17" x14ac:dyDescent="0.3">
      <c r="A795" s="154" t="s">
        <v>162</v>
      </c>
      <c r="B795" s="154" t="s">
        <v>3142</v>
      </c>
      <c r="C795" s="154" t="s">
        <v>3143</v>
      </c>
      <c r="D795" s="154">
        <v>0</v>
      </c>
      <c r="E795" s="154">
        <v>5724</v>
      </c>
      <c r="F795" s="154">
        <v>5724</v>
      </c>
      <c r="G795" s="154">
        <v>5724</v>
      </c>
      <c r="H795" s="154">
        <v>5724</v>
      </c>
      <c r="I795" s="154">
        <v>5724</v>
      </c>
      <c r="J795" s="154">
        <v>5724.73</v>
      </c>
      <c r="K795" s="154">
        <v>5724.76</v>
      </c>
      <c r="L795" s="154">
        <v>5724.76</v>
      </c>
      <c r="M795" s="154">
        <v>5724.76</v>
      </c>
      <c r="N795" s="154">
        <v>5724.76</v>
      </c>
      <c r="O795" s="154">
        <v>5724.76</v>
      </c>
      <c r="P795" s="154">
        <v>5724.76</v>
      </c>
      <c r="Q795" s="78">
        <f t="shared" si="12"/>
        <v>68693.290000000008</v>
      </c>
    </row>
    <row r="796" spans="1:17" x14ac:dyDescent="0.3">
      <c r="A796" s="154" t="s">
        <v>162</v>
      </c>
      <c r="B796" s="154" t="s">
        <v>3144</v>
      </c>
      <c r="C796" s="154" t="s">
        <v>3145</v>
      </c>
      <c r="D796" s="154">
        <v>0</v>
      </c>
      <c r="E796" s="154">
        <v>878222.96</v>
      </c>
      <c r="F796" s="154">
        <v>878222.96</v>
      </c>
      <c r="G796" s="154">
        <v>1115434.8086524</v>
      </c>
      <c r="H796" s="154">
        <v>1115434.83</v>
      </c>
      <c r="I796" s="154">
        <v>1115434.83</v>
      </c>
      <c r="J796" s="154">
        <v>1115434.83</v>
      </c>
      <c r="K796" s="154">
        <v>1115434.83</v>
      </c>
      <c r="L796" s="154">
        <v>1115434.83</v>
      </c>
      <c r="M796" s="154">
        <v>1115434.83</v>
      </c>
      <c r="N796" s="154">
        <v>1115434.83</v>
      </c>
      <c r="O796" s="154">
        <v>1115434.83</v>
      </c>
      <c r="P796" s="154">
        <v>1115434.83</v>
      </c>
      <c r="Q796" s="78">
        <f t="shared" si="12"/>
        <v>12910794.198652402</v>
      </c>
    </row>
    <row r="797" spans="1:17" x14ac:dyDescent="0.3">
      <c r="A797" s="154" t="s">
        <v>162</v>
      </c>
      <c r="B797" s="154" t="s">
        <v>3146</v>
      </c>
      <c r="C797" s="154" t="s">
        <v>3147</v>
      </c>
      <c r="D797" s="154">
        <v>0</v>
      </c>
      <c r="E797" s="154">
        <v>15127.83</v>
      </c>
      <c r="F797" s="154">
        <v>15127.83</v>
      </c>
      <c r="G797" s="154">
        <v>15127.83</v>
      </c>
      <c r="H797" s="154">
        <v>15127.83</v>
      </c>
      <c r="I797" s="154">
        <v>15127.83</v>
      </c>
      <c r="J797" s="154">
        <v>16490.6577072</v>
      </c>
      <c r="K797" s="154">
        <v>16490.7</v>
      </c>
      <c r="L797" s="154">
        <v>16490.7</v>
      </c>
      <c r="M797" s="154">
        <v>16490.7</v>
      </c>
      <c r="N797" s="154">
        <v>16490.7</v>
      </c>
      <c r="O797" s="154">
        <v>16490.7</v>
      </c>
      <c r="P797" s="154">
        <v>16490.7</v>
      </c>
      <c r="Q797" s="78">
        <f t="shared" si="12"/>
        <v>191074.00770720004</v>
      </c>
    </row>
    <row r="798" spans="1:17" x14ac:dyDescent="0.3">
      <c r="A798" s="154" t="s">
        <v>162</v>
      </c>
      <c r="B798" s="154" t="s">
        <v>3148</v>
      </c>
      <c r="C798" s="154" t="s">
        <v>3149</v>
      </c>
      <c r="D798" s="154">
        <v>0</v>
      </c>
      <c r="E798" s="154">
        <v>380.38923080000001</v>
      </c>
      <c r="F798" s="154">
        <v>380.42</v>
      </c>
      <c r="G798" s="154">
        <v>380.42</v>
      </c>
      <c r="H798" s="154">
        <v>380.42</v>
      </c>
      <c r="I798" s="154">
        <v>380.42</v>
      </c>
      <c r="J798" s="154">
        <v>380.42</v>
      </c>
      <c r="K798" s="154">
        <v>380.42</v>
      </c>
      <c r="L798" s="154">
        <v>380.42</v>
      </c>
      <c r="M798" s="154">
        <v>380.42</v>
      </c>
      <c r="N798" s="154">
        <v>380.42</v>
      </c>
      <c r="O798" s="154">
        <v>380.42</v>
      </c>
      <c r="P798" s="154">
        <v>380.42</v>
      </c>
      <c r="Q798" s="78">
        <f t="shared" si="12"/>
        <v>4565.0092308000003</v>
      </c>
    </row>
    <row r="799" spans="1:17" x14ac:dyDescent="0.3">
      <c r="A799" s="154" t="s">
        <v>162</v>
      </c>
      <c r="B799" s="154" t="s">
        <v>3150</v>
      </c>
      <c r="C799" s="154" t="s">
        <v>3151</v>
      </c>
      <c r="D799" s="154">
        <v>0</v>
      </c>
      <c r="E799" s="154">
        <v>105</v>
      </c>
      <c r="F799" s="154">
        <v>105</v>
      </c>
      <c r="G799" s="154">
        <v>105</v>
      </c>
      <c r="H799" s="154">
        <v>105</v>
      </c>
      <c r="I799" s="154">
        <v>105</v>
      </c>
      <c r="J799" s="154">
        <v>105</v>
      </c>
      <c r="K799" s="154">
        <v>105</v>
      </c>
      <c r="L799" s="154">
        <v>105</v>
      </c>
      <c r="M799" s="154">
        <v>105</v>
      </c>
      <c r="N799" s="154">
        <v>105</v>
      </c>
      <c r="O799" s="154">
        <v>105</v>
      </c>
      <c r="P799" s="154">
        <v>105</v>
      </c>
      <c r="Q799" s="78">
        <f t="shared" si="12"/>
        <v>1260</v>
      </c>
    </row>
    <row r="800" spans="1:17" x14ac:dyDescent="0.3">
      <c r="A800" s="154" t="s">
        <v>162</v>
      </c>
      <c r="B800" s="154" t="s">
        <v>3152</v>
      </c>
      <c r="C800" s="154" t="s">
        <v>3153</v>
      </c>
      <c r="D800" s="154">
        <v>0</v>
      </c>
      <c r="E800" s="154">
        <v>106.72</v>
      </c>
      <c r="F800" s="154">
        <v>106.72</v>
      </c>
      <c r="G800" s="154">
        <v>106.72</v>
      </c>
      <c r="H800" s="154">
        <v>106.72</v>
      </c>
      <c r="I800" s="154">
        <v>106.72</v>
      </c>
      <c r="J800" s="154">
        <v>106.72</v>
      </c>
      <c r="K800" s="154">
        <v>106.72</v>
      </c>
      <c r="L800" s="154">
        <v>106.72</v>
      </c>
      <c r="M800" s="154">
        <v>106.72</v>
      </c>
      <c r="N800" s="154">
        <v>106.72</v>
      </c>
      <c r="O800" s="154">
        <v>106.72</v>
      </c>
      <c r="P800" s="154">
        <v>106.72</v>
      </c>
      <c r="Q800" s="78">
        <f t="shared" si="12"/>
        <v>1280.6400000000001</v>
      </c>
    </row>
    <row r="801" spans="1:17" x14ac:dyDescent="0.3">
      <c r="A801" s="154" t="s">
        <v>162</v>
      </c>
      <c r="B801" s="154" t="s">
        <v>3154</v>
      </c>
      <c r="C801" s="154" t="s">
        <v>3155</v>
      </c>
      <c r="D801" s="154">
        <v>0</v>
      </c>
      <c r="E801" s="154">
        <v>44701.25</v>
      </c>
      <c r="F801" s="154">
        <v>44701.25</v>
      </c>
      <c r="G801" s="154">
        <v>48019.055</v>
      </c>
      <c r="H801" s="154">
        <v>44701.25</v>
      </c>
      <c r="I801" s="154">
        <v>44701.25</v>
      </c>
      <c r="J801" s="154">
        <v>49583.64</v>
      </c>
      <c r="K801" s="154">
        <v>46265.79</v>
      </c>
      <c r="L801" s="154">
        <v>46265.79</v>
      </c>
      <c r="M801" s="154">
        <v>49583.595000000001</v>
      </c>
      <c r="N801" s="154">
        <v>46265.79</v>
      </c>
      <c r="O801" s="154">
        <v>46265.79</v>
      </c>
      <c r="P801" s="154">
        <v>49583.595000000001</v>
      </c>
      <c r="Q801" s="78">
        <f t="shared" si="12"/>
        <v>560638.04499999993</v>
      </c>
    </row>
    <row r="802" spans="1:17" x14ac:dyDescent="0.3">
      <c r="A802" s="154" t="s">
        <v>162</v>
      </c>
      <c r="B802" s="154" t="s">
        <v>3156</v>
      </c>
      <c r="C802" s="154" t="s">
        <v>3157</v>
      </c>
      <c r="D802" s="154">
        <v>0</v>
      </c>
      <c r="E802" s="154">
        <v>248023.51</v>
      </c>
      <c r="F802" s="154">
        <v>248023.51</v>
      </c>
      <c r="G802" s="154">
        <v>323879.3801215</v>
      </c>
      <c r="H802" s="154">
        <v>323879.34000000003</v>
      </c>
      <c r="I802" s="154">
        <v>323879.34000000003</v>
      </c>
      <c r="J802" s="154">
        <v>323879.34000000003</v>
      </c>
      <c r="K802" s="154">
        <v>323879.34000000003</v>
      </c>
      <c r="L802" s="154">
        <v>323879.34000000003</v>
      </c>
      <c r="M802" s="154">
        <v>323879.34000000003</v>
      </c>
      <c r="N802" s="154">
        <v>323879.34000000003</v>
      </c>
      <c r="O802" s="154">
        <v>323879.34000000003</v>
      </c>
      <c r="P802" s="154">
        <v>323879.34000000003</v>
      </c>
      <c r="Q802" s="78">
        <f t="shared" si="12"/>
        <v>3734840.4601214994</v>
      </c>
    </row>
    <row r="803" spans="1:17" x14ac:dyDescent="0.3">
      <c r="A803" s="154" t="s">
        <v>162</v>
      </c>
      <c r="B803" s="154" t="s">
        <v>3158</v>
      </c>
      <c r="C803" s="154" t="s">
        <v>3159</v>
      </c>
      <c r="D803" s="154">
        <v>0</v>
      </c>
      <c r="E803" s="154">
        <v>53776.427199999998</v>
      </c>
      <c r="F803" s="154">
        <v>53776.46</v>
      </c>
      <c r="G803" s="154">
        <v>53776.46</v>
      </c>
      <c r="H803" s="154">
        <v>53776.46</v>
      </c>
      <c r="I803" s="154">
        <v>53817.0648793</v>
      </c>
      <c r="J803" s="154">
        <v>53817.01</v>
      </c>
      <c r="K803" s="154">
        <v>53817.01</v>
      </c>
      <c r="L803" s="154">
        <v>58196.83</v>
      </c>
      <c r="M803" s="154">
        <v>58196.89</v>
      </c>
      <c r="N803" s="154">
        <v>58196.89</v>
      </c>
      <c r="O803" s="154">
        <v>58196.89</v>
      </c>
      <c r="P803" s="154">
        <v>58146.843000000001</v>
      </c>
      <c r="Q803" s="78">
        <f t="shared" si="12"/>
        <v>667491.23507930001</v>
      </c>
    </row>
    <row r="804" spans="1:17" x14ac:dyDescent="0.3">
      <c r="A804" s="154" t="s">
        <v>162</v>
      </c>
      <c r="B804" s="154" t="s">
        <v>3160</v>
      </c>
      <c r="C804" s="154" t="s">
        <v>3161</v>
      </c>
      <c r="D804" s="154">
        <v>0</v>
      </c>
      <c r="E804" s="154">
        <v>3184.8333333</v>
      </c>
      <c r="F804" s="154">
        <v>3184.8333333</v>
      </c>
      <c r="G804" s="154">
        <v>3184.8333333</v>
      </c>
      <c r="H804" s="154">
        <v>4700.8333333</v>
      </c>
      <c r="I804" s="154">
        <v>3184.8333333</v>
      </c>
      <c r="J804" s="154">
        <v>3184.8333333</v>
      </c>
      <c r="K804" s="154">
        <v>3184.8333333</v>
      </c>
      <c r="L804" s="154">
        <v>3184.8333333</v>
      </c>
      <c r="M804" s="154">
        <v>3184.8333333</v>
      </c>
      <c r="N804" s="154">
        <v>3184.8333333</v>
      </c>
      <c r="O804" s="154">
        <v>3184.8333333</v>
      </c>
      <c r="P804" s="154">
        <v>3184.8333333</v>
      </c>
      <c r="Q804" s="78">
        <f t="shared" si="12"/>
        <v>39733.999999599997</v>
      </c>
    </row>
    <row r="805" spans="1:17" x14ac:dyDescent="0.3">
      <c r="A805" s="154" t="s">
        <v>162</v>
      </c>
      <c r="B805" s="154" t="s">
        <v>3162</v>
      </c>
      <c r="C805" s="154" t="s">
        <v>3163</v>
      </c>
      <c r="D805" s="154">
        <v>0</v>
      </c>
      <c r="E805" s="154">
        <v>6350</v>
      </c>
      <c r="F805" s="154">
        <v>6350</v>
      </c>
      <c r="G805" s="154">
        <v>6350</v>
      </c>
      <c r="H805" s="154">
        <v>6350</v>
      </c>
      <c r="I805" s="154">
        <v>6350</v>
      </c>
      <c r="J805" s="154">
        <v>6350</v>
      </c>
      <c r="K805" s="154">
        <v>6350</v>
      </c>
      <c r="L805" s="154">
        <v>6350</v>
      </c>
      <c r="M805" s="154">
        <v>6350</v>
      </c>
      <c r="N805" s="154">
        <v>6350</v>
      </c>
      <c r="O805" s="154">
        <v>6350</v>
      </c>
      <c r="P805" s="154">
        <v>6350</v>
      </c>
      <c r="Q805" s="78">
        <f t="shared" si="12"/>
        <v>76200</v>
      </c>
    </row>
    <row r="806" spans="1:17" x14ac:dyDescent="0.3">
      <c r="A806" s="154" t="s">
        <v>162</v>
      </c>
      <c r="B806" s="154" t="s">
        <v>3164</v>
      </c>
      <c r="C806" s="154" t="s">
        <v>3165</v>
      </c>
      <c r="D806" s="154">
        <v>0</v>
      </c>
      <c r="E806" s="154">
        <v>52</v>
      </c>
      <c r="F806" s="154">
        <v>160</v>
      </c>
      <c r="G806" s="154">
        <v>2</v>
      </c>
      <c r="H806" s="154">
        <v>1568</v>
      </c>
      <c r="I806" s="154">
        <v>21</v>
      </c>
      <c r="J806" s="154">
        <v>0</v>
      </c>
      <c r="K806" s="154">
        <v>0</v>
      </c>
      <c r="L806" s="154">
        <v>0</v>
      </c>
      <c r="M806" s="154">
        <v>0</v>
      </c>
      <c r="N806" s="154">
        <v>0</v>
      </c>
      <c r="O806" s="154">
        <v>0</v>
      </c>
      <c r="P806" s="154">
        <v>4651</v>
      </c>
      <c r="Q806" s="78">
        <f t="shared" si="12"/>
        <v>6454</v>
      </c>
    </row>
    <row r="807" spans="1:17" x14ac:dyDescent="0.3">
      <c r="A807" s="154" t="s">
        <v>162</v>
      </c>
      <c r="B807" s="154" t="s">
        <v>3166</v>
      </c>
      <c r="C807" s="154" t="s">
        <v>3167</v>
      </c>
      <c r="D807" s="154">
        <v>0</v>
      </c>
      <c r="E807" s="154">
        <v>33084</v>
      </c>
      <c r="F807" s="154">
        <v>33084</v>
      </c>
      <c r="G807" s="154">
        <v>33084</v>
      </c>
      <c r="H807" s="154">
        <v>34772</v>
      </c>
      <c r="I807" s="154">
        <v>33084</v>
      </c>
      <c r="J807" s="154">
        <v>33084</v>
      </c>
      <c r="K807" s="154">
        <v>33084</v>
      </c>
      <c r="L807" s="154">
        <v>33084</v>
      </c>
      <c r="M807" s="154">
        <v>33084</v>
      </c>
      <c r="N807" s="154">
        <v>33084</v>
      </c>
      <c r="O807" s="154">
        <v>33084</v>
      </c>
      <c r="P807" s="154">
        <v>33084</v>
      </c>
      <c r="Q807" s="78">
        <f t="shared" si="12"/>
        <v>398696</v>
      </c>
    </row>
    <row r="808" spans="1:17" x14ac:dyDescent="0.3">
      <c r="A808" s="154" t="s">
        <v>162</v>
      </c>
      <c r="B808" s="154" t="s">
        <v>3168</v>
      </c>
      <c r="C808" s="154" t="s">
        <v>3169</v>
      </c>
      <c r="D808" s="154">
        <v>0</v>
      </c>
      <c r="E808" s="154">
        <v>115833</v>
      </c>
      <c r="F808" s="154">
        <v>115833</v>
      </c>
      <c r="G808" s="154">
        <v>115833</v>
      </c>
      <c r="H808" s="154">
        <v>115833</v>
      </c>
      <c r="I808" s="154">
        <v>115833</v>
      </c>
      <c r="J808" s="154">
        <v>115833</v>
      </c>
      <c r="K808" s="154">
        <v>115833</v>
      </c>
      <c r="L808" s="154">
        <v>115833</v>
      </c>
      <c r="M808" s="154">
        <v>115833</v>
      </c>
      <c r="N808" s="154">
        <v>115833</v>
      </c>
      <c r="O808" s="154">
        <v>115833</v>
      </c>
      <c r="P808" s="154">
        <v>132337</v>
      </c>
      <c r="Q808" s="78">
        <f t="shared" si="12"/>
        <v>1406500</v>
      </c>
    </row>
    <row r="809" spans="1:17" x14ac:dyDescent="0.3">
      <c r="A809" s="154" t="s">
        <v>162</v>
      </c>
      <c r="B809" s="154" t="s">
        <v>3170</v>
      </c>
      <c r="C809" s="154" t="s">
        <v>3171</v>
      </c>
      <c r="D809" s="154">
        <v>0</v>
      </c>
      <c r="E809" s="154">
        <v>122818.93</v>
      </c>
      <c r="F809" s="154">
        <v>122818.93</v>
      </c>
      <c r="G809" s="154">
        <v>122818.93</v>
      </c>
      <c r="H809" s="154">
        <v>122818.93</v>
      </c>
      <c r="I809" s="154">
        <v>122818.93</v>
      </c>
      <c r="J809" s="154">
        <v>122818.93</v>
      </c>
      <c r="K809" s="154">
        <v>122818.93</v>
      </c>
      <c r="L809" s="154">
        <v>122818.93</v>
      </c>
      <c r="M809" s="154">
        <v>122818.93</v>
      </c>
      <c r="N809" s="154">
        <v>122818.93</v>
      </c>
      <c r="O809" s="154">
        <v>122818.93</v>
      </c>
      <c r="P809" s="154">
        <v>122818.93</v>
      </c>
      <c r="Q809" s="78">
        <f t="shared" si="12"/>
        <v>1473827.1599999995</v>
      </c>
    </row>
    <row r="810" spans="1:17" x14ac:dyDescent="0.3">
      <c r="A810" s="154" t="s">
        <v>162</v>
      </c>
      <c r="B810" s="154" t="s">
        <v>3172</v>
      </c>
      <c r="C810" s="154" t="s">
        <v>3173</v>
      </c>
      <c r="D810" s="154">
        <v>0</v>
      </c>
      <c r="E810" s="154">
        <v>14087.37</v>
      </c>
      <c r="F810" s="154">
        <v>14135.97</v>
      </c>
      <c r="G810" s="154">
        <v>14135.97</v>
      </c>
      <c r="H810" s="154">
        <v>14135.97</v>
      </c>
      <c r="I810" s="154">
        <v>14173.11</v>
      </c>
      <c r="J810" s="154">
        <v>14173.11</v>
      </c>
      <c r="K810" s="154">
        <v>14173.11</v>
      </c>
      <c r="L810" s="154">
        <v>14173.11</v>
      </c>
      <c r="M810" s="154">
        <v>14173.11</v>
      </c>
      <c r="N810" s="154">
        <v>14173.11</v>
      </c>
      <c r="O810" s="154">
        <v>14173.11</v>
      </c>
      <c r="P810" s="154">
        <v>14173.11</v>
      </c>
      <c r="Q810" s="78">
        <f t="shared" si="12"/>
        <v>169880.15999999997</v>
      </c>
    </row>
    <row r="811" spans="1:17" x14ac:dyDescent="0.3">
      <c r="A811" s="154" t="s">
        <v>162</v>
      </c>
      <c r="B811" s="154" t="s">
        <v>3174</v>
      </c>
      <c r="C811" s="154" t="s">
        <v>3175</v>
      </c>
      <c r="D811" s="154">
        <v>0</v>
      </c>
      <c r="E811" s="154">
        <v>57804.7</v>
      </c>
      <c r="F811" s="154">
        <v>14646</v>
      </c>
      <c r="G811" s="154">
        <v>14646</v>
      </c>
      <c r="H811" s="154">
        <v>14646</v>
      </c>
      <c r="I811" s="154">
        <v>14646</v>
      </c>
      <c r="J811" s="154">
        <v>14646</v>
      </c>
      <c r="K811" s="154">
        <v>14646</v>
      </c>
      <c r="L811" s="154">
        <v>14646</v>
      </c>
      <c r="M811" s="154">
        <v>14646</v>
      </c>
      <c r="N811" s="154">
        <v>14646</v>
      </c>
      <c r="O811" s="154">
        <v>14646</v>
      </c>
      <c r="P811" s="154">
        <v>14646</v>
      </c>
      <c r="Q811" s="78">
        <f t="shared" si="12"/>
        <v>218910.7</v>
      </c>
    </row>
    <row r="812" spans="1:17" x14ac:dyDescent="0.3">
      <c r="A812" s="154" t="s">
        <v>162</v>
      </c>
      <c r="B812" s="154" t="s">
        <v>3176</v>
      </c>
      <c r="C812" s="154" t="s">
        <v>3177</v>
      </c>
      <c r="D812" s="154">
        <v>0</v>
      </c>
      <c r="E812" s="154">
        <v>4500</v>
      </c>
      <c r="F812" s="154">
        <v>4500</v>
      </c>
      <c r="G812" s="154">
        <v>4500</v>
      </c>
      <c r="H812" s="154">
        <v>4500</v>
      </c>
      <c r="I812" s="154">
        <v>4500</v>
      </c>
      <c r="J812" s="154">
        <v>4500</v>
      </c>
      <c r="K812" s="154">
        <v>4500</v>
      </c>
      <c r="L812" s="154">
        <v>4500</v>
      </c>
      <c r="M812" s="154">
        <v>4500</v>
      </c>
      <c r="N812" s="154">
        <v>4500</v>
      </c>
      <c r="O812" s="154">
        <v>4500</v>
      </c>
      <c r="P812" s="154">
        <v>4500</v>
      </c>
      <c r="Q812" s="78">
        <f t="shared" si="12"/>
        <v>54000</v>
      </c>
    </row>
    <row r="813" spans="1:17" x14ac:dyDescent="0.3">
      <c r="A813" s="154" t="s">
        <v>162</v>
      </c>
      <c r="B813" s="154" t="s">
        <v>3178</v>
      </c>
      <c r="C813" s="154" t="s">
        <v>3179</v>
      </c>
      <c r="D813" s="154">
        <v>0</v>
      </c>
      <c r="E813" s="154">
        <v>263282.96571399999</v>
      </c>
      <c r="F813" s="154">
        <v>263415.29571400001</v>
      </c>
      <c r="G813" s="154">
        <v>265234.26571399998</v>
      </c>
      <c r="H813" s="154">
        <v>268056.62571400002</v>
      </c>
      <c r="I813" s="154">
        <v>265532.37571400002</v>
      </c>
      <c r="J813" s="154">
        <v>264566.05571400002</v>
      </c>
      <c r="K813" s="154">
        <v>264615.05571400002</v>
      </c>
      <c r="L813" s="154">
        <v>264470.05571400002</v>
      </c>
      <c r="M813" s="154">
        <v>264234.05571400002</v>
      </c>
      <c r="N813" s="154">
        <v>265735.05571400002</v>
      </c>
      <c r="O813" s="154">
        <v>269429.55571400002</v>
      </c>
      <c r="P813" s="154">
        <v>267477.05571400002</v>
      </c>
      <c r="Q813" s="78">
        <f t="shared" si="12"/>
        <v>3186048.4185680002</v>
      </c>
    </row>
    <row r="814" spans="1:17" x14ac:dyDescent="0.3">
      <c r="A814" s="154" t="s">
        <v>162</v>
      </c>
      <c r="B814" s="154" t="s">
        <v>3180</v>
      </c>
      <c r="C814" s="154" t="s">
        <v>3181</v>
      </c>
      <c r="D814" s="154">
        <v>0</v>
      </c>
      <c r="E814" s="154">
        <v>7500</v>
      </c>
      <c r="F814" s="154">
        <v>7500</v>
      </c>
      <c r="G814" s="154">
        <v>7500</v>
      </c>
      <c r="H814" s="154">
        <v>7500</v>
      </c>
      <c r="I814" s="154">
        <v>7500</v>
      </c>
      <c r="J814" s="154">
        <v>7500</v>
      </c>
      <c r="K814" s="154">
        <v>7500</v>
      </c>
      <c r="L814" s="154">
        <v>7500</v>
      </c>
      <c r="M814" s="154">
        <v>7500</v>
      </c>
      <c r="N814" s="154">
        <v>7500</v>
      </c>
      <c r="O814" s="154">
        <v>7500</v>
      </c>
      <c r="P814" s="154">
        <v>7500</v>
      </c>
      <c r="Q814" s="78">
        <f t="shared" si="12"/>
        <v>90000</v>
      </c>
    </row>
    <row r="815" spans="1:17" x14ac:dyDescent="0.3">
      <c r="A815" s="154" t="s">
        <v>162</v>
      </c>
      <c r="B815" s="154" t="s">
        <v>3182</v>
      </c>
      <c r="C815" s="154" t="s">
        <v>3183</v>
      </c>
      <c r="D815" s="154">
        <v>0</v>
      </c>
      <c r="E815" s="154">
        <v>143177.85887600001</v>
      </c>
      <c r="F815" s="154">
        <v>143177.85887600001</v>
      </c>
      <c r="G815" s="154">
        <v>148177.85887600001</v>
      </c>
      <c r="H815" s="154">
        <v>155638.4330011</v>
      </c>
      <c r="I815" s="154">
        <v>160417.55300109999</v>
      </c>
      <c r="J815" s="154">
        <v>170417.55300109999</v>
      </c>
      <c r="K815" s="154">
        <v>174037.40006370001</v>
      </c>
      <c r="L815" s="154">
        <v>174037.40006370001</v>
      </c>
      <c r="M815" s="154">
        <v>154037.40006370001</v>
      </c>
      <c r="N815" s="154">
        <v>157657.2471263</v>
      </c>
      <c r="O815" s="154">
        <v>217657.2471263</v>
      </c>
      <c r="P815" s="154">
        <v>235756.48243909999</v>
      </c>
      <c r="Q815" s="78">
        <f t="shared" si="12"/>
        <v>2034190.2925141</v>
      </c>
    </row>
    <row r="816" spans="1:17" x14ac:dyDescent="0.3">
      <c r="A816" s="154" t="s">
        <v>162</v>
      </c>
      <c r="B816" s="154" t="s">
        <v>3184</v>
      </c>
      <c r="C816" s="154" t="s">
        <v>3185</v>
      </c>
      <c r="D816" s="154">
        <v>0</v>
      </c>
      <c r="E816" s="154">
        <v>8924.6666667000009</v>
      </c>
      <c r="F816" s="154">
        <v>8924.6666667000009</v>
      </c>
      <c r="G816" s="154">
        <v>8924.6666667000009</v>
      </c>
      <c r="H816" s="154">
        <v>8924.6666667000009</v>
      </c>
      <c r="I816" s="154">
        <v>8924.6666667000009</v>
      </c>
      <c r="J816" s="154">
        <v>8924.6666667000009</v>
      </c>
      <c r="K816" s="154">
        <v>8924.6666667000009</v>
      </c>
      <c r="L816" s="154">
        <v>8924.6666667000009</v>
      </c>
      <c r="M816" s="154">
        <v>8924.6666667000009</v>
      </c>
      <c r="N816" s="154">
        <v>8924.6666667000009</v>
      </c>
      <c r="O816" s="154">
        <v>8924.6666667000009</v>
      </c>
      <c r="P816" s="154">
        <v>8932.6666667000009</v>
      </c>
      <c r="Q816" s="78">
        <f t="shared" si="12"/>
        <v>107104.00000039999</v>
      </c>
    </row>
    <row r="817" spans="1:17" x14ac:dyDescent="0.3">
      <c r="A817" s="154" t="s">
        <v>162</v>
      </c>
      <c r="B817" s="154" t="s">
        <v>3186</v>
      </c>
      <c r="C817" s="154" t="s">
        <v>3187</v>
      </c>
      <c r="D817" s="154">
        <v>0</v>
      </c>
      <c r="E817" s="154">
        <v>-32719</v>
      </c>
      <c r="F817" s="154">
        <v>-32719</v>
      </c>
      <c r="G817" s="154">
        <v>-32719</v>
      </c>
      <c r="H817" s="154">
        <v>-32719</v>
      </c>
      <c r="I817" s="154">
        <v>-32719</v>
      </c>
      <c r="J817" s="154">
        <v>-32719</v>
      </c>
      <c r="K817" s="154">
        <v>-32719</v>
      </c>
      <c r="L817" s="154">
        <v>-32719</v>
      </c>
      <c r="M817" s="154">
        <v>-32719</v>
      </c>
      <c r="N817" s="154">
        <v>-32719</v>
      </c>
      <c r="O817" s="154">
        <v>-32719</v>
      </c>
      <c r="P817" s="154">
        <v>-32719</v>
      </c>
      <c r="Q817" s="78">
        <f t="shared" si="12"/>
        <v>-392628</v>
      </c>
    </row>
    <row r="818" spans="1:17" x14ac:dyDescent="0.3">
      <c r="A818" s="154" t="s">
        <v>162</v>
      </c>
      <c r="B818" s="154" t="s">
        <v>3188</v>
      </c>
      <c r="C818" s="154" t="s">
        <v>3189</v>
      </c>
      <c r="D818" s="154">
        <v>0</v>
      </c>
      <c r="E818" s="154">
        <v>-8000</v>
      </c>
      <c r="F818" s="154">
        <v>-8000</v>
      </c>
      <c r="G818" s="154">
        <v>-10256</v>
      </c>
      <c r="H818" s="154">
        <v>-10256</v>
      </c>
      <c r="I818" s="154">
        <v>-10256</v>
      </c>
      <c r="J818" s="154">
        <v>-10256</v>
      </c>
      <c r="K818" s="154">
        <v>-10256</v>
      </c>
      <c r="L818" s="154">
        <v>-10256</v>
      </c>
      <c r="M818" s="154">
        <v>-10256</v>
      </c>
      <c r="N818" s="154">
        <v>-8056</v>
      </c>
      <c r="O818" s="154">
        <v>-2256</v>
      </c>
      <c r="P818" s="154">
        <v>-2256</v>
      </c>
      <c r="Q818" s="78">
        <f t="shared" si="12"/>
        <v>-100360</v>
      </c>
    </row>
    <row r="819" spans="1:17" x14ac:dyDescent="0.3">
      <c r="A819" s="154" t="s">
        <v>162</v>
      </c>
      <c r="B819" s="154" t="s">
        <v>3190</v>
      </c>
      <c r="C819" s="154" t="s">
        <v>3191</v>
      </c>
      <c r="D819" s="154">
        <v>0</v>
      </c>
      <c r="E819" s="154">
        <v>468</v>
      </c>
      <c r="F819" s="154">
        <v>0</v>
      </c>
      <c r="G819" s="154">
        <v>0</v>
      </c>
      <c r="H819" s="154">
        <v>468</v>
      </c>
      <c r="I819" s="154">
        <v>0</v>
      </c>
      <c r="J819" s="154">
        <v>0</v>
      </c>
      <c r="K819" s="154">
        <v>468</v>
      </c>
      <c r="L819" s="154">
        <v>0</v>
      </c>
      <c r="M819" s="154">
        <v>0</v>
      </c>
      <c r="N819" s="154">
        <v>471</v>
      </c>
      <c r="O819" s="154">
        <v>0</v>
      </c>
      <c r="P819" s="154">
        <v>0</v>
      </c>
      <c r="Q819" s="78">
        <f t="shared" si="12"/>
        <v>1875</v>
      </c>
    </row>
    <row r="820" spans="1:17" x14ac:dyDescent="0.3">
      <c r="A820" s="154" t="s">
        <v>162</v>
      </c>
      <c r="B820" s="154" t="s">
        <v>3192</v>
      </c>
      <c r="C820" s="154" t="s">
        <v>3193</v>
      </c>
      <c r="D820" s="154">
        <v>0</v>
      </c>
      <c r="E820" s="154">
        <v>574632.5389711</v>
      </c>
      <c r="F820" s="154">
        <v>486320.32511149999</v>
      </c>
      <c r="G820" s="154">
        <v>451292.05330159998</v>
      </c>
      <c r="H820" s="154">
        <v>518358.93154309998</v>
      </c>
      <c r="I820" s="154">
        <v>483819.8039837</v>
      </c>
      <c r="J820" s="154">
        <v>486213.10342890001</v>
      </c>
      <c r="K820" s="154">
        <v>495813.26185110002</v>
      </c>
      <c r="L820" s="154">
        <v>457544.74031700002</v>
      </c>
      <c r="M820" s="154">
        <v>565906.79020469997</v>
      </c>
      <c r="N820" s="154">
        <v>510622.59346930002</v>
      </c>
      <c r="O820" s="154">
        <v>488866.29032089998</v>
      </c>
      <c r="P820" s="154">
        <v>562792.63471110002</v>
      </c>
      <c r="Q820" s="78">
        <f t="shared" si="12"/>
        <v>6082183.067214001</v>
      </c>
    </row>
    <row r="821" spans="1:17" x14ac:dyDescent="0.3">
      <c r="A821" s="154" t="s">
        <v>162</v>
      </c>
      <c r="B821" s="154" t="s">
        <v>3194</v>
      </c>
      <c r="C821" s="154" t="s">
        <v>3195</v>
      </c>
      <c r="D821" s="154">
        <v>0</v>
      </c>
      <c r="E821" s="154">
        <v>0</v>
      </c>
      <c r="F821" s="154">
        <v>0</v>
      </c>
      <c r="G821" s="154">
        <v>175000</v>
      </c>
      <c r="H821" s="154">
        <v>0</v>
      </c>
      <c r="I821" s="154">
        <v>0</v>
      </c>
      <c r="J821" s="154">
        <v>175000</v>
      </c>
      <c r="K821" s="154">
        <v>0</v>
      </c>
      <c r="L821" s="154">
        <v>0</v>
      </c>
      <c r="M821" s="154">
        <v>175000</v>
      </c>
      <c r="N821" s="154">
        <v>0</v>
      </c>
      <c r="O821" s="154">
        <v>0</v>
      </c>
      <c r="P821" s="154">
        <v>175000</v>
      </c>
      <c r="Q821" s="78">
        <f t="shared" si="12"/>
        <v>700000</v>
      </c>
    </row>
    <row r="822" spans="1:17" x14ac:dyDescent="0.3">
      <c r="A822" s="154" t="s">
        <v>162</v>
      </c>
      <c r="B822" s="154" t="s">
        <v>3196</v>
      </c>
      <c r="C822" s="154" t="s">
        <v>3197</v>
      </c>
      <c r="D822" s="154">
        <v>0</v>
      </c>
      <c r="E822" s="154">
        <v>0</v>
      </c>
      <c r="F822" s="154">
        <v>0</v>
      </c>
      <c r="G822" s="154">
        <v>85760.074626899994</v>
      </c>
      <c r="H822" s="154">
        <v>0</v>
      </c>
      <c r="I822" s="154">
        <v>0</v>
      </c>
      <c r="J822" s="154">
        <v>85760.074626899994</v>
      </c>
      <c r="K822" s="154">
        <v>0</v>
      </c>
      <c r="L822" s="154">
        <v>0</v>
      </c>
      <c r="M822" s="154">
        <v>85760.074626899994</v>
      </c>
      <c r="N822" s="154">
        <v>0</v>
      </c>
      <c r="O822" s="154">
        <v>0</v>
      </c>
      <c r="P822" s="154">
        <v>85760.074626899994</v>
      </c>
      <c r="Q822" s="78">
        <f t="shared" si="12"/>
        <v>343040.29850759997</v>
      </c>
    </row>
    <row r="823" spans="1:17" x14ac:dyDescent="0.3">
      <c r="A823" s="154" t="s">
        <v>162</v>
      </c>
      <c r="B823" s="154" t="s">
        <v>3198</v>
      </c>
      <c r="C823" s="154" t="s">
        <v>3199</v>
      </c>
      <c r="D823" s="154">
        <v>0</v>
      </c>
      <c r="E823" s="154">
        <v>97997</v>
      </c>
      <c r="F823" s="154">
        <v>10000</v>
      </c>
      <c r="G823" s="154">
        <v>16470</v>
      </c>
      <c r="H823" s="154">
        <v>26647</v>
      </c>
      <c r="I823" s="154">
        <v>11290</v>
      </c>
      <c r="J823" s="154">
        <v>13385</v>
      </c>
      <c r="K823" s="154">
        <v>24197</v>
      </c>
      <c r="L823" s="154">
        <v>11500</v>
      </c>
      <c r="M823" s="154">
        <v>26500</v>
      </c>
      <c r="N823" s="154">
        <v>54516</v>
      </c>
      <c r="O823" s="154">
        <v>29500</v>
      </c>
      <c r="P823" s="154">
        <v>13000</v>
      </c>
      <c r="Q823" s="78">
        <f t="shared" si="12"/>
        <v>335002</v>
      </c>
    </row>
    <row r="824" spans="1:17" x14ac:dyDescent="0.3">
      <c r="A824" s="154" t="s">
        <v>162</v>
      </c>
      <c r="B824" s="154" t="s">
        <v>3200</v>
      </c>
      <c r="C824" s="154" t="s">
        <v>3201</v>
      </c>
      <c r="D824" s="154">
        <v>0</v>
      </c>
      <c r="E824" s="154">
        <v>644232.60549999995</v>
      </c>
      <c r="F824" s="154">
        <v>20000</v>
      </c>
      <c r="G824" s="154">
        <v>815438.63715870003</v>
      </c>
      <c r="H824" s="154">
        <v>43400</v>
      </c>
      <c r="I824" s="154">
        <v>15000</v>
      </c>
      <c r="J824" s="154">
        <v>761438.63715870003</v>
      </c>
      <c r="K824" s="154">
        <v>50000</v>
      </c>
      <c r="L824" s="154">
        <v>39400</v>
      </c>
      <c r="M824" s="154">
        <v>765558.63715870003</v>
      </c>
      <c r="N824" s="154">
        <v>17319</v>
      </c>
      <c r="O824" s="154">
        <v>40000.01</v>
      </c>
      <c r="P824" s="154">
        <v>251996.04165870001</v>
      </c>
      <c r="Q824" s="78">
        <f t="shared" si="12"/>
        <v>3463783.5686348001</v>
      </c>
    </row>
    <row r="825" spans="1:17" x14ac:dyDescent="0.3">
      <c r="A825" s="154" t="s">
        <v>162</v>
      </c>
      <c r="B825" s="154" t="s">
        <v>3202</v>
      </c>
      <c r="C825" s="154" t="s">
        <v>3203</v>
      </c>
      <c r="D825" s="154">
        <v>0</v>
      </c>
      <c r="E825" s="154">
        <v>385250</v>
      </c>
      <c r="F825" s="154">
        <v>183500</v>
      </c>
      <c r="G825" s="154">
        <v>379584</v>
      </c>
      <c r="H825" s="154">
        <v>258100</v>
      </c>
      <c r="I825" s="154">
        <v>167750</v>
      </c>
      <c r="J825" s="154">
        <v>438350</v>
      </c>
      <c r="K825" s="154">
        <v>144750</v>
      </c>
      <c r="L825" s="154">
        <v>563400</v>
      </c>
      <c r="M825" s="154">
        <v>136750</v>
      </c>
      <c r="N825" s="154">
        <v>158950</v>
      </c>
      <c r="O825" s="154">
        <v>75900</v>
      </c>
      <c r="P825" s="154">
        <v>265750</v>
      </c>
      <c r="Q825" s="78">
        <f t="shared" si="12"/>
        <v>3158034</v>
      </c>
    </row>
    <row r="826" spans="1:17" x14ac:dyDescent="0.3">
      <c r="A826" s="154" t="s">
        <v>162</v>
      </c>
      <c r="B826" s="154" t="s">
        <v>3204</v>
      </c>
      <c r="C826" s="154" t="s">
        <v>3205</v>
      </c>
      <c r="D826" s="154">
        <v>0</v>
      </c>
      <c r="E826" s="154">
        <v>30833</v>
      </c>
      <c r="F826" s="154">
        <v>30833</v>
      </c>
      <c r="G826" s="154">
        <v>30833</v>
      </c>
      <c r="H826" s="154">
        <v>30833</v>
      </c>
      <c r="I826" s="154">
        <v>30833</v>
      </c>
      <c r="J826" s="154">
        <v>30833</v>
      </c>
      <c r="K826" s="154">
        <v>30833</v>
      </c>
      <c r="L826" s="154">
        <v>30833</v>
      </c>
      <c r="M826" s="154">
        <v>30833</v>
      </c>
      <c r="N826" s="154">
        <v>30833</v>
      </c>
      <c r="O826" s="154">
        <v>30833</v>
      </c>
      <c r="P826" s="154">
        <v>30833</v>
      </c>
      <c r="Q826" s="78">
        <f t="shared" si="12"/>
        <v>369996</v>
      </c>
    </row>
    <row r="827" spans="1:17" x14ac:dyDescent="0.3">
      <c r="A827" s="154" t="s">
        <v>162</v>
      </c>
      <c r="B827" s="154" t="s">
        <v>3206</v>
      </c>
      <c r="C827" s="154" t="s">
        <v>3207</v>
      </c>
      <c r="D827" s="154">
        <v>0</v>
      </c>
      <c r="E827" s="154">
        <v>5000</v>
      </c>
      <c r="F827" s="154">
        <v>5000</v>
      </c>
      <c r="G827" s="154">
        <v>5000</v>
      </c>
      <c r="H827" s="154">
        <v>5000</v>
      </c>
      <c r="I827" s="154">
        <v>5000</v>
      </c>
      <c r="J827" s="154">
        <v>5000</v>
      </c>
      <c r="K827" s="154">
        <v>11000</v>
      </c>
      <c r="L827" s="154">
        <v>5000</v>
      </c>
      <c r="M827" s="154">
        <v>5000</v>
      </c>
      <c r="N827" s="154">
        <v>5000</v>
      </c>
      <c r="O827" s="154">
        <v>5000</v>
      </c>
      <c r="P827" s="154">
        <v>11000</v>
      </c>
      <c r="Q827" s="78">
        <f t="shared" si="12"/>
        <v>72000</v>
      </c>
    </row>
    <row r="828" spans="1:17" x14ac:dyDescent="0.3">
      <c r="A828" s="154" t="s">
        <v>162</v>
      </c>
      <c r="B828" s="154" t="s">
        <v>3208</v>
      </c>
      <c r="C828" s="154" t="s">
        <v>3209</v>
      </c>
      <c r="D828" s="154">
        <v>0</v>
      </c>
      <c r="E828" s="154">
        <v>242670.96</v>
      </c>
      <c r="F828" s="154">
        <v>49479</v>
      </c>
      <c r="G828" s="154">
        <v>49479</v>
      </c>
      <c r="H828" s="154">
        <v>242670.96</v>
      </c>
      <c r="I828" s="154">
        <v>49479</v>
      </c>
      <c r="J828" s="154">
        <v>49479</v>
      </c>
      <c r="K828" s="154">
        <v>242670.96</v>
      </c>
      <c r="L828" s="154">
        <v>49479</v>
      </c>
      <c r="M828" s="154">
        <v>49479</v>
      </c>
      <c r="N828" s="154">
        <v>242670.96</v>
      </c>
      <c r="O828" s="154">
        <v>49479</v>
      </c>
      <c r="P828" s="154">
        <v>49479</v>
      </c>
      <c r="Q828" s="78">
        <f t="shared" si="12"/>
        <v>1366515.8399999999</v>
      </c>
    </row>
    <row r="829" spans="1:17" x14ac:dyDescent="0.3">
      <c r="A829" s="154" t="s">
        <v>162</v>
      </c>
      <c r="B829" s="154" t="s">
        <v>3210</v>
      </c>
      <c r="C829" s="154" t="s">
        <v>3211</v>
      </c>
      <c r="D829" s="154">
        <v>0</v>
      </c>
      <c r="E829" s="154">
        <v>350</v>
      </c>
      <c r="F829" s="154">
        <v>0</v>
      </c>
      <c r="G829" s="154">
        <v>0</v>
      </c>
      <c r="H829" s="154">
        <v>0</v>
      </c>
      <c r="I829" s="154">
        <v>887.5</v>
      </c>
      <c r="J829" s="154">
        <v>0</v>
      </c>
      <c r="K829" s="154">
        <v>0</v>
      </c>
      <c r="L829" s="154">
        <v>0</v>
      </c>
      <c r="M829" s="154">
        <v>15000</v>
      </c>
      <c r="N829" s="154">
        <v>1000</v>
      </c>
      <c r="O829" s="154">
        <v>0</v>
      </c>
      <c r="P829" s="154">
        <v>0</v>
      </c>
      <c r="Q829" s="78">
        <f t="shared" si="12"/>
        <v>17237.5</v>
      </c>
    </row>
    <row r="830" spans="1:17" x14ac:dyDescent="0.3">
      <c r="A830" s="154" t="s">
        <v>162</v>
      </c>
      <c r="B830" s="154" t="s">
        <v>3212</v>
      </c>
      <c r="C830" s="154" t="s">
        <v>3213</v>
      </c>
      <c r="D830" s="154">
        <v>0</v>
      </c>
      <c r="E830" s="154">
        <v>11931.25</v>
      </c>
      <c r="F830" s="154">
        <v>0</v>
      </c>
      <c r="G830" s="154">
        <v>0</v>
      </c>
      <c r="H830" s="154">
        <v>0</v>
      </c>
      <c r="I830" s="154">
        <v>0</v>
      </c>
      <c r="J830" s="154">
        <v>0</v>
      </c>
      <c r="K830" s="154">
        <v>0</v>
      </c>
      <c r="L830" s="154">
        <v>0</v>
      </c>
      <c r="M830" s="154">
        <v>0</v>
      </c>
      <c r="N830" s="154">
        <v>0</v>
      </c>
      <c r="O830" s="154">
        <v>0</v>
      </c>
      <c r="P830" s="154">
        <v>0</v>
      </c>
      <c r="Q830" s="78">
        <f t="shared" si="12"/>
        <v>11931.25</v>
      </c>
    </row>
    <row r="831" spans="1:17" x14ac:dyDescent="0.3">
      <c r="A831" s="154" t="s">
        <v>162</v>
      </c>
      <c r="B831" s="154" t="s">
        <v>3214</v>
      </c>
      <c r="C831" s="154" t="s">
        <v>3215</v>
      </c>
      <c r="D831" s="154">
        <v>0</v>
      </c>
      <c r="E831" s="154">
        <v>-18950</v>
      </c>
      <c r="F831" s="154">
        <v>-18950</v>
      </c>
      <c r="G831" s="154">
        <v>-18350</v>
      </c>
      <c r="H831" s="154">
        <v>-18050</v>
      </c>
      <c r="I831" s="154">
        <v>-18650</v>
      </c>
      <c r="J831" s="154">
        <v>-18800</v>
      </c>
      <c r="K831" s="154">
        <v>-18800</v>
      </c>
      <c r="L831" s="154">
        <v>-18800</v>
      </c>
      <c r="M831" s="154">
        <v>113500.49</v>
      </c>
      <c r="N831" s="154">
        <v>113950.49</v>
      </c>
      <c r="O831" s="154">
        <v>114250.49</v>
      </c>
      <c r="P831" s="154">
        <v>114250.5</v>
      </c>
      <c r="Q831" s="78">
        <f t="shared" si="12"/>
        <v>306601.97000000003</v>
      </c>
    </row>
    <row r="832" spans="1:17" x14ac:dyDescent="0.3">
      <c r="A832" s="154" t="s">
        <v>162</v>
      </c>
      <c r="B832" s="154" t="s">
        <v>3216</v>
      </c>
      <c r="C832" s="154" t="s">
        <v>3217</v>
      </c>
      <c r="D832" s="154">
        <v>0</v>
      </c>
      <c r="E832" s="154">
        <v>0</v>
      </c>
      <c r="F832" s="154">
        <v>75000</v>
      </c>
      <c r="G832" s="154">
        <v>0</v>
      </c>
      <c r="H832" s="154">
        <v>0</v>
      </c>
      <c r="I832" s="154">
        <v>0</v>
      </c>
      <c r="J832" s="154">
        <v>0</v>
      </c>
      <c r="K832" s="154">
        <v>0</v>
      </c>
      <c r="L832" s="154">
        <v>0</v>
      </c>
      <c r="M832" s="154">
        <v>0</v>
      </c>
      <c r="N832" s="154">
        <v>0</v>
      </c>
      <c r="O832" s="154">
        <v>0</v>
      </c>
      <c r="P832" s="154">
        <v>0</v>
      </c>
      <c r="Q832" s="78">
        <f t="shared" si="12"/>
        <v>75000</v>
      </c>
    </row>
    <row r="833" spans="1:17" x14ac:dyDescent="0.3">
      <c r="A833" s="154" t="s">
        <v>162</v>
      </c>
      <c r="B833" s="154" t="s">
        <v>3218</v>
      </c>
      <c r="C833" s="154" t="s">
        <v>3219</v>
      </c>
      <c r="D833" s="154">
        <v>0</v>
      </c>
      <c r="E833" s="154">
        <v>15804.666666700001</v>
      </c>
      <c r="F833" s="154">
        <v>2431.6666667</v>
      </c>
      <c r="G833" s="154">
        <v>78589.386666699997</v>
      </c>
      <c r="H833" s="154">
        <v>6878.6666667</v>
      </c>
      <c r="I833" s="154">
        <v>3854.6666667</v>
      </c>
      <c r="J833" s="154">
        <v>3825.6666667</v>
      </c>
      <c r="K833" s="154">
        <v>9738.6666667000009</v>
      </c>
      <c r="L833" s="154">
        <v>3371.6666667</v>
      </c>
      <c r="M833" s="154">
        <v>6571.6666667</v>
      </c>
      <c r="N833" s="154">
        <v>3371.6666667</v>
      </c>
      <c r="O833" s="154">
        <v>3371.6666667</v>
      </c>
      <c r="P833" s="154">
        <v>6053.6666667</v>
      </c>
      <c r="Q833" s="78">
        <f t="shared" si="12"/>
        <v>143863.7200004</v>
      </c>
    </row>
    <row r="834" spans="1:17" x14ac:dyDescent="0.3">
      <c r="A834" s="154" t="s">
        <v>162</v>
      </c>
      <c r="B834" s="154" t="s">
        <v>3220</v>
      </c>
      <c r="C834" s="154" t="s">
        <v>3221</v>
      </c>
      <c r="D834" s="154">
        <v>0</v>
      </c>
      <c r="E834" s="154">
        <v>123485</v>
      </c>
      <c r="F834" s="154">
        <v>0</v>
      </c>
      <c r="G834" s="154">
        <v>0</v>
      </c>
      <c r="H834" s="154">
        <v>0</v>
      </c>
      <c r="I834" s="154">
        <v>0</v>
      </c>
      <c r="J834" s="154">
        <v>0</v>
      </c>
      <c r="K834" s="154">
        <v>0</v>
      </c>
      <c r="L834" s="154">
        <v>0</v>
      </c>
      <c r="M834" s="154">
        <v>0</v>
      </c>
      <c r="N834" s="154">
        <v>0</v>
      </c>
      <c r="O834" s="154">
        <v>0</v>
      </c>
      <c r="P834" s="154">
        <v>0</v>
      </c>
      <c r="Q834" s="78">
        <f t="shared" si="12"/>
        <v>123485</v>
      </c>
    </row>
    <row r="835" spans="1:17" x14ac:dyDescent="0.3">
      <c r="A835" s="154" t="s">
        <v>162</v>
      </c>
      <c r="B835" s="154" t="s">
        <v>3222</v>
      </c>
      <c r="C835" s="154" t="s">
        <v>3223</v>
      </c>
      <c r="D835" s="154">
        <v>0</v>
      </c>
      <c r="E835" s="154">
        <v>148336.4687999</v>
      </c>
      <c r="F835" s="154">
        <v>148166.4687999</v>
      </c>
      <c r="G835" s="154">
        <v>154040.09879990001</v>
      </c>
      <c r="H835" s="154">
        <v>154116.4687999</v>
      </c>
      <c r="I835" s="154">
        <v>154111.4687999</v>
      </c>
      <c r="J835" s="154">
        <v>156420.09879990001</v>
      </c>
      <c r="K835" s="154">
        <v>154111.4687999</v>
      </c>
      <c r="L835" s="154">
        <v>154141.4687999</v>
      </c>
      <c r="M835" s="154">
        <v>156390.09879990001</v>
      </c>
      <c r="N835" s="154">
        <v>154116.4687999</v>
      </c>
      <c r="O835" s="154">
        <v>154136.4687999</v>
      </c>
      <c r="P835" s="154">
        <v>156420.09879990001</v>
      </c>
      <c r="Q835" s="78">
        <f t="shared" si="12"/>
        <v>1844507.1455987999</v>
      </c>
    </row>
    <row r="836" spans="1:17" x14ac:dyDescent="0.3">
      <c r="A836" s="154" t="s">
        <v>162</v>
      </c>
      <c r="B836" s="154" t="s">
        <v>3224</v>
      </c>
      <c r="C836" s="154" t="s">
        <v>3225</v>
      </c>
      <c r="D836" s="154">
        <v>0</v>
      </c>
      <c r="E836" s="154">
        <v>2857794.3333000001</v>
      </c>
      <c r="F836" s="154">
        <v>2865794.3333000001</v>
      </c>
      <c r="G836" s="154">
        <v>2904669.3333000001</v>
      </c>
      <c r="H836" s="154">
        <v>2924244.3333000001</v>
      </c>
      <c r="I836" s="154">
        <v>2905089.3333000001</v>
      </c>
      <c r="J836" s="154">
        <v>2911197.3333000001</v>
      </c>
      <c r="K836" s="154">
        <v>2944187.3333000001</v>
      </c>
      <c r="L836" s="154">
        <v>2946812.3333000001</v>
      </c>
      <c r="M836" s="154">
        <v>3036332.3333000001</v>
      </c>
      <c r="N836" s="154">
        <v>2893962.3333000001</v>
      </c>
      <c r="O836" s="154">
        <v>2872419.3333000001</v>
      </c>
      <c r="P836" s="154">
        <v>2880599.3333000001</v>
      </c>
      <c r="Q836" s="78">
        <f t="shared" si="12"/>
        <v>34943101.999600008</v>
      </c>
    </row>
    <row r="837" spans="1:17" x14ac:dyDescent="0.3">
      <c r="A837" s="154" t="s">
        <v>162</v>
      </c>
      <c r="B837" s="154" t="s">
        <v>3226</v>
      </c>
      <c r="C837" s="154" t="s">
        <v>3227</v>
      </c>
      <c r="D837" s="154">
        <v>0</v>
      </c>
      <c r="E837" s="154">
        <v>-2916666.6666667</v>
      </c>
      <c r="F837" s="154">
        <v>-2916666.6666667</v>
      </c>
      <c r="G837" s="154">
        <v>-2916666.6666667</v>
      </c>
      <c r="H837" s="154">
        <v>-2916666.6666667</v>
      </c>
      <c r="I837" s="154">
        <v>-2916666.6666667</v>
      </c>
      <c r="J837" s="154">
        <v>-2916666.6666667</v>
      </c>
      <c r="K837" s="154">
        <v>-2916666.6666667</v>
      </c>
      <c r="L837" s="154">
        <v>-2916666.6666667</v>
      </c>
      <c r="M837" s="154">
        <v>-2916666.6666667</v>
      </c>
      <c r="N837" s="154">
        <v>-2916666.6666667</v>
      </c>
      <c r="O837" s="154">
        <v>-2916666.6666667</v>
      </c>
      <c r="P837" s="154">
        <v>-2916666.6666667</v>
      </c>
      <c r="Q837" s="78">
        <f t="shared" si="12"/>
        <v>-35000000.00000041</v>
      </c>
    </row>
    <row r="838" spans="1:17" x14ac:dyDescent="0.3">
      <c r="A838" s="154" t="s">
        <v>162</v>
      </c>
      <c r="B838" s="154" t="s">
        <v>3228</v>
      </c>
      <c r="C838" s="154" t="s">
        <v>3229</v>
      </c>
      <c r="D838" s="154">
        <v>0</v>
      </c>
      <c r="E838" s="154">
        <v>72229.074248000004</v>
      </c>
      <c r="F838" s="154">
        <v>72229.074248000004</v>
      </c>
      <c r="G838" s="154">
        <v>72314.074248000004</v>
      </c>
      <c r="H838" s="154">
        <v>82333.227712000007</v>
      </c>
      <c r="I838" s="154">
        <v>82333.227712000007</v>
      </c>
      <c r="J838" s="154">
        <v>82333.227712000007</v>
      </c>
      <c r="K838" s="154">
        <v>87385.304443999994</v>
      </c>
      <c r="L838" s="154">
        <v>87385.304443999994</v>
      </c>
      <c r="M838" s="154">
        <v>87385.304443999994</v>
      </c>
      <c r="N838" s="154">
        <v>92437.381175999995</v>
      </c>
      <c r="O838" s="154">
        <v>92437.381175999995</v>
      </c>
      <c r="P838" s="154">
        <v>117697.764836</v>
      </c>
      <c r="Q838" s="78">
        <f t="shared" si="12"/>
        <v>1028500.3464000002</v>
      </c>
    </row>
    <row r="839" spans="1:17" x14ac:dyDescent="0.3">
      <c r="A839" s="154" t="s">
        <v>162</v>
      </c>
      <c r="B839" s="154" t="s">
        <v>3230</v>
      </c>
      <c r="C839" s="154" t="s">
        <v>3231</v>
      </c>
      <c r="D839" s="154">
        <v>0</v>
      </c>
      <c r="E839" s="154">
        <v>89261.816545599999</v>
      </c>
      <c r="F839" s="154">
        <v>200261.81654560001</v>
      </c>
      <c r="G839" s="154">
        <v>224261.81654560001</v>
      </c>
      <c r="H839" s="154">
        <v>93217.265087299995</v>
      </c>
      <c r="I839" s="154">
        <v>93217.265087299995</v>
      </c>
      <c r="J839" s="154">
        <v>93217.265087299995</v>
      </c>
      <c r="K839" s="154">
        <v>95194.989358199993</v>
      </c>
      <c r="L839" s="154">
        <v>95194.989358199993</v>
      </c>
      <c r="M839" s="154">
        <v>163194.98935819999</v>
      </c>
      <c r="N839" s="154">
        <v>165172.71362900001</v>
      </c>
      <c r="O839" s="154">
        <v>177172.71362900001</v>
      </c>
      <c r="P839" s="154">
        <v>119061.3349833</v>
      </c>
      <c r="Q839" s="78">
        <f t="shared" si="12"/>
        <v>1608428.9752145996</v>
      </c>
    </row>
    <row r="840" spans="1:17" x14ac:dyDescent="0.3">
      <c r="A840" s="154" t="s">
        <v>162</v>
      </c>
      <c r="B840" s="154" t="s">
        <v>3232</v>
      </c>
      <c r="C840" s="154" t="s">
        <v>3233</v>
      </c>
      <c r="D840" s="154">
        <v>0</v>
      </c>
      <c r="E840" s="154">
        <v>93911.578487999999</v>
      </c>
      <c r="F840" s="154">
        <v>93911.578487999999</v>
      </c>
      <c r="G840" s="154">
        <v>93911.578487999999</v>
      </c>
      <c r="H840" s="154">
        <v>107284.6611292</v>
      </c>
      <c r="I840" s="154">
        <v>107284.6611292</v>
      </c>
      <c r="J840" s="154">
        <v>107284.6611292</v>
      </c>
      <c r="K840" s="154">
        <v>113971.20244969999</v>
      </c>
      <c r="L840" s="154">
        <v>113971.20244969999</v>
      </c>
      <c r="M840" s="154">
        <v>113971.20244969999</v>
      </c>
      <c r="N840" s="154">
        <v>120657.7437703</v>
      </c>
      <c r="O840" s="154">
        <v>120657.7437703</v>
      </c>
      <c r="P840" s="154">
        <v>154090.4503732</v>
      </c>
      <c r="Q840" s="78">
        <f t="shared" si="12"/>
        <v>1340908.2641145</v>
      </c>
    </row>
    <row r="841" spans="1:17" x14ac:dyDescent="0.3">
      <c r="A841" s="154" t="s">
        <v>162</v>
      </c>
      <c r="B841" s="154" t="s">
        <v>3234</v>
      </c>
      <c r="C841" s="154" t="s">
        <v>3235</v>
      </c>
      <c r="D841" s="154">
        <v>0</v>
      </c>
      <c r="E841" s="154">
        <v>21959.75</v>
      </c>
      <c r="F841" s="154">
        <v>58959.75</v>
      </c>
      <c r="G841" s="154">
        <v>66959.75</v>
      </c>
      <c r="H841" s="154">
        <v>21959.75</v>
      </c>
      <c r="I841" s="154">
        <v>21959.75</v>
      </c>
      <c r="J841" s="154">
        <v>21959.75</v>
      </c>
      <c r="K841" s="154">
        <v>21959.75</v>
      </c>
      <c r="L841" s="154">
        <v>21959.75</v>
      </c>
      <c r="M841" s="154">
        <v>44626.416666700003</v>
      </c>
      <c r="N841" s="154">
        <v>44626.416666700003</v>
      </c>
      <c r="O841" s="154">
        <v>48626.416666700003</v>
      </c>
      <c r="P841" s="154">
        <v>25959.75</v>
      </c>
      <c r="Q841" s="78">
        <f t="shared" si="12"/>
        <v>421517.00000009994</v>
      </c>
    </row>
    <row r="842" spans="1:17" x14ac:dyDescent="0.3">
      <c r="A842" s="154" t="s">
        <v>162</v>
      </c>
      <c r="B842" s="154" t="s">
        <v>3236</v>
      </c>
      <c r="C842" s="154" t="s">
        <v>3237</v>
      </c>
      <c r="D842" s="154">
        <v>0</v>
      </c>
      <c r="E842" s="154">
        <v>11134.578</v>
      </c>
      <c r="F842" s="154">
        <v>11134.578</v>
      </c>
      <c r="G842" s="154">
        <v>11134.578</v>
      </c>
      <c r="H842" s="154">
        <v>11134.578</v>
      </c>
      <c r="I842" s="154">
        <v>11134.578</v>
      </c>
      <c r="J842" s="154">
        <v>11134.578</v>
      </c>
      <c r="K842" s="154">
        <v>11134.578</v>
      </c>
      <c r="L842" s="154">
        <v>11134.578</v>
      </c>
      <c r="M842" s="154">
        <v>11134.578</v>
      </c>
      <c r="N842" s="154">
        <v>11134.578</v>
      </c>
      <c r="O842" s="154">
        <v>11134.578</v>
      </c>
      <c r="P842" s="154">
        <v>11134.578</v>
      </c>
      <c r="Q842" s="78">
        <f t="shared" si="12"/>
        <v>133614.93599999996</v>
      </c>
    </row>
    <row r="843" spans="1:17" x14ac:dyDescent="0.3">
      <c r="A843" s="154" t="s">
        <v>162</v>
      </c>
      <c r="B843" s="154" t="s">
        <v>3238</v>
      </c>
      <c r="C843" s="154" t="s">
        <v>3239</v>
      </c>
      <c r="D843" s="154">
        <v>0</v>
      </c>
      <c r="E843" s="154">
        <v>900866.10039649997</v>
      </c>
      <c r="F843" s="154">
        <v>900866.10039649997</v>
      </c>
      <c r="G843" s="154">
        <v>1221439.8914413</v>
      </c>
      <c r="H843" s="154">
        <v>900866.10039649997</v>
      </c>
      <c r="I843" s="154">
        <v>900866.10039649997</v>
      </c>
      <c r="J843" s="154">
        <v>1221439.8914413</v>
      </c>
      <c r="K843" s="154">
        <v>900866.10039649997</v>
      </c>
      <c r="L843" s="154">
        <v>900866.10039649997</v>
      </c>
      <c r="M843" s="154">
        <v>1221439.8914413</v>
      </c>
      <c r="N843" s="154">
        <v>900866.10039649997</v>
      </c>
      <c r="O843" s="154">
        <v>900866.10039649997</v>
      </c>
      <c r="P843" s="154">
        <v>1221439.8914413</v>
      </c>
      <c r="Q843" s="78">
        <f t="shared" si="12"/>
        <v>12092688.368937202</v>
      </c>
    </row>
    <row r="844" spans="1:17" x14ac:dyDescent="0.3">
      <c r="A844" s="154" t="s">
        <v>162</v>
      </c>
      <c r="B844" s="154" t="s">
        <v>3240</v>
      </c>
      <c r="C844" s="154" t="s">
        <v>3241</v>
      </c>
      <c r="D844" s="154">
        <v>0</v>
      </c>
      <c r="E844" s="154">
        <v>0</v>
      </c>
      <c r="F844" s="154">
        <v>0</v>
      </c>
      <c r="G844" s="154">
        <v>0</v>
      </c>
      <c r="H844" s="154">
        <v>0</v>
      </c>
      <c r="I844" s="154">
        <v>0</v>
      </c>
      <c r="J844" s="154">
        <v>50</v>
      </c>
      <c r="K844" s="154">
        <v>0</v>
      </c>
      <c r="L844" s="154">
        <v>0</v>
      </c>
      <c r="M844" s="154">
        <v>0</v>
      </c>
      <c r="N844" s="154">
        <v>0</v>
      </c>
      <c r="O844" s="154">
        <v>0</v>
      </c>
      <c r="P844" s="154">
        <v>50</v>
      </c>
      <c r="Q844" s="78">
        <f t="shared" si="12"/>
        <v>100</v>
      </c>
    </row>
    <row r="845" spans="1:17" x14ac:dyDescent="0.3">
      <c r="A845" s="154" t="s">
        <v>162</v>
      </c>
      <c r="B845" s="154" t="s">
        <v>3242</v>
      </c>
      <c r="C845" s="154" t="s">
        <v>3243</v>
      </c>
      <c r="D845" s="154">
        <v>0</v>
      </c>
      <c r="E845" s="154">
        <v>23338.126762899999</v>
      </c>
      <c r="F845" s="154">
        <v>33641.096681199997</v>
      </c>
      <c r="G845" s="154">
        <v>49383.1768868</v>
      </c>
      <c r="H845" s="154">
        <v>57707.414025400001</v>
      </c>
      <c r="I845" s="154">
        <v>35587.993332600003</v>
      </c>
      <c r="J845" s="154">
        <v>39977.381848600002</v>
      </c>
      <c r="K845" s="154">
        <v>476270.35870410001</v>
      </c>
      <c r="L845" s="154">
        <v>35949.034420800002</v>
      </c>
      <c r="M845" s="154">
        <v>41698.265342699997</v>
      </c>
      <c r="N845" s="154">
        <v>42374.686229899999</v>
      </c>
      <c r="O845" s="154">
        <v>40707.757294499999</v>
      </c>
      <c r="P845" s="154">
        <v>37232.4707853</v>
      </c>
      <c r="Q845" s="78">
        <f t="shared" si="12"/>
        <v>913867.76231479994</v>
      </c>
    </row>
    <row r="846" spans="1:17" x14ac:dyDescent="0.3">
      <c r="A846" s="154" t="s">
        <v>162</v>
      </c>
      <c r="B846" s="154" t="s">
        <v>3244</v>
      </c>
      <c r="C846" s="154" t="s">
        <v>3245</v>
      </c>
      <c r="D846" s="154">
        <v>0</v>
      </c>
      <c r="E846" s="154">
        <v>38343</v>
      </c>
      <c r="F846" s="154">
        <v>38343</v>
      </c>
      <c r="G846" s="154">
        <v>38343</v>
      </c>
      <c r="H846" s="154">
        <v>38343</v>
      </c>
      <c r="I846" s="154">
        <v>38343</v>
      </c>
      <c r="J846" s="154">
        <v>38343</v>
      </c>
      <c r="K846" s="154">
        <v>38343</v>
      </c>
      <c r="L846" s="154">
        <v>38343</v>
      </c>
      <c r="M846" s="154">
        <v>38343</v>
      </c>
      <c r="N846" s="154">
        <v>38343</v>
      </c>
      <c r="O846" s="154">
        <v>38343</v>
      </c>
      <c r="P846" s="154">
        <v>38343</v>
      </c>
      <c r="Q846" s="78">
        <f t="shared" si="12"/>
        <v>460116</v>
      </c>
    </row>
    <row r="847" spans="1:17" x14ac:dyDescent="0.3">
      <c r="A847" s="154" t="s">
        <v>162</v>
      </c>
      <c r="B847" s="154" t="s">
        <v>3246</v>
      </c>
      <c r="C847" s="154" t="s">
        <v>3247</v>
      </c>
      <c r="D847" s="154">
        <v>0</v>
      </c>
      <c r="E847" s="154">
        <v>-50649.662359399998</v>
      </c>
      <c r="F847" s="154">
        <v>-50649.612359400002</v>
      </c>
      <c r="G847" s="154">
        <v>-50649.612359400002</v>
      </c>
      <c r="H847" s="154">
        <v>-50649.612359400002</v>
      </c>
      <c r="I847" s="154">
        <v>-50649.612359400002</v>
      </c>
      <c r="J847" s="154">
        <v>-50649.612359400002</v>
      </c>
      <c r="K847" s="154">
        <v>-50649.612359400002</v>
      </c>
      <c r="L847" s="154">
        <v>-50649.612359400002</v>
      </c>
      <c r="M847" s="154">
        <v>-50649.612359400002</v>
      </c>
      <c r="N847" s="154">
        <v>-50649.612359400002</v>
      </c>
      <c r="O847" s="154">
        <v>-37649.612359400002</v>
      </c>
      <c r="P847" s="154">
        <v>-50649.612359400002</v>
      </c>
      <c r="Q847" s="78">
        <f t="shared" ref="Q847:Q888" si="13">SUM(E847:P847)</f>
        <v>-594795.3983128001</v>
      </c>
    </row>
    <row r="848" spans="1:17" x14ac:dyDescent="0.3">
      <c r="A848" s="154" t="s">
        <v>162</v>
      </c>
      <c r="B848" s="154" t="s">
        <v>3248</v>
      </c>
      <c r="C848" s="154" t="s">
        <v>3249</v>
      </c>
      <c r="D848" s="154">
        <v>0</v>
      </c>
      <c r="E848" s="154">
        <v>37826.326414900002</v>
      </c>
      <c r="F848" s="154">
        <v>37826.326414900002</v>
      </c>
      <c r="G848" s="154">
        <v>37826.326414900002</v>
      </c>
      <c r="H848" s="154">
        <v>37826.326414900002</v>
      </c>
      <c r="I848" s="154">
        <v>37826.326414900002</v>
      </c>
      <c r="J848" s="154">
        <v>37826.326414900002</v>
      </c>
      <c r="K848" s="154">
        <v>37826.326414900002</v>
      </c>
      <c r="L848" s="154">
        <v>37826.326414900002</v>
      </c>
      <c r="M848" s="154">
        <v>37826.326414900002</v>
      </c>
      <c r="N848" s="154">
        <v>37826.326414900002</v>
      </c>
      <c r="O848" s="154">
        <v>37826.326414900002</v>
      </c>
      <c r="P848" s="154">
        <v>37826.326414900002</v>
      </c>
      <c r="Q848" s="78">
        <f t="shared" si="13"/>
        <v>453915.91697880015</v>
      </c>
    </row>
    <row r="849" spans="1:17" x14ac:dyDescent="0.3">
      <c r="A849" s="154" t="s">
        <v>162</v>
      </c>
      <c r="B849" s="154" t="s">
        <v>3250</v>
      </c>
      <c r="C849" s="154" t="s">
        <v>3251</v>
      </c>
      <c r="D849" s="154">
        <v>0</v>
      </c>
      <c r="E849" s="154">
        <v>20351</v>
      </c>
      <c r="F849" s="154">
        <v>20351</v>
      </c>
      <c r="G849" s="154">
        <v>20351</v>
      </c>
      <c r="H849" s="154">
        <v>20351</v>
      </c>
      <c r="I849" s="154">
        <v>20351</v>
      </c>
      <c r="J849" s="154">
        <v>20351</v>
      </c>
      <c r="K849" s="154">
        <v>20351</v>
      </c>
      <c r="L849" s="154">
        <v>20351</v>
      </c>
      <c r="M849" s="154">
        <v>20351</v>
      </c>
      <c r="N849" s="154">
        <v>20351</v>
      </c>
      <c r="O849" s="154">
        <v>20351</v>
      </c>
      <c r="P849" s="154">
        <v>20351</v>
      </c>
      <c r="Q849" s="78">
        <f t="shared" si="13"/>
        <v>244212</v>
      </c>
    </row>
    <row r="850" spans="1:17" x14ac:dyDescent="0.3">
      <c r="A850" s="154" t="s">
        <v>162</v>
      </c>
      <c r="B850" s="154" t="s">
        <v>3252</v>
      </c>
      <c r="C850" s="154" t="s">
        <v>3253</v>
      </c>
      <c r="D850" s="154">
        <v>0</v>
      </c>
      <c r="E850" s="154">
        <v>81684.66</v>
      </c>
      <c r="F850" s="154">
        <v>82376.2</v>
      </c>
      <c r="G850" s="154">
        <v>83099.44</v>
      </c>
      <c r="H850" s="154">
        <v>83822.67</v>
      </c>
      <c r="I850" s="154">
        <v>84545.91</v>
      </c>
      <c r="J850" s="154">
        <v>84903.82</v>
      </c>
      <c r="K850" s="154">
        <v>85563.39</v>
      </c>
      <c r="L850" s="154">
        <v>85963.839999999997</v>
      </c>
      <c r="M850" s="154">
        <v>86404.47</v>
      </c>
      <c r="N850" s="154">
        <v>86849.81</v>
      </c>
      <c r="O850" s="154">
        <v>87269.77</v>
      </c>
      <c r="P850" s="154">
        <v>87832.58</v>
      </c>
      <c r="Q850" s="78">
        <f t="shared" si="13"/>
        <v>1020316.5599999999</v>
      </c>
    </row>
    <row r="851" spans="1:17" x14ac:dyDescent="0.3">
      <c r="A851" s="154" t="s">
        <v>162</v>
      </c>
      <c r="B851" s="154" t="s">
        <v>3254</v>
      </c>
      <c r="C851" s="154" t="s">
        <v>3255</v>
      </c>
      <c r="D851" s="154">
        <v>0</v>
      </c>
      <c r="E851" s="154">
        <v>664622</v>
      </c>
      <c r="F851" s="154">
        <v>668941</v>
      </c>
      <c r="G851" s="154">
        <v>670983</v>
      </c>
      <c r="H851" s="154">
        <v>747961</v>
      </c>
      <c r="I851" s="154">
        <v>750766</v>
      </c>
      <c r="J851" s="154">
        <v>754650</v>
      </c>
      <c r="K851" s="154">
        <v>755560</v>
      </c>
      <c r="L851" s="154">
        <v>755560</v>
      </c>
      <c r="M851" s="154">
        <v>755560</v>
      </c>
      <c r="N851" s="154">
        <v>755560</v>
      </c>
      <c r="O851" s="154">
        <v>755560</v>
      </c>
      <c r="P851" s="154">
        <v>755560</v>
      </c>
      <c r="Q851" s="78">
        <f t="shared" si="13"/>
        <v>8791283</v>
      </c>
    </row>
    <row r="852" spans="1:17" x14ac:dyDescent="0.3">
      <c r="A852" s="154" t="s">
        <v>162</v>
      </c>
      <c r="B852" s="154" t="s">
        <v>3256</v>
      </c>
      <c r="C852" s="154" t="s">
        <v>3257</v>
      </c>
      <c r="D852" s="154">
        <v>0</v>
      </c>
      <c r="E852" s="154">
        <v>410360.78736680001</v>
      </c>
      <c r="F852" s="154">
        <v>435800.13858580001</v>
      </c>
      <c r="G852" s="154">
        <v>481264.01024490001</v>
      </c>
      <c r="H852" s="154">
        <v>595350.43520319997</v>
      </c>
      <c r="I852" s="154">
        <v>684709.68003100005</v>
      </c>
      <c r="J852" s="154">
        <v>732431.15392129996</v>
      </c>
      <c r="K852" s="154">
        <v>773167.35438599996</v>
      </c>
      <c r="L852" s="154">
        <v>796385.08686249994</v>
      </c>
      <c r="M852" s="154">
        <v>846903.03184940002</v>
      </c>
      <c r="N852" s="154">
        <v>872918.55664930004</v>
      </c>
      <c r="O852" s="154">
        <v>891028.99421040004</v>
      </c>
      <c r="P852" s="154">
        <v>918567.60828110005</v>
      </c>
      <c r="Q852" s="78">
        <f t="shared" si="13"/>
        <v>8438886.8375917003</v>
      </c>
    </row>
    <row r="853" spans="1:17" x14ac:dyDescent="0.3">
      <c r="A853" s="154" t="s">
        <v>162</v>
      </c>
      <c r="B853" s="154" t="s">
        <v>3258</v>
      </c>
      <c r="C853" s="154" t="s">
        <v>3259</v>
      </c>
      <c r="D853" s="154">
        <v>0</v>
      </c>
      <c r="E853" s="154">
        <v>69809</v>
      </c>
      <c r="F853" s="154">
        <v>69809</v>
      </c>
      <c r="G853" s="154">
        <v>69809</v>
      </c>
      <c r="H853" s="154">
        <v>69809</v>
      </c>
      <c r="I853" s="154">
        <v>69809</v>
      </c>
      <c r="J853" s="154">
        <v>69809</v>
      </c>
      <c r="K853" s="154">
        <v>69809</v>
      </c>
      <c r="L853" s="154">
        <v>69809</v>
      </c>
      <c r="M853" s="154">
        <v>69809</v>
      </c>
      <c r="N853" s="154">
        <v>69809</v>
      </c>
      <c r="O853" s="154">
        <v>69809</v>
      </c>
      <c r="P853" s="154">
        <v>69809</v>
      </c>
      <c r="Q853" s="78">
        <f t="shared" si="13"/>
        <v>837708</v>
      </c>
    </row>
    <row r="854" spans="1:17" x14ac:dyDescent="0.3">
      <c r="A854" s="154" t="s">
        <v>162</v>
      </c>
      <c r="B854" s="154" t="s">
        <v>3260</v>
      </c>
      <c r="C854" s="154" t="s">
        <v>3261</v>
      </c>
      <c r="D854" s="154">
        <v>0</v>
      </c>
      <c r="E854" s="154">
        <v>4586709.5967768002</v>
      </c>
      <c r="F854" s="154">
        <v>4298657.5768128</v>
      </c>
      <c r="G854" s="154">
        <v>4191621.7925351998</v>
      </c>
      <c r="H854" s="154">
        <v>4405845.8456531996</v>
      </c>
      <c r="I854" s="154">
        <v>4838743.9173323996</v>
      </c>
      <c r="J854" s="154">
        <v>5534137.2708408004</v>
      </c>
      <c r="K854" s="154">
        <v>5802917.2627235996</v>
      </c>
      <c r="L854" s="154">
        <v>5769435.2731571998</v>
      </c>
      <c r="M854" s="154">
        <v>5902445.4304344002</v>
      </c>
      <c r="N854" s="154">
        <v>5334443.3373587998</v>
      </c>
      <c r="O854" s="154">
        <v>4621611.3851015996</v>
      </c>
      <c r="P854" s="154">
        <v>4392757.4850468002</v>
      </c>
      <c r="Q854" s="78">
        <f t="shared" si="13"/>
        <v>59679326.173773602</v>
      </c>
    </row>
    <row r="855" spans="1:17" x14ac:dyDescent="0.3">
      <c r="A855" s="154" t="s">
        <v>162</v>
      </c>
      <c r="B855" s="154" t="s">
        <v>3262</v>
      </c>
      <c r="C855" s="154" t="s">
        <v>3263</v>
      </c>
      <c r="D855" s="154">
        <v>0</v>
      </c>
      <c r="E855" s="154">
        <v>4826387.7215</v>
      </c>
      <c r="F855" s="154">
        <v>4484584.5439999998</v>
      </c>
      <c r="G855" s="154">
        <v>4340197.2185000004</v>
      </c>
      <c r="H855" s="154">
        <v>4571205.3122500004</v>
      </c>
      <c r="I855" s="154">
        <v>5075410.3257499998</v>
      </c>
      <c r="J855" s="154">
        <v>5887366.1615000004</v>
      </c>
      <c r="K855" s="154">
        <v>6208490.9892499996</v>
      </c>
      <c r="L855" s="154">
        <v>6163536.58225</v>
      </c>
      <c r="M855" s="154">
        <v>6321808.4694999997</v>
      </c>
      <c r="N855" s="154">
        <v>5644375.7502499996</v>
      </c>
      <c r="O855" s="154">
        <v>4811791.2905000001</v>
      </c>
      <c r="P855" s="154">
        <v>4570155.3652499998</v>
      </c>
      <c r="Q855" s="78">
        <f t="shared" si="13"/>
        <v>62905309.73049999</v>
      </c>
    </row>
    <row r="856" spans="1:17" x14ac:dyDescent="0.3">
      <c r="A856" s="154" t="s">
        <v>162</v>
      </c>
      <c r="B856" s="154" t="s">
        <v>3264</v>
      </c>
      <c r="C856" s="154" t="s">
        <v>3265</v>
      </c>
      <c r="D856" s="154">
        <v>0</v>
      </c>
      <c r="E856" s="154">
        <v>1270108.6194348</v>
      </c>
      <c r="F856" s="154">
        <v>1157703.5755582</v>
      </c>
      <c r="G856" s="154">
        <v>1165650.6665211001</v>
      </c>
      <c r="H856" s="154">
        <v>1240530.8946912</v>
      </c>
      <c r="I856" s="154">
        <v>1288384.1549561999</v>
      </c>
      <c r="J856" s="154">
        <v>1124374.3085320001</v>
      </c>
      <c r="K856" s="154">
        <v>1300344.4364022</v>
      </c>
      <c r="L856" s="154">
        <v>1243068.9679549001</v>
      </c>
      <c r="M856" s="154">
        <v>1184204.7755470001</v>
      </c>
      <c r="N856" s="154">
        <v>1310975.1142168001</v>
      </c>
      <c r="O856" s="154">
        <v>1192211.9098848</v>
      </c>
      <c r="P856" s="154">
        <v>1245908.1719136999</v>
      </c>
      <c r="Q856" s="78">
        <f t="shared" si="13"/>
        <v>14723465.5956129</v>
      </c>
    </row>
    <row r="857" spans="1:17" x14ac:dyDescent="0.3">
      <c r="A857" s="154" t="s">
        <v>162</v>
      </c>
      <c r="B857" s="154" t="s">
        <v>3266</v>
      </c>
      <c r="C857" s="154" t="s">
        <v>3267</v>
      </c>
      <c r="D857" s="154">
        <v>0</v>
      </c>
      <c r="E857" s="154">
        <v>181246</v>
      </c>
      <c r="F857" s="154">
        <v>181246</v>
      </c>
      <c r="G857" s="154">
        <v>302636</v>
      </c>
      <c r="H857" s="154">
        <v>181246</v>
      </c>
      <c r="I857" s="154">
        <v>181246</v>
      </c>
      <c r="J857" s="154">
        <v>302636</v>
      </c>
      <c r="K857" s="154">
        <v>181246</v>
      </c>
      <c r="L857" s="154">
        <v>181246</v>
      </c>
      <c r="M857" s="154">
        <v>302636</v>
      </c>
      <c r="N857" s="154">
        <v>181246</v>
      </c>
      <c r="O857" s="154">
        <v>181246</v>
      </c>
      <c r="P857" s="154">
        <v>302636</v>
      </c>
      <c r="Q857" s="78">
        <f t="shared" si="13"/>
        <v>2660512</v>
      </c>
    </row>
    <row r="858" spans="1:17" x14ac:dyDescent="0.3">
      <c r="A858" s="154" t="s">
        <v>162</v>
      </c>
      <c r="B858" s="154" t="s">
        <v>3268</v>
      </c>
      <c r="C858" s="154" t="s">
        <v>3269</v>
      </c>
      <c r="D858" s="154">
        <v>0</v>
      </c>
      <c r="E858" s="154">
        <v>-113630.17793219999</v>
      </c>
      <c r="F858" s="154">
        <v>-126404.00739100001</v>
      </c>
      <c r="G858" s="154">
        <v>-115460.6660154</v>
      </c>
      <c r="H858" s="154">
        <v>-128162.0598893</v>
      </c>
      <c r="I858" s="154">
        <v>-160397.26282229999</v>
      </c>
      <c r="J858" s="154">
        <v>-113835.02529819999</v>
      </c>
      <c r="K858" s="154">
        <v>-128598.4723679</v>
      </c>
      <c r="L858" s="154">
        <v>-119612.4338287</v>
      </c>
      <c r="M858" s="154">
        <v>-67131.049375699993</v>
      </c>
      <c r="N858" s="154">
        <v>-57459.617641199999</v>
      </c>
      <c r="O858" s="154">
        <v>-100282.4498632</v>
      </c>
      <c r="P858" s="154">
        <v>-154095.47175890001</v>
      </c>
      <c r="Q858" s="78">
        <f t="shared" si="13"/>
        <v>-1385068.6941840001</v>
      </c>
    </row>
    <row r="859" spans="1:17" x14ac:dyDescent="0.3">
      <c r="A859" s="154" t="s">
        <v>162</v>
      </c>
      <c r="B859" s="154" t="s">
        <v>3270</v>
      </c>
      <c r="C859" s="154" t="s">
        <v>3271</v>
      </c>
      <c r="D859" s="154">
        <v>0</v>
      </c>
      <c r="E859" s="154">
        <v>7365250</v>
      </c>
      <c r="F859" s="154">
        <v>7365250</v>
      </c>
      <c r="G859" s="154">
        <v>7365250</v>
      </c>
      <c r="H859" s="154">
        <v>7365250</v>
      </c>
      <c r="I859" s="154">
        <v>7365250</v>
      </c>
      <c r="J859" s="154">
        <v>7365250</v>
      </c>
      <c r="K859" s="154">
        <v>7365250</v>
      </c>
      <c r="L859" s="154">
        <v>7365250</v>
      </c>
      <c r="M859" s="154">
        <v>7365250</v>
      </c>
      <c r="N859" s="154">
        <v>7365250</v>
      </c>
      <c r="O859" s="154">
        <v>7365250</v>
      </c>
      <c r="P859" s="154">
        <v>7365250</v>
      </c>
      <c r="Q859" s="78">
        <f t="shared" si="13"/>
        <v>88383000</v>
      </c>
    </row>
    <row r="860" spans="1:17" x14ac:dyDescent="0.3">
      <c r="A860" s="154" t="s">
        <v>162</v>
      </c>
      <c r="B860" s="154" t="s">
        <v>3272</v>
      </c>
      <c r="C860" s="154" t="s">
        <v>3273</v>
      </c>
      <c r="D860" s="154">
        <v>0</v>
      </c>
      <c r="E860" s="154">
        <v>10000</v>
      </c>
      <c r="F860" s="154">
        <v>10000</v>
      </c>
      <c r="G860" s="154">
        <v>10000</v>
      </c>
      <c r="H860" s="154">
        <v>10000</v>
      </c>
      <c r="I860" s="154">
        <v>10000</v>
      </c>
      <c r="J860" s="154">
        <v>10000</v>
      </c>
      <c r="K860" s="154">
        <v>10000</v>
      </c>
      <c r="L860" s="154">
        <v>10000</v>
      </c>
      <c r="M860" s="154">
        <v>10000</v>
      </c>
      <c r="N860" s="154">
        <v>10000</v>
      </c>
      <c r="O860" s="154">
        <v>10000</v>
      </c>
      <c r="P860" s="154">
        <v>10000</v>
      </c>
      <c r="Q860" s="78">
        <f t="shared" si="13"/>
        <v>120000</v>
      </c>
    </row>
    <row r="861" spans="1:17" x14ac:dyDescent="0.3">
      <c r="A861" s="154" t="s">
        <v>162</v>
      </c>
      <c r="B861" s="154" t="s">
        <v>3274</v>
      </c>
      <c r="C861" s="154" t="s">
        <v>3275</v>
      </c>
      <c r="D861" s="154">
        <v>0</v>
      </c>
      <c r="E861" s="154">
        <v>143662.22387280001</v>
      </c>
      <c r="F861" s="154">
        <v>133814.1120048</v>
      </c>
      <c r="G861" s="154">
        <v>129678.83595360001</v>
      </c>
      <c r="H861" s="154">
        <v>136365.33227760001</v>
      </c>
      <c r="I861" s="154">
        <v>150873.84827280001</v>
      </c>
      <c r="J861" s="154">
        <v>174281.44169519999</v>
      </c>
      <c r="K861" s="154">
        <v>183524.29169760001</v>
      </c>
      <c r="L861" s="154">
        <v>182230.31589120001</v>
      </c>
      <c r="M861" s="154">
        <v>186766.2164304</v>
      </c>
      <c r="N861" s="154">
        <v>167282.2501992</v>
      </c>
      <c r="O861" s="154">
        <v>143278.98917759999</v>
      </c>
      <c r="P861" s="154">
        <v>136341.62460720001</v>
      </c>
      <c r="Q861" s="78">
        <f t="shared" si="13"/>
        <v>1868099.4820800002</v>
      </c>
    </row>
    <row r="862" spans="1:17" x14ac:dyDescent="0.3">
      <c r="A862" s="154" t="s">
        <v>162</v>
      </c>
      <c r="B862" s="154" t="s">
        <v>3276</v>
      </c>
      <c r="C862" s="154" t="s">
        <v>3277</v>
      </c>
      <c r="D862" s="154">
        <v>0</v>
      </c>
      <c r="E862" s="154">
        <v>17000</v>
      </c>
      <c r="F862" s="154">
        <v>17000</v>
      </c>
      <c r="G862" s="154">
        <v>17000</v>
      </c>
      <c r="H862" s="154">
        <v>17000</v>
      </c>
      <c r="I862" s="154">
        <v>17000</v>
      </c>
      <c r="J862" s="154">
        <v>17000</v>
      </c>
      <c r="K862" s="154">
        <v>17000</v>
      </c>
      <c r="L862" s="154">
        <v>17000</v>
      </c>
      <c r="M862" s="154">
        <v>17000</v>
      </c>
      <c r="N862" s="154">
        <v>17000</v>
      </c>
      <c r="O862" s="154">
        <v>17000</v>
      </c>
      <c r="P862" s="154">
        <v>17000</v>
      </c>
      <c r="Q862" s="78">
        <f t="shared" si="13"/>
        <v>204000</v>
      </c>
    </row>
    <row r="863" spans="1:17" x14ac:dyDescent="0.3">
      <c r="A863" s="154" t="s">
        <v>162</v>
      </c>
      <c r="B863" s="154" t="s">
        <v>3278</v>
      </c>
      <c r="C863" s="154" t="s">
        <v>3279</v>
      </c>
      <c r="D863" s="154">
        <v>0</v>
      </c>
      <c r="E863" s="154">
        <v>0</v>
      </c>
      <c r="F863" s="154">
        <v>2000</v>
      </c>
      <c r="G863" s="154">
        <v>0</v>
      </c>
      <c r="H863" s="154">
        <v>0</v>
      </c>
      <c r="I863" s="154">
        <v>0</v>
      </c>
      <c r="J863" s="154">
        <v>0</v>
      </c>
      <c r="K863" s="154">
        <v>0</v>
      </c>
      <c r="L863" s="154">
        <v>0</v>
      </c>
      <c r="M863" s="154">
        <v>0</v>
      </c>
      <c r="N863" s="154">
        <v>0</v>
      </c>
      <c r="O863" s="154">
        <v>0</v>
      </c>
      <c r="P863" s="154">
        <v>0</v>
      </c>
      <c r="Q863" s="78">
        <f t="shared" si="13"/>
        <v>2000</v>
      </c>
    </row>
    <row r="864" spans="1:17" x14ac:dyDescent="0.3">
      <c r="A864" s="154" t="s">
        <v>162</v>
      </c>
      <c r="B864" s="154" t="s">
        <v>3280</v>
      </c>
      <c r="C864" s="154" t="s">
        <v>3281</v>
      </c>
      <c r="D864" s="154">
        <v>0</v>
      </c>
      <c r="E864" s="154">
        <v>1000</v>
      </c>
      <c r="F864" s="154">
        <v>0</v>
      </c>
      <c r="G864" s="154">
        <v>0</v>
      </c>
      <c r="H864" s="154">
        <v>0</v>
      </c>
      <c r="I864" s="154">
        <v>0</v>
      </c>
      <c r="J864" s="154">
        <v>0</v>
      </c>
      <c r="K864" s="154">
        <v>36000</v>
      </c>
      <c r="L864" s="154">
        <v>13000</v>
      </c>
      <c r="M864" s="154">
        <v>0</v>
      </c>
      <c r="N864" s="154">
        <v>0</v>
      </c>
      <c r="O864" s="154">
        <v>1000</v>
      </c>
      <c r="P864" s="154">
        <v>0</v>
      </c>
      <c r="Q864" s="78">
        <f t="shared" si="13"/>
        <v>51000</v>
      </c>
    </row>
    <row r="865" spans="1:17" x14ac:dyDescent="0.3">
      <c r="A865" s="154" t="s">
        <v>162</v>
      </c>
      <c r="B865" s="154" t="s">
        <v>3282</v>
      </c>
      <c r="C865" s="154" t="s">
        <v>3283</v>
      </c>
      <c r="D865" s="154">
        <v>0</v>
      </c>
      <c r="E865" s="154">
        <v>0</v>
      </c>
      <c r="F865" s="154">
        <v>0</v>
      </c>
      <c r="G865" s="154">
        <v>0</v>
      </c>
      <c r="H865" s="154">
        <v>0</v>
      </c>
      <c r="I865" s="154">
        <v>0</v>
      </c>
      <c r="J865" s="154">
        <v>0</v>
      </c>
      <c r="K865" s="154">
        <v>0</v>
      </c>
      <c r="L865" s="154">
        <v>0</v>
      </c>
      <c r="M865" s="154">
        <v>12000</v>
      </c>
      <c r="N865" s="154">
        <v>0</v>
      </c>
      <c r="O865" s="154">
        <v>0</v>
      </c>
      <c r="P865" s="154">
        <v>0</v>
      </c>
      <c r="Q865" s="78">
        <f t="shared" si="13"/>
        <v>12000</v>
      </c>
    </row>
    <row r="866" spans="1:17" x14ac:dyDescent="0.3">
      <c r="A866" s="154" t="s">
        <v>162</v>
      </c>
      <c r="B866" s="154" t="s">
        <v>3284</v>
      </c>
      <c r="C866" s="154" t="s">
        <v>3285</v>
      </c>
      <c r="D866" s="154">
        <v>0</v>
      </c>
      <c r="E866" s="154">
        <v>346267</v>
      </c>
      <c r="F866" s="154">
        <v>311570</v>
      </c>
      <c r="G866" s="154">
        <v>283937</v>
      </c>
      <c r="H866" s="154">
        <v>243179</v>
      </c>
      <c r="I866" s="154">
        <v>199781</v>
      </c>
      <c r="J866" s="154">
        <v>157760</v>
      </c>
      <c r="K866" s="154">
        <v>99800</v>
      </c>
      <c r="L866" s="154">
        <v>46836</v>
      </c>
      <c r="M866" s="154">
        <v>0</v>
      </c>
      <c r="N866" s="154">
        <v>0</v>
      </c>
      <c r="O866" s="154">
        <v>0</v>
      </c>
      <c r="P866" s="154">
        <v>0</v>
      </c>
      <c r="Q866" s="78">
        <f t="shared" si="13"/>
        <v>1689130</v>
      </c>
    </row>
    <row r="867" spans="1:17" x14ac:dyDescent="0.3">
      <c r="A867" s="154" t="s">
        <v>162</v>
      </c>
      <c r="B867" s="154" t="s">
        <v>3286</v>
      </c>
      <c r="C867" s="154" t="s">
        <v>3287</v>
      </c>
      <c r="D867" s="154">
        <v>0</v>
      </c>
      <c r="E867" s="154">
        <v>43069</v>
      </c>
      <c r="F867" s="154">
        <v>47114</v>
      </c>
      <c r="G867" s="154">
        <v>47936</v>
      </c>
      <c r="H867" s="154">
        <v>43390</v>
      </c>
      <c r="I867" s="154">
        <v>38672</v>
      </c>
      <c r="J867" s="154">
        <v>34850</v>
      </c>
      <c r="K867" s="154">
        <v>29333</v>
      </c>
      <c r="L867" s="154">
        <v>24134</v>
      </c>
      <c r="M867" s="154">
        <v>20121</v>
      </c>
      <c r="N867" s="154">
        <v>15676</v>
      </c>
      <c r="O867" s="154">
        <v>11942</v>
      </c>
      <c r="P867" s="154">
        <v>9051</v>
      </c>
      <c r="Q867" s="78">
        <f t="shared" si="13"/>
        <v>365288</v>
      </c>
    </row>
    <row r="868" spans="1:17" x14ac:dyDescent="0.3">
      <c r="A868" s="154" t="s">
        <v>162</v>
      </c>
      <c r="B868" s="154" t="s">
        <v>3288</v>
      </c>
      <c r="C868" s="154" t="s">
        <v>3289</v>
      </c>
      <c r="D868" s="154">
        <v>0</v>
      </c>
      <c r="E868" s="154">
        <v>8247</v>
      </c>
      <c r="F868" s="154">
        <v>7053</v>
      </c>
      <c r="G868" s="154">
        <v>8436</v>
      </c>
      <c r="H868" s="154">
        <v>10402</v>
      </c>
      <c r="I868" s="154">
        <v>10834</v>
      </c>
      <c r="J868" s="154">
        <v>8080</v>
      </c>
      <c r="K868" s="154">
        <v>2056</v>
      </c>
      <c r="L868" s="154">
        <v>0</v>
      </c>
      <c r="M868" s="154">
        <v>0</v>
      </c>
      <c r="N868" s="154">
        <v>0</v>
      </c>
      <c r="O868" s="154">
        <v>0</v>
      </c>
      <c r="P868" s="154">
        <v>0</v>
      </c>
      <c r="Q868" s="78">
        <f t="shared" si="13"/>
        <v>55108</v>
      </c>
    </row>
    <row r="869" spans="1:17" x14ac:dyDescent="0.3">
      <c r="A869" s="154" t="s">
        <v>162</v>
      </c>
      <c r="B869" s="154" t="s">
        <v>3290</v>
      </c>
      <c r="C869" s="154" t="s">
        <v>3291</v>
      </c>
      <c r="D869" s="154">
        <v>0</v>
      </c>
      <c r="E869" s="154">
        <v>396813.28</v>
      </c>
      <c r="F869" s="154">
        <v>396813.28</v>
      </c>
      <c r="G869" s="154">
        <v>396813.28</v>
      </c>
      <c r="H869" s="154">
        <v>396813.28</v>
      </c>
      <c r="I869" s="154">
        <v>396813.28</v>
      </c>
      <c r="J869" s="154">
        <v>396813.28</v>
      </c>
      <c r="K869" s="154">
        <v>396813.28</v>
      </c>
      <c r="L869" s="154">
        <v>396813.28</v>
      </c>
      <c r="M869" s="154">
        <v>396813.28</v>
      </c>
      <c r="N869" s="154">
        <v>396813.28</v>
      </c>
      <c r="O869" s="154">
        <v>396813.28</v>
      </c>
      <c r="P869" s="154">
        <v>396813.29</v>
      </c>
      <c r="Q869" s="78">
        <f t="shared" si="13"/>
        <v>4761759.370000001</v>
      </c>
    </row>
    <row r="870" spans="1:17" x14ac:dyDescent="0.3">
      <c r="A870" s="154" t="s">
        <v>162</v>
      </c>
      <c r="B870" s="154" t="s">
        <v>3292</v>
      </c>
      <c r="C870" s="154" t="s">
        <v>3293</v>
      </c>
      <c r="D870" s="154">
        <v>0</v>
      </c>
      <c r="E870" s="154">
        <v>160333.33333329999</v>
      </c>
      <c r="F870" s="154">
        <v>160333.33333329999</v>
      </c>
      <c r="G870" s="154">
        <v>160333.33333329999</v>
      </c>
      <c r="H870" s="154">
        <v>151083.33333329999</v>
      </c>
      <c r="I870" s="154">
        <v>151083.33333329999</v>
      </c>
      <c r="J870" s="154">
        <v>151083.33333329999</v>
      </c>
      <c r="K870" s="154">
        <v>138750</v>
      </c>
      <c r="L870" s="154">
        <v>138750</v>
      </c>
      <c r="M870" s="154">
        <v>0</v>
      </c>
      <c r="N870" s="154">
        <v>0</v>
      </c>
      <c r="O870" s="154">
        <v>0</v>
      </c>
      <c r="P870" s="154">
        <v>0</v>
      </c>
      <c r="Q870" s="78">
        <f t="shared" si="13"/>
        <v>1211749.9999997998</v>
      </c>
    </row>
    <row r="871" spans="1:17" x14ac:dyDescent="0.3">
      <c r="A871" s="154" t="s">
        <v>162</v>
      </c>
      <c r="B871" s="154" t="s">
        <v>3294</v>
      </c>
      <c r="C871" s="154" t="s">
        <v>3295</v>
      </c>
      <c r="D871" s="154">
        <v>0</v>
      </c>
      <c r="E871" s="154">
        <v>585.72</v>
      </c>
      <c r="F871" s="154">
        <v>585.72</v>
      </c>
      <c r="G871" s="154">
        <v>2000295.86</v>
      </c>
      <c r="H871" s="154">
        <v>295.86</v>
      </c>
      <c r="I871" s="154">
        <v>295.86</v>
      </c>
      <c r="J871" s="154">
        <v>295.86</v>
      </c>
      <c r="K871" s="154">
        <v>295.86</v>
      </c>
      <c r="L871" s="154">
        <v>295.86</v>
      </c>
      <c r="M871" s="154">
        <v>0</v>
      </c>
      <c r="N871" s="154">
        <v>0</v>
      </c>
      <c r="O871" s="154">
        <v>0</v>
      </c>
      <c r="P871" s="154">
        <v>0</v>
      </c>
      <c r="Q871" s="78">
        <f t="shared" si="13"/>
        <v>2002946.6000000006</v>
      </c>
    </row>
    <row r="872" spans="1:17" x14ac:dyDescent="0.3">
      <c r="A872" s="154" t="s">
        <v>162</v>
      </c>
      <c r="B872" s="154" t="s">
        <v>3296</v>
      </c>
      <c r="C872" s="154" t="s">
        <v>3297</v>
      </c>
      <c r="D872" s="154">
        <v>0</v>
      </c>
      <c r="E872" s="154">
        <v>60773.734943199997</v>
      </c>
      <c r="F872" s="154">
        <v>60836.517727300001</v>
      </c>
      <c r="G872" s="154">
        <v>60899.300511300004</v>
      </c>
      <c r="H872" s="154">
        <v>59831.993182799997</v>
      </c>
      <c r="I872" s="154">
        <v>60020.341534899999</v>
      </c>
      <c r="J872" s="154">
        <v>60271.472671000003</v>
      </c>
      <c r="K872" s="154">
        <v>60899.300511300004</v>
      </c>
      <c r="L872" s="154">
        <v>61527.128351599997</v>
      </c>
      <c r="M872" s="154">
        <v>62154.956191999998</v>
      </c>
      <c r="N872" s="154">
        <v>61527.128351599997</v>
      </c>
      <c r="O872" s="154">
        <v>62154.956191999998</v>
      </c>
      <c r="P872" s="154">
        <v>62154.956191999998</v>
      </c>
      <c r="Q872" s="78">
        <f t="shared" si="13"/>
        <v>733051.78636099992</v>
      </c>
    </row>
    <row r="873" spans="1:17" x14ac:dyDescent="0.3">
      <c r="A873" s="154" t="s">
        <v>162</v>
      </c>
      <c r="B873" s="154" t="s">
        <v>3298</v>
      </c>
      <c r="C873" s="154" t="s">
        <v>3299</v>
      </c>
      <c r="D873" s="154">
        <v>0</v>
      </c>
      <c r="E873" s="154">
        <v>0</v>
      </c>
      <c r="F873" s="154">
        <v>0</v>
      </c>
      <c r="G873" s="154">
        <v>0</v>
      </c>
      <c r="H873" s="154">
        <v>0</v>
      </c>
      <c r="I873" s="154">
        <v>0</v>
      </c>
      <c r="J873" s="154">
        <v>0</v>
      </c>
      <c r="K873" s="154">
        <v>2724037</v>
      </c>
      <c r="L873" s="154">
        <v>1775963</v>
      </c>
      <c r="M873" s="154">
        <v>0</v>
      </c>
      <c r="N873" s="154">
        <v>0</v>
      </c>
      <c r="O873" s="154">
        <v>0</v>
      </c>
      <c r="P873" s="154">
        <v>0</v>
      </c>
      <c r="Q873" s="78">
        <f t="shared" si="13"/>
        <v>4500000</v>
      </c>
    </row>
    <row r="874" spans="1:17" x14ac:dyDescent="0.3">
      <c r="A874" s="154" t="s">
        <v>162</v>
      </c>
      <c r="B874" s="154" t="s">
        <v>3300</v>
      </c>
      <c r="C874" s="154" t="s">
        <v>3301</v>
      </c>
      <c r="D874" s="154">
        <v>0</v>
      </c>
      <c r="E874" s="154">
        <v>436226.26505679998</v>
      </c>
      <c r="F874" s="154">
        <v>461763.4822727</v>
      </c>
      <c r="G874" s="154">
        <v>437300.69948870002</v>
      </c>
      <c r="H874" s="154">
        <v>464968.00681719999</v>
      </c>
      <c r="I874" s="154">
        <v>431479.65846509999</v>
      </c>
      <c r="J874" s="154">
        <v>433328.527329</v>
      </c>
      <c r="K874" s="154">
        <v>497800.69948870002</v>
      </c>
      <c r="L874" s="154">
        <v>442272.87164839997</v>
      </c>
      <c r="M874" s="154">
        <v>446745.04380799999</v>
      </c>
      <c r="N874" s="154">
        <v>497472.87164839997</v>
      </c>
      <c r="O874" s="154">
        <v>446945.04380799999</v>
      </c>
      <c r="P874" s="154">
        <v>482045.04380799999</v>
      </c>
      <c r="Q874" s="78">
        <f t="shared" si="13"/>
        <v>5478348.2136390004</v>
      </c>
    </row>
    <row r="875" spans="1:17" x14ac:dyDescent="0.3">
      <c r="A875" s="154" t="s">
        <v>162</v>
      </c>
      <c r="B875" s="154" t="s">
        <v>3302</v>
      </c>
      <c r="C875" s="154" t="s">
        <v>3303</v>
      </c>
      <c r="D875" s="154">
        <v>0</v>
      </c>
      <c r="E875" s="154">
        <v>31846.57</v>
      </c>
      <c r="F875" s="154">
        <v>31846.57</v>
      </c>
      <c r="G875" s="154">
        <v>31846.57</v>
      </c>
      <c r="H875" s="154">
        <v>31846.57</v>
      </c>
      <c r="I875" s="154">
        <v>31846.57</v>
      </c>
      <c r="J875" s="154">
        <v>31846.57</v>
      </c>
      <c r="K875" s="154">
        <v>31846.57</v>
      </c>
      <c r="L875" s="154">
        <v>31846.57</v>
      </c>
      <c r="M875" s="154">
        <v>31846.57</v>
      </c>
      <c r="N875" s="154">
        <v>31846.57</v>
      </c>
      <c r="O875" s="154">
        <v>31846.57</v>
      </c>
      <c r="P875" s="154">
        <v>31846.57</v>
      </c>
      <c r="Q875" s="78">
        <f t="shared" si="13"/>
        <v>382158.84</v>
      </c>
    </row>
    <row r="876" spans="1:17" x14ac:dyDescent="0.3">
      <c r="A876" s="154" t="s">
        <v>162</v>
      </c>
      <c r="B876" s="154" t="s">
        <v>3304</v>
      </c>
      <c r="C876" s="154" t="s">
        <v>3305</v>
      </c>
      <c r="D876" s="154">
        <v>0</v>
      </c>
      <c r="E876" s="154">
        <v>242385.0439201</v>
      </c>
      <c r="F876" s="154">
        <v>242486.03768840001</v>
      </c>
      <c r="G876" s="154">
        <v>242587.07353749999</v>
      </c>
      <c r="H876" s="154">
        <v>242688.15148480001</v>
      </c>
      <c r="I876" s="154">
        <v>242789.27154789999</v>
      </c>
      <c r="J876" s="154">
        <v>242890.43374440001</v>
      </c>
      <c r="K876" s="154">
        <v>242991.63809180001</v>
      </c>
      <c r="L876" s="154">
        <v>243092.88460759999</v>
      </c>
      <c r="M876" s="154">
        <v>243194.17330960001</v>
      </c>
      <c r="N876" s="154">
        <v>243295.50421509999</v>
      </c>
      <c r="O876" s="154">
        <v>243396.87734189999</v>
      </c>
      <c r="P876" s="154">
        <v>243498.29270739999</v>
      </c>
      <c r="Q876" s="78">
        <f t="shared" si="13"/>
        <v>2915295.3821965</v>
      </c>
    </row>
    <row r="877" spans="1:17" x14ac:dyDescent="0.3">
      <c r="A877" s="154" t="s">
        <v>162</v>
      </c>
      <c r="B877" s="154" t="s">
        <v>3306</v>
      </c>
      <c r="C877" s="154" t="s">
        <v>3307</v>
      </c>
      <c r="D877" s="154">
        <v>0</v>
      </c>
      <c r="E877" s="154">
        <v>5071.1792503999995</v>
      </c>
      <c r="F877" s="154">
        <v>5013.1647732000001</v>
      </c>
      <c r="G877" s="154">
        <v>4954.0896333000001</v>
      </c>
      <c r="H877" s="154">
        <v>4894.9326853000002</v>
      </c>
      <c r="I877" s="154">
        <v>4835.6924336000002</v>
      </c>
      <c r="J877" s="154">
        <v>4775.6204543000003</v>
      </c>
      <c r="K877" s="154">
        <v>4715.4649384000004</v>
      </c>
      <c r="L877" s="154">
        <v>4655.2247132000002</v>
      </c>
      <c r="M877" s="154">
        <v>4594.8996606999999</v>
      </c>
      <c r="N877" s="154">
        <v>4534.4896615999996</v>
      </c>
      <c r="O877" s="154">
        <v>4473.9945963</v>
      </c>
      <c r="P877" s="154">
        <v>4413.4143449000003</v>
      </c>
      <c r="Q877" s="78">
        <f t="shared" si="13"/>
        <v>56932.167145200001</v>
      </c>
    </row>
    <row r="878" spans="1:17" x14ac:dyDescent="0.3">
      <c r="A878" s="154" t="s">
        <v>162</v>
      </c>
      <c r="B878" s="154" t="s">
        <v>3308</v>
      </c>
      <c r="C878" s="154" t="s">
        <v>3309</v>
      </c>
      <c r="D878" s="154">
        <v>0</v>
      </c>
      <c r="E878" s="154">
        <v>58762.37</v>
      </c>
      <c r="F878" s="154">
        <v>58762.37</v>
      </c>
      <c r="G878" s="154">
        <v>58762.37</v>
      </c>
      <c r="H878" s="154">
        <v>58762.37</v>
      </c>
      <c r="I878" s="154">
        <v>58762.37</v>
      </c>
      <c r="J878" s="154">
        <v>58762.37</v>
      </c>
      <c r="K878" s="154">
        <v>58762.37</v>
      </c>
      <c r="L878" s="154">
        <v>58762.37</v>
      </c>
      <c r="M878" s="154">
        <v>58762.37</v>
      </c>
      <c r="N878" s="154">
        <v>58762.37</v>
      </c>
      <c r="O878" s="154">
        <v>58762.37</v>
      </c>
      <c r="P878" s="154">
        <v>58762.37</v>
      </c>
      <c r="Q878" s="78">
        <f t="shared" si="13"/>
        <v>705148.44000000006</v>
      </c>
    </row>
    <row r="879" spans="1:17" x14ac:dyDescent="0.3">
      <c r="A879" s="154" t="s">
        <v>162</v>
      </c>
      <c r="B879" s="154" t="s">
        <v>3310</v>
      </c>
      <c r="C879" s="154" t="s">
        <v>3311</v>
      </c>
      <c r="D879" s="154">
        <v>0</v>
      </c>
      <c r="E879" s="154">
        <v>46192.88</v>
      </c>
      <c r="F879" s="154">
        <v>46192.87</v>
      </c>
      <c r="G879" s="154">
        <v>37871.9</v>
      </c>
      <c r="H879" s="154">
        <v>0</v>
      </c>
      <c r="I879" s="154">
        <v>0</v>
      </c>
      <c r="J879" s="154">
        <v>0</v>
      </c>
      <c r="K879" s="154">
        <v>0</v>
      </c>
      <c r="L879" s="154">
        <v>0</v>
      </c>
      <c r="M879" s="154">
        <v>0</v>
      </c>
      <c r="N879" s="154">
        <v>0</v>
      </c>
      <c r="O879" s="154">
        <v>0</v>
      </c>
      <c r="P879" s="154">
        <v>0</v>
      </c>
      <c r="Q879" s="78">
        <f t="shared" si="13"/>
        <v>130257.65</v>
      </c>
    </row>
    <row r="880" spans="1:17" x14ac:dyDescent="0.3">
      <c r="A880" s="154" t="s">
        <v>162</v>
      </c>
      <c r="B880" s="154" t="s">
        <v>3312</v>
      </c>
      <c r="C880" s="154" t="s">
        <v>3313</v>
      </c>
      <c r="D880" s="154">
        <v>0</v>
      </c>
      <c r="E880" s="154">
        <v>13489236</v>
      </c>
      <c r="F880" s="154">
        <v>15394791.6666667</v>
      </c>
      <c r="G880" s="154">
        <v>15394791.6666667</v>
      </c>
      <c r="H880" s="154">
        <v>15394791.6666667</v>
      </c>
      <c r="I880" s="154">
        <v>15394791.6666667</v>
      </c>
      <c r="J880" s="154">
        <v>15394791.6666667</v>
      </c>
      <c r="K880" s="154">
        <v>14813541.6666667</v>
      </c>
      <c r="L880" s="154">
        <v>14426041.6666667</v>
      </c>
      <c r="M880" s="154">
        <v>14426041.6666667</v>
      </c>
      <c r="N880" s="154">
        <v>14426041.6666667</v>
      </c>
      <c r="O880" s="154">
        <v>14426041.6666667</v>
      </c>
      <c r="P880" s="154">
        <v>14426041.6666667</v>
      </c>
      <c r="Q880" s="78">
        <f t="shared" si="13"/>
        <v>177406944.33333367</v>
      </c>
    </row>
    <row r="881" spans="1:17" x14ac:dyDescent="0.3">
      <c r="A881" s="154" t="s">
        <v>162</v>
      </c>
      <c r="B881" s="154" t="s">
        <v>3314</v>
      </c>
      <c r="C881" s="154" t="s">
        <v>3315</v>
      </c>
      <c r="D881" s="154">
        <v>0</v>
      </c>
      <c r="E881" s="154">
        <v>51905.03</v>
      </c>
      <c r="F881" s="154">
        <v>101905.03</v>
      </c>
      <c r="G881" s="154">
        <v>101905.03</v>
      </c>
      <c r="H881" s="154">
        <v>101905.03</v>
      </c>
      <c r="I881" s="154">
        <v>101905.03</v>
      </c>
      <c r="J881" s="154">
        <v>101905.03</v>
      </c>
      <c r="K881" s="154">
        <v>97139.28</v>
      </c>
      <c r="L881" s="154">
        <v>97139.28</v>
      </c>
      <c r="M881" s="154">
        <v>97139.28</v>
      </c>
      <c r="N881" s="154">
        <v>97139.28</v>
      </c>
      <c r="O881" s="154">
        <v>97139.28</v>
      </c>
      <c r="P881" s="154">
        <v>97139.28</v>
      </c>
      <c r="Q881" s="78">
        <f t="shared" si="13"/>
        <v>1144265.8600000001</v>
      </c>
    </row>
    <row r="882" spans="1:17" x14ac:dyDescent="0.3">
      <c r="A882" s="154" t="s">
        <v>162</v>
      </c>
      <c r="B882" s="154" t="s">
        <v>3316</v>
      </c>
      <c r="C882" s="154" t="s">
        <v>3317</v>
      </c>
      <c r="D882" s="154">
        <v>0</v>
      </c>
      <c r="E882" s="154">
        <v>197775.1</v>
      </c>
      <c r="F882" s="154">
        <v>231108.43</v>
      </c>
      <c r="G882" s="154">
        <v>231108.43</v>
      </c>
      <c r="H882" s="154">
        <v>231108.43</v>
      </c>
      <c r="I882" s="154">
        <v>231108.43</v>
      </c>
      <c r="J882" s="154">
        <v>231108.43</v>
      </c>
      <c r="K882" s="154">
        <v>231108.43</v>
      </c>
      <c r="L882" s="154">
        <v>167828.47</v>
      </c>
      <c r="M882" s="154">
        <v>167828.47</v>
      </c>
      <c r="N882" s="154">
        <v>167828.47</v>
      </c>
      <c r="O882" s="154">
        <v>167828.47</v>
      </c>
      <c r="P882" s="154">
        <v>167828.47</v>
      </c>
      <c r="Q882" s="78">
        <f t="shared" si="13"/>
        <v>2423568.0299999998</v>
      </c>
    </row>
    <row r="883" spans="1:17" x14ac:dyDescent="0.3">
      <c r="A883" s="154" t="s">
        <v>162</v>
      </c>
      <c r="B883" s="154" t="s">
        <v>3318</v>
      </c>
      <c r="C883" s="154" t="s">
        <v>3319</v>
      </c>
      <c r="D883" s="154">
        <v>0</v>
      </c>
      <c r="E883" s="154">
        <v>0</v>
      </c>
      <c r="F883" s="154">
        <v>0</v>
      </c>
      <c r="G883" s="154">
        <v>0</v>
      </c>
      <c r="H883" s="154">
        <v>0</v>
      </c>
      <c r="I883" s="154">
        <v>0</v>
      </c>
      <c r="J883" s="154">
        <v>0</v>
      </c>
      <c r="K883" s="154">
        <v>0</v>
      </c>
      <c r="L883" s="154">
        <v>0</v>
      </c>
      <c r="M883" s="154">
        <v>-9915</v>
      </c>
      <c r="N883" s="154">
        <v>-63372</v>
      </c>
      <c r="O883" s="154">
        <v>-98729</v>
      </c>
      <c r="P883" s="154">
        <v>-111609</v>
      </c>
      <c r="Q883" s="78">
        <f t="shared" si="13"/>
        <v>-283625</v>
      </c>
    </row>
    <row r="884" spans="1:17" x14ac:dyDescent="0.3">
      <c r="A884" s="154" t="s">
        <v>162</v>
      </c>
      <c r="B884" s="154" t="s">
        <v>3320</v>
      </c>
      <c r="C884" s="154" t="s">
        <v>3321</v>
      </c>
      <c r="D884" s="154">
        <v>0</v>
      </c>
      <c r="E884" s="154">
        <v>-34190</v>
      </c>
      <c r="F884" s="154">
        <v>-30129</v>
      </c>
      <c r="G884" s="154">
        <v>-25827</v>
      </c>
      <c r="H884" s="154">
        <v>-20459</v>
      </c>
      <c r="I884" s="154">
        <v>-16354</v>
      </c>
      <c r="J884" s="154">
        <v>-14982</v>
      </c>
      <c r="K884" s="154">
        <v>-13245</v>
      </c>
      <c r="L884" s="154">
        <v>-11451</v>
      </c>
      <c r="M884" s="154">
        <v>-10975</v>
      </c>
      <c r="N884" s="154">
        <v>-9916</v>
      </c>
      <c r="O884" s="154">
        <v>-7831</v>
      </c>
      <c r="P884" s="154">
        <v>-5009</v>
      </c>
      <c r="Q884" s="78">
        <f t="shared" si="13"/>
        <v>-200368</v>
      </c>
    </row>
    <row r="885" spans="1:17" x14ac:dyDescent="0.3">
      <c r="A885" s="154" t="s">
        <v>162</v>
      </c>
      <c r="B885" s="154" t="s">
        <v>3322</v>
      </c>
      <c r="C885" s="154" t="s">
        <v>3323</v>
      </c>
      <c r="D885" s="154">
        <v>0</v>
      </c>
      <c r="E885" s="154">
        <v>-45739</v>
      </c>
      <c r="F885" s="154">
        <v>-43208</v>
      </c>
      <c r="G885" s="154">
        <v>-41518</v>
      </c>
      <c r="H885" s="154">
        <v>-38600</v>
      </c>
      <c r="I885" s="154">
        <v>-35915</v>
      </c>
      <c r="J885" s="154">
        <v>-35166</v>
      </c>
      <c r="K885" s="154">
        <v>-33552</v>
      </c>
      <c r="L885" s="154">
        <v>-32218</v>
      </c>
      <c r="M885" s="154">
        <v>-32351</v>
      </c>
      <c r="N885" s="154">
        <v>-31078</v>
      </c>
      <c r="O885" s="154">
        <v>-29217</v>
      </c>
      <c r="P885" s="154">
        <v>-27907</v>
      </c>
      <c r="Q885" s="78">
        <f t="shared" si="13"/>
        <v>-426469</v>
      </c>
    </row>
    <row r="886" spans="1:17" x14ac:dyDescent="0.3">
      <c r="A886" s="154" t="s">
        <v>162</v>
      </c>
      <c r="B886" s="154" t="s">
        <v>3324</v>
      </c>
      <c r="C886" s="154" t="s">
        <v>3325</v>
      </c>
      <c r="D886" s="154">
        <v>0</v>
      </c>
      <c r="E886" s="154">
        <v>0</v>
      </c>
      <c r="F886" s="154">
        <v>0</v>
      </c>
      <c r="G886" s="154">
        <v>0</v>
      </c>
      <c r="H886" s="154">
        <v>0</v>
      </c>
      <c r="I886" s="154">
        <v>0</v>
      </c>
      <c r="J886" s="154">
        <v>0</v>
      </c>
      <c r="K886" s="154">
        <v>0</v>
      </c>
      <c r="L886" s="154">
        <v>-4092</v>
      </c>
      <c r="M886" s="154">
        <v>-10049</v>
      </c>
      <c r="N886" s="154">
        <v>-13527</v>
      </c>
      <c r="O886" s="154">
        <v>-12308</v>
      </c>
      <c r="P886" s="154">
        <v>-8231</v>
      </c>
      <c r="Q886" s="78">
        <f t="shared" si="13"/>
        <v>-48207</v>
      </c>
    </row>
    <row r="887" spans="1:17" x14ac:dyDescent="0.3">
      <c r="A887" s="154" t="s">
        <v>162</v>
      </c>
      <c r="B887" s="154" t="s">
        <v>3326</v>
      </c>
      <c r="C887" s="154" t="s">
        <v>3327</v>
      </c>
      <c r="D887" s="154">
        <v>0</v>
      </c>
      <c r="E887" s="154">
        <v>-18664.28</v>
      </c>
      <c r="F887" s="154">
        <v>-18570.77</v>
      </c>
      <c r="G887" s="154">
        <v>-18893.12</v>
      </c>
      <c r="H887" s="154">
        <v>-18674.580000000002</v>
      </c>
      <c r="I887" s="154">
        <v>-18410.22</v>
      </c>
      <c r="J887" s="154">
        <v>-18767.96</v>
      </c>
      <c r="K887" s="154">
        <v>-18342.66</v>
      </c>
      <c r="L887" s="154">
        <v>-17938.650000000001</v>
      </c>
      <c r="M887" s="154">
        <v>-18301.2</v>
      </c>
      <c r="N887" s="154">
        <v>-17991.830000000002</v>
      </c>
      <c r="O887" s="154">
        <v>-17675.28</v>
      </c>
      <c r="P887" s="154">
        <v>-17942.21</v>
      </c>
      <c r="Q887" s="78">
        <f t="shared" si="13"/>
        <v>-220172.76</v>
      </c>
    </row>
    <row r="888" spans="1:17" x14ac:dyDescent="0.3">
      <c r="A888" s="154" t="s">
        <v>162</v>
      </c>
      <c r="B888" s="154" t="s">
        <v>3328</v>
      </c>
      <c r="C888" s="154" t="s">
        <v>3329</v>
      </c>
      <c r="D888" s="154">
        <v>0</v>
      </c>
      <c r="E888" s="154">
        <v>0</v>
      </c>
      <c r="F888" s="154">
        <v>0</v>
      </c>
      <c r="G888" s="154">
        <v>100000</v>
      </c>
      <c r="H888" s="154">
        <v>0</v>
      </c>
      <c r="I888" s="154">
        <v>0</v>
      </c>
      <c r="J888" s="154">
        <v>0</v>
      </c>
      <c r="K888" s="154">
        <v>0</v>
      </c>
      <c r="L888" s="154">
        <v>0</v>
      </c>
      <c r="M888" s="154">
        <v>0</v>
      </c>
      <c r="N888" s="154">
        <v>0</v>
      </c>
      <c r="O888" s="154">
        <v>0</v>
      </c>
      <c r="P888" s="154">
        <v>0</v>
      </c>
      <c r="Q888" s="78">
        <f t="shared" si="13"/>
        <v>100000</v>
      </c>
    </row>
  </sheetData>
  <dataValidations count="1">
    <dataValidation type="list" allowBlank="1" showInputMessage="1" showErrorMessage="1" sqref="C6" xr:uid="{1CFB83CE-F0E0-4861-88BD-8664DA83567B}">
      <formula1>$G$1:$G$3</formula1>
    </dataValidation>
  </dataValidations>
  <pageMargins left="0.7" right="0.7" top="0.75" bottom="0.75" header="0.3" footer="0.3"/>
  <customProperties>
    <customPr name="_pios_id" r:id="rId1"/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3" r:id="rId5" name="Drop Down 3">
              <controlPr locked="0" defaultSize="0" autoLine="0" autoPict="0">
                <anchor moveWithCells="1">
                  <from>
                    <xdr:col>3</xdr:col>
                    <xdr:colOff>38100</xdr:colOff>
                    <xdr:row>7</xdr:row>
                    <xdr:rowOff>22860</xdr:rowOff>
                  </from>
                  <to>
                    <xdr:col>5</xdr:col>
                    <xdr:colOff>236220</xdr:colOff>
                    <xdr:row>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6" name="Drop Down 4">
              <controlPr locked="0" defaultSize="0" autoLine="0" autoPict="0">
                <anchor moveWithCells="1">
                  <from>
                    <xdr:col>3</xdr:col>
                    <xdr:colOff>30480</xdr:colOff>
                    <xdr:row>1</xdr:row>
                    <xdr:rowOff>373380</xdr:rowOff>
                  </from>
                  <to>
                    <xdr:col>5</xdr:col>
                    <xdr:colOff>251460</xdr:colOff>
                    <xdr:row>2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53094-2789-43CD-9B55-8E102F1C2A17}">
  <sheetPr>
    <tabColor rgb="FF92D050"/>
  </sheetPr>
  <dimension ref="A1:Q574"/>
  <sheetViews>
    <sheetView workbookViewId="0">
      <selection activeCell="E28" sqref="E28"/>
    </sheetView>
  </sheetViews>
  <sheetFormatPr defaultRowHeight="14.4" x14ac:dyDescent="0.3"/>
  <cols>
    <col min="1" max="1" width="15.88671875" customWidth="1"/>
    <col min="2" max="2" width="15.33203125" customWidth="1"/>
    <col min="3" max="3" width="49.44140625" bestFit="1" customWidth="1"/>
    <col min="4" max="4" width="18" customWidth="1"/>
    <col min="5" max="5" width="21.33203125" customWidth="1"/>
    <col min="6" max="17" width="20.6640625" bestFit="1" customWidth="1"/>
  </cols>
  <sheetData>
    <row r="1" spans="1:17" ht="15" thickBot="1" x14ac:dyDescent="0.35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</row>
    <row r="2" spans="1:17" ht="15" thickBot="1" x14ac:dyDescent="0.35">
      <c r="A2" s="154"/>
      <c r="B2" s="155" t="s">
        <v>1592</v>
      </c>
      <c r="C2" s="203" t="s">
        <v>1593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</row>
    <row r="3" spans="1:17" ht="16.2" thickBot="1" x14ac:dyDescent="0.45">
      <c r="A3" s="154"/>
      <c r="B3" s="157" t="s">
        <v>132</v>
      </c>
      <c r="C3" s="156" t="s">
        <v>1094</v>
      </c>
      <c r="D3" s="158" t="s">
        <v>1594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</row>
    <row r="4" spans="1:17" ht="16.2" thickBot="1" x14ac:dyDescent="0.45">
      <c r="A4" s="154"/>
      <c r="B4" s="157" t="s">
        <v>134</v>
      </c>
      <c r="C4" s="156" t="s">
        <v>135</v>
      </c>
      <c r="D4" s="158" t="s">
        <v>1595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</row>
    <row r="5" spans="1:17" ht="16.2" thickBot="1" x14ac:dyDescent="0.45">
      <c r="A5" s="154"/>
      <c r="B5" s="157" t="s">
        <v>136</v>
      </c>
      <c r="C5" s="156" t="s">
        <v>1095</v>
      </c>
      <c r="D5" s="158" t="s">
        <v>3330</v>
      </c>
      <c r="E5" s="154"/>
      <c r="F5" s="154"/>
      <c r="G5" s="154"/>
      <c r="H5" s="154"/>
      <c r="I5" s="159"/>
      <c r="J5" s="154"/>
      <c r="K5" s="154"/>
      <c r="L5" s="154"/>
      <c r="M5" s="154"/>
      <c r="N5" s="154"/>
      <c r="O5" s="154"/>
      <c r="P5" s="154"/>
      <c r="Q5" s="154"/>
    </row>
    <row r="6" spans="1:17" ht="15" thickBot="1" x14ac:dyDescent="0.35">
      <c r="A6" s="154"/>
      <c r="B6" s="160" t="s">
        <v>1596</v>
      </c>
      <c r="C6" s="204" t="s">
        <v>1597</v>
      </c>
      <c r="D6" s="154"/>
      <c r="E6" s="154"/>
      <c r="F6" s="161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</row>
    <row r="7" spans="1:17" ht="21.6" thickBot="1" x14ac:dyDescent="0.55000000000000004">
      <c r="A7" s="162"/>
      <c r="B7" s="163"/>
      <c r="C7" s="164" t="s">
        <v>1595</v>
      </c>
      <c r="D7" s="162"/>
      <c r="E7" s="162"/>
      <c r="F7" s="165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</row>
    <row r="8" spans="1:17" x14ac:dyDescent="0.3">
      <c r="A8" s="166"/>
      <c r="B8" s="167"/>
      <c r="C8" s="168"/>
      <c r="D8" s="154"/>
      <c r="E8" s="169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</row>
    <row r="9" spans="1:17" ht="25.2" x14ac:dyDescent="0.4">
      <c r="A9" s="170" t="s">
        <v>1599</v>
      </c>
      <c r="B9" s="171"/>
      <c r="C9" s="172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</row>
    <row r="10" spans="1:17" ht="15" thickBot="1" x14ac:dyDescent="0.35">
      <c r="A10" s="173"/>
      <c r="B10" s="174"/>
      <c r="C10" s="175"/>
      <c r="D10" s="154"/>
      <c r="E10" s="176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</row>
    <row r="11" spans="1:17" x14ac:dyDescent="0.3">
      <c r="A11" s="154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</row>
    <row r="12" spans="1:17" ht="15" x14ac:dyDescent="0.3">
      <c r="A12" s="71" t="s">
        <v>141</v>
      </c>
      <c r="B12" s="71"/>
      <c r="C12" s="71"/>
      <c r="D12" s="72" t="s">
        <v>1601</v>
      </c>
      <c r="E12" s="73" t="s">
        <v>1594</v>
      </c>
      <c r="F12" s="73" t="s">
        <v>1594</v>
      </c>
      <c r="G12" s="73" t="s">
        <v>1594</v>
      </c>
      <c r="H12" s="73" t="s">
        <v>1594</v>
      </c>
      <c r="I12" s="73" t="s">
        <v>1594</v>
      </c>
      <c r="J12" s="73" t="s">
        <v>1594</v>
      </c>
      <c r="K12" s="73" t="s">
        <v>1594</v>
      </c>
      <c r="L12" s="73" t="s">
        <v>1594</v>
      </c>
      <c r="M12" s="73" t="s">
        <v>1594</v>
      </c>
      <c r="N12" s="73" t="s">
        <v>1594</v>
      </c>
      <c r="O12" s="73" t="s">
        <v>1594</v>
      </c>
      <c r="P12" s="73" t="s">
        <v>1594</v>
      </c>
      <c r="Q12" s="73" t="s">
        <v>1594</v>
      </c>
    </row>
    <row r="13" spans="1:17" ht="17.399999999999999" x14ac:dyDescent="0.3">
      <c r="A13" s="74" t="s">
        <v>144</v>
      </c>
      <c r="B13" s="75" t="s">
        <v>146</v>
      </c>
      <c r="C13" s="75" t="s">
        <v>147</v>
      </c>
      <c r="D13" s="76" t="s">
        <v>3331</v>
      </c>
      <c r="E13" s="77" t="s">
        <v>3332</v>
      </c>
      <c r="F13" s="77" t="s">
        <v>3333</v>
      </c>
      <c r="G13" s="77" t="s">
        <v>3334</v>
      </c>
      <c r="H13" s="77" t="s">
        <v>3335</v>
      </c>
      <c r="I13" s="77" t="s">
        <v>3336</v>
      </c>
      <c r="J13" s="77" t="s">
        <v>3337</v>
      </c>
      <c r="K13" s="77" t="s">
        <v>3338</v>
      </c>
      <c r="L13" s="77" t="s">
        <v>3339</v>
      </c>
      <c r="M13" s="77" t="s">
        <v>3340</v>
      </c>
      <c r="N13" s="77" t="s">
        <v>3341</v>
      </c>
      <c r="O13" s="77" t="s">
        <v>3342</v>
      </c>
      <c r="P13" s="77" t="s">
        <v>3343</v>
      </c>
      <c r="Q13" s="77" t="s">
        <v>3330</v>
      </c>
    </row>
    <row r="14" spans="1:17" x14ac:dyDescent="0.3">
      <c r="A14" s="177" t="s">
        <v>162</v>
      </c>
      <c r="B14" s="177" t="s">
        <v>1603</v>
      </c>
      <c r="C14" s="78" t="s">
        <v>165</v>
      </c>
      <c r="D14" s="78">
        <v>0</v>
      </c>
      <c r="E14" s="78">
        <v>11571960811.700001</v>
      </c>
      <c r="F14" s="78">
        <v>11646604827.530001</v>
      </c>
      <c r="G14" s="78">
        <v>11699312509.530001</v>
      </c>
      <c r="H14" s="78">
        <v>11931074032.540001</v>
      </c>
      <c r="I14" s="78">
        <v>12227843933.66</v>
      </c>
      <c r="J14" s="78">
        <v>12620506628.41</v>
      </c>
      <c r="K14" s="78">
        <v>12677288185.309999</v>
      </c>
      <c r="L14" s="78">
        <v>12742732677.700001</v>
      </c>
      <c r="M14" s="78">
        <v>12812126338.200001</v>
      </c>
      <c r="N14" s="78">
        <v>12880285225.1</v>
      </c>
      <c r="O14" s="78">
        <v>12922495913.620001</v>
      </c>
      <c r="P14" s="78">
        <v>13336395117.290001</v>
      </c>
      <c r="Q14" s="78">
        <f>SUM(D14:P14)</f>
        <v>149068626200.59</v>
      </c>
    </row>
    <row r="15" spans="1:17" x14ac:dyDescent="0.3">
      <c r="A15" s="177" t="s">
        <v>162</v>
      </c>
      <c r="B15" s="177" t="s">
        <v>1604</v>
      </c>
      <c r="C15" s="78" t="s">
        <v>167</v>
      </c>
      <c r="D15" s="78">
        <v>0</v>
      </c>
      <c r="E15" s="78">
        <v>2988279.7867786</v>
      </c>
      <c r="F15" s="78">
        <v>2950453.4603637001</v>
      </c>
      <c r="G15" s="78">
        <v>2912627.1339487</v>
      </c>
      <c r="H15" s="78">
        <v>2874800.8075338001</v>
      </c>
      <c r="I15" s="78">
        <v>2836974.4811188998</v>
      </c>
      <c r="J15" s="78">
        <v>2799148.1547039999</v>
      </c>
      <c r="K15" s="78">
        <v>2761321.8282891</v>
      </c>
      <c r="L15" s="78">
        <v>2723495.5018741</v>
      </c>
      <c r="M15" s="78">
        <v>2685669.1754592001</v>
      </c>
      <c r="N15" s="78">
        <v>2647842.8490443002</v>
      </c>
      <c r="O15" s="78">
        <v>2610016.5226293998</v>
      </c>
      <c r="P15" s="78">
        <v>2572190.1962144999</v>
      </c>
      <c r="Q15" s="78">
        <f t="shared" ref="Q15:Q78" si="0">SUM(D15:P15)</f>
        <v>33362819.897958301</v>
      </c>
    </row>
    <row r="16" spans="1:17" x14ac:dyDescent="0.3">
      <c r="A16" s="177" t="s">
        <v>162</v>
      </c>
      <c r="B16" s="177" t="s">
        <v>1605</v>
      </c>
      <c r="C16" s="78" t="s">
        <v>1606</v>
      </c>
      <c r="D16" s="78">
        <v>0</v>
      </c>
      <c r="E16" s="78">
        <v>29534072.86668</v>
      </c>
      <c r="F16" s="78">
        <v>29354087.584319402</v>
      </c>
      <c r="G16" s="78">
        <v>29173654.922334101</v>
      </c>
      <c r="H16" s="78">
        <v>28992773.557698399</v>
      </c>
      <c r="I16" s="78">
        <v>28811442.1636394</v>
      </c>
      <c r="J16" s="78">
        <v>28629659.409627501</v>
      </c>
      <c r="K16" s="78">
        <v>28447423.9613663</v>
      </c>
      <c r="L16" s="78">
        <v>28264731.212916698</v>
      </c>
      <c r="M16" s="78">
        <v>28081579.8102738</v>
      </c>
      <c r="N16" s="78">
        <v>28051569.831023701</v>
      </c>
      <c r="O16" s="78">
        <v>28021631.002749201</v>
      </c>
      <c r="P16" s="78">
        <v>27991763.655094799</v>
      </c>
      <c r="Q16" s="78">
        <f t="shared" si="0"/>
        <v>343354389.9777233</v>
      </c>
    </row>
    <row r="17" spans="1:17" x14ac:dyDescent="0.3">
      <c r="A17" s="177" t="s">
        <v>162</v>
      </c>
      <c r="B17" s="177" t="s">
        <v>1608</v>
      </c>
      <c r="C17" s="78" t="s">
        <v>177</v>
      </c>
      <c r="D17" s="78">
        <v>0</v>
      </c>
      <c r="E17" s="78">
        <v>64262399.530000001</v>
      </c>
      <c r="F17" s="78">
        <v>70262399.530000001</v>
      </c>
      <c r="G17" s="78">
        <v>70262399.530000001</v>
      </c>
      <c r="H17" s="78">
        <v>70262399.530000001</v>
      </c>
      <c r="I17" s="78">
        <v>70262399.530000001</v>
      </c>
      <c r="J17" s="78">
        <v>70264952.269999996</v>
      </c>
      <c r="K17" s="78">
        <v>70264952.269999996</v>
      </c>
      <c r="L17" s="78">
        <v>70264952.269999996</v>
      </c>
      <c r="M17" s="78">
        <v>70764952.269999996</v>
      </c>
      <c r="N17" s="78">
        <v>70764952.269999996</v>
      </c>
      <c r="O17" s="78">
        <v>70764952.269999996</v>
      </c>
      <c r="P17" s="78">
        <v>70764952.269999996</v>
      </c>
      <c r="Q17" s="78">
        <f t="shared" si="0"/>
        <v>839166663.53999984</v>
      </c>
    </row>
    <row r="18" spans="1:17" x14ac:dyDescent="0.3">
      <c r="A18" s="177" t="s">
        <v>162</v>
      </c>
      <c r="B18" s="177" t="s">
        <v>1609</v>
      </c>
      <c r="C18" s="78" t="s">
        <v>1610</v>
      </c>
      <c r="D18" s="78">
        <v>0</v>
      </c>
      <c r="E18" s="78">
        <v>2078381704.5999999</v>
      </c>
      <c r="F18" s="78">
        <v>2078381704.5999999</v>
      </c>
      <c r="G18" s="78">
        <v>2078381704.5999999</v>
      </c>
      <c r="H18" s="78">
        <v>2078381704.5999999</v>
      </c>
      <c r="I18" s="78">
        <v>2078381704.5999999</v>
      </c>
      <c r="J18" s="78">
        <v>2078381704.5999999</v>
      </c>
      <c r="K18" s="78">
        <v>2078381704.5999999</v>
      </c>
      <c r="L18" s="78">
        <v>2078381704.5999999</v>
      </c>
      <c r="M18" s="78">
        <v>2078381704.5999999</v>
      </c>
      <c r="N18" s="78">
        <v>2078381704.5999999</v>
      </c>
      <c r="O18" s="78">
        <v>2078381704.5999999</v>
      </c>
      <c r="P18" s="78">
        <v>2078381704.5999999</v>
      </c>
      <c r="Q18" s="78">
        <f t="shared" si="0"/>
        <v>24940580455.199997</v>
      </c>
    </row>
    <row r="19" spans="1:17" x14ac:dyDescent="0.3">
      <c r="A19" s="177" t="s">
        <v>162</v>
      </c>
      <c r="B19" s="177" t="s">
        <v>1611</v>
      </c>
      <c r="C19" s="78" t="s">
        <v>183</v>
      </c>
      <c r="D19" s="78">
        <v>0</v>
      </c>
      <c r="E19" s="78">
        <v>1214318497.9300001</v>
      </c>
      <c r="F19" s="78">
        <v>1262739751.25</v>
      </c>
      <c r="G19" s="78">
        <v>1343231884.01</v>
      </c>
      <c r="H19" s="78">
        <v>1234133481.72</v>
      </c>
      <c r="I19" s="78">
        <v>1049240158.98</v>
      </c>
      <c r="J19" s="78">
        <v>826404685.28999996</v>
      </c>
      <c r="K19" s="78">
        <v>945656796.55999994</v>
      </c>
      <c r="L19" s="78">
        <v>974098326.90999997</v>
      </c>
      <c r="M19" s="78">
        <v>989658225.41999996</v>
      </c>
      <c r="N19" s="78">
        <v>996139255.25</v>
      </c>
      <c r="O19" s="78">
        <v>1026714721.87</v>
      </c>
      <c r="P19" s="78">
        <v>711966473.15999997</v>
      </c>
      <c r="Q19" s="78">
        <f t="shared" si="0"/>
        <v>12574302258.350002</v>
      </c>
    </row>
    <row r="20" spans="1:17" x14ac:dyDescent="0.3">
      <c r="A20" s="177" t="s">
        <v>162</v>
      </c>
      <c r="B20" s="177" t="s">
        <v>1612</v>
      </c>
      <c r="C20" s="78" t="s">
        <v>185</v>
      </c>
      <c r="D20" s="78">
        <v>0</v>
      </c>
      <c r="E20" s="78">
        <v>-3901814503.3800001</v>
      </c>
      <c r="F20" s="78">
        <v>-3934662711.25</v>
      </c>
      <c r="G20" s="78">
        <v>-3964586259.8499999</v>
      </c>
      <c r="H20" s="78">
        <v>-3996514477.1500001</v>
      </c>
      <c r="I20" s="78">
        <v>-4010422068.1100001</v>
      </c>
      <c r="J20" s="78">
        <v>-4040873086.46</v>
      </c>
      <c r="K20" s="78">
        <v>-4073809842.1100001</v>
      </c>
      <c r="L20" s="78">
        <v>-4110298760.1700001</v>
      </c>
      <c r="M20" s="78">
        <v>-4143906842.7199998</v>
      </c>
      <c r="N20" s="78">
        <v>-4170968975.3499999</v>
      </c>
      <c r="O20" s="78">
        <v>-4205274220.9200001</v>
      </c>
      <c r="P20" s="78">
        <v>-4223419287.8600001</v>
      </c>
      <c r="Q20" s="78">
        <f t="shared" si="0"/>
        <v>-48776551035.329994</v>
      </c>
    </row>
    <row r="21" spans="1:17" x14ac:dyDescent="0.3">
      <c r="A21" s="177" t="s">
        <v>162</v>
      </c>
      <c r="B21" s="177" t="s">
        <v>1613</v>
      </c>
      <c r="C21" s="78" t="s">
        <v>1614</v>
      </c>
      <c r="D21" s="78">
        <v>0</v>
      </c>
      <c r="E21" s="78">
        <v>80078525.709999993</v>
      </c>
      <c r="F21" s="78">
        <v>80078525.709999993</v>
      </c>
      <c r="G21" s="78">
        <v>80078525.709999993</v>
      </c>
      <c r="H21" s="78">
        <v>80078525.709999993</v>
      </c>
      <c r="I21" s="78">
        <v>80078525.709999993</v>
      </c>
      <c r="J21" s="78">
        <v>80078525.709999993</v>
      </c>
      <c r="K21" s="78">
        <v>80078525.709999993</v>
      </c>
      <c r="L21" s="78">
        <v>80078525.709999993</v>
      </c>
      <c r="M21" s="78">
        <v>80078525.709999993</v>
      </c>
      <c r="N21" s="78">
        <v>80078525.709999993</v>
      </c>
      <c r="O21" s="78">
        <v>80078525.709999993</v>
      </c>
      <c r="P21" s="78">
        <v>80078525.709999993</v>
      </c>
      <c r="Q21" s="78">
        <f t="shared" si="0"/>
        <v>960942308.5200001</v>
      </c>
    </row>
    <row r="22" spans="1:17" x14ac:dyDescent="0.3">
      <c r="A22" s="177" t="s">
        <v>162</v>
      </c>
      <c r="B22" s="177" t="s">
        <v>1615</v>
      </c>
      <c r="C22" s="78" t="s">
        <v>1616</v>
      </c>
      <c r="D22" s="78">
        <v>0</v>
      </c>
      <c r="E22" s="78">
        <v>13265179.41</v>
      </c>
      <c r="F22" s="78">
        <v>13243070.779999999</v>
      </c>
      <c r="G22" s="78">
        <v>13220999</v>
      </c>
      <c r="H22" s="78">
        <v>13198964</v>
      </c>
      <c r="I22" s="78">
        <v>13176965.73</v>
      </c>
      <c r="J22" s="78">
        <v>13155004.119999999</v>
      </c>
      <c r="K22" s="78">
        <v>13133079.109999999</v>
      </c>
      <c r="L22" s="78">
        <v>13111190.640000001</v>
      </c>
      <c r="M22" s="78">
        <v>13089338.66</v>
      </c>
      <c r="N22" s="78">
        <v>13067523.1</v>
      </c>
      <c r="O22" s="78">
        <v>13045743.890000001</v>
      </c>
      <c r="P22" s="78">
        <v>13024000.98</v>
      </c>
      <c r="Q22" s="78">
        <f t="shared" si="0"/>
        <v>157731059.41999999</v>
      </c>
    </row>
    <row r="23" spans="1:17" x14ac:dyDescent="0.3">
      <c r="A23" s="177" t="s">
        <v>162</v>
      </c>
      <c r="B23" s="177" t="s">
        <v>1617</v>
      </c>
      <c r="C23" s="78" t="s">
        <v>1618</v>
      </c>
      <c r="D23" s="78">
        <v>0</v>
      </c>
      <c r="E23" s="78">
        <v>13265179.41</v>
      </c>
      <c r="F23" s="78">
        <v>13243070.779999999</v>
      </c>
      <c r="G23" s="78">
        <v>13220999</v>
      </c>
      <c r="H23" s="78">
        <v>13198964</v>
      </c>
      <c r="I23" s="78">
        <v>13176965.73</v>
      </c>
      <c r="J23" s="78">
        <v>13155004.119999999</v>
      </c>
      <c r="K23" s="78">
        <v>13133079.109999999</v>
      </c>
      <c r="L23" s="78">
        <v>13111190.640000001</v>
      </c>
      <c r="M23" s="78">
        <v>13089338.66</v>
      </c>
      <c r="N23" s="78">
        <v>13067523.1</v>
      </c>
      <c r="O23" s="78">
        <v>13045743.890000001</v>
      </c>
      <c r="P23" s="78">
        <v>13024000.98</v>
      </c>
      <c r="Q23" s="78">
        <f t="shared" si="0"/>
        <v>157731059.41999999</v>
      </c>
    </row>
    <row r="24" spans="1:17" x14ac:dyDescent="0.3">
      <c r="A24" s="177" t="s">
        <v>162</v>
      </c>
      <c r="B24" s="177" t="s">
        <v>1619</v>
      </c>
      <c r="C24" s="78" t="s">
        <v>1620</v>
      </c>
      <c r="D24" s="78">
        <v>0</v>
      </c>
      <c r="E24" s="78">
        <v>252038408.46000001</v>
      </c>
      <c r="F24" s="78">
        <v>251618344.44999999</v>
      </c>
      <c r="G24" s="78">
        <v>251198980.53999999</v>
      </c>
      <c r="H24" s="78">
        <v>250780315.56999999</v>
      </c>
      <c r="I24" s="78">
        <v>250362348.38</v>
      </c>
      <c r="J24" s="78">
        <v>249945077.80000001</v>
      </c>
      <c r="K24" s="78">
        <v>249528502.66999999</v>
      </c>
      <c r="L24" s="78">
        <v>249112621.83000001</v>
      </c>
      <c r="M24" s="78">
        <v>248697434.13</v>
      </c>
      <c r="N24" s="78">
        <v>248282938.41</v>
      </c>
      <c r="O24" s="78">
        <v>247869133.50999999</v>
      </c>
      <c r="P24" s="78">
        <v>247456018.28999999</v>
      </c>
      <c r="Q24" s="78">
        <f t="shared" si="0"/>
        <v>2996890124.04</v>
      </c>
    </row>
    <row r="25" spans="1:17" x14ac:dyDescent="0.3">
      <c r="A25" s="177" t="s">
        <v>162</v>
      </c>
      <c r="B25" s="177" t="s">
        <v>1621</v>
      </c>
      <c r="C25" s="78" t="s">
        <v>1622</v>
      </c>
      <c r="D25" s="78">
        <v>0</v>
      </c>
      <c r="E25" s="78">
        <v>252038408.46000001</v>
      </c>
      <c r="F25" s="78">
        <v>251618344.44999999</v>
      </c>
      <c r="G25" s="78">
        <v>251198980.53999999</v>
      </c>
      <c r="H25" s="78">
        <v>250780315.56999999</v>
      </c>
      <c r="I25" s="78">
        <v>250362348.38</v>
      </c>
      <c r="J25" s="78">
        <v>249945077.80000001</v>
      </c>
      <c r="K25" s="78">
        <v>249528502.66999999</v>
      </c>
      <c r="L25" s="78">
        <v>249112621.83000001</v>
      </c>
      <c r="M25" s="78">
        <v>248697434.13</v>
      </c>
      <c r="N25" s="78">
        <v>248282938.41</v>
      </c>
      <c r="O25" s="78">
        <v>247869133.50999999</v>
      </c>
      <c r="P25" s="78">
        <v>247456018.28999999</v>
      </c>
      <c r="Q25" s="78">
        <f t="shared" si="0"/>
        <v>2996890124.04</v>
      </c>
    </row>
    <row r="26" spans="1:17" x14ac:dyDescent="0.3">
      <c r="A26" s="177" t="s">
        <v>162</v>
      </c>
      <c r="B26" s="177" t="s">
        <v>1623</v>
      </c>
      <c r="C26" s="78" t="s">
        <v>187</v>
      </c>
      <c r="D26" s="78">
        <v>0</v>
      </c>
      <c r="E26" s="78">
        <v>-176207753.63</v>
      </c>
      <c r="F26" s="78">
        <v>-179444675.59</v>
      </c>
      <c r="G26" s="78">
        <v>-182683910.24000001</v>
      </c>
      <c r="H26" s="78">
        <v>-185936065.91999999</v>
      </c>
      <c r="I26" s="78">
        <v>-189133203.63999999</v>
      </c>
      <c r="J26" s="78">
        <v>-192389054.81999999</v>
      </c>
      <c r="K26" s="78">
        <v>-195326725.13999999</v>
      </c>
      <c r="L26" s="78">
        <v>-198172591.03</v>
      </c>
      <c r="M26" s="78">
        <v>-201428782.78</v>
      </c>
      <c r="N26" s="78">
        <v>-204629874.08000001</v>
      </c>
      <c r="O26" s="78">
        <v>-208198853.63999999</v>
      </c>
      <c r="P26" s="78">
        <v>-211782127.44999999</v>
      </c>
      <c r="Q26" s="78">
        <f t="shared" si="0"/>
        <v>-2325333617.9599996</v>
      </c>
    </row>
    <row r="27" spans="1:17" x14ac:dyDescent="0.3">
      <c r="A27" s="177" t="s">
        <v>162</v>
      </c>
      <c r="B27" s="177" t="s">
        <v>1624</v>
      </c>
      <c r="C27" s="78" t="s">
        <v>189</v>
      </c>
      <c r="D27" s="78">
        <v>0</v>
      </c>
      <c r="E27" s="78">
        <v>7484822.7599999998</v>
      </c>
      <c r="F27" s="78">
        <v>7484822.7599999998</v>
      </c>
      <c r="G27" s="78">
        <v>7484822.7599999998</v>
      </c>
      <c r="H27" s="78">
        <v>7484822.7599999998</v>
      </c>
      <c r="I27" s="78">
        <v>7484822.7599999998</v>
      </c>
      <c r="J27" s="78">
        <v>7484822.7599999998</v>
      </c>
      <c r="K27" s="78">
        <v>7484822.7599999998</v>
      </c>
      <c r="L27" s="78">
        <v>7484822.7599999998</v>
      </c>
      <c r="M27" s="78">
        <v>7484822.7599999998</v>
      </c>
      <c r="N27" s="78">
        <v>7484822.7599999998</v>
      </c>
      <c r="O27" s="78">
        <v>7484822.7599999998</v>
      </c>
      <c r="P27" s="78">
        <v>7484822.7599999998</v>
      </c>
      <c r="Q27" s="78">
        <f t="shared" si="0"/>
        <v>89817873.120000005</v>
      </c>
    </row>
    <row r="28" spans="1:17" x14ac:dyDescent="0.3">
      <c r="A28" s="177" t="s">
        <v>162</v>
      </c>
      <c r="B28" s="177" t="s">
        <v>1625</v>
      </c>
      <c r="C28" s="78" t="s">
        <v>191</v>
      </c>
      <c r="D28" s="78">
        <v>0</v>
      </c>
      <c r="E28" s="78">
        <v>-6903091.9000000004</v>
      </c>
      <c r="F28" s="78">
        <v>-6922817.6299999999</v>
      </c>
      <c r="G28" s="78">
        <v>-6942543.3600000003</v>
      </c>
      <c r="H28" s="78">
        <v>-6962269.0899999999</v>
      </c>
      <c r="I28" s="78">
        <v>-6981994.8200000003</v>
      </c>
      <c r="J28" s="78">
        <v>-7001720.5499999998</v>
      </c>
      <c r="K28" s="78">
        <v>-7021446.2800000003</v>
      </c>
      <c r="L28" s="78">
        <v>-7041172.0099999998</v>
      </c>
      <c r="M28" s="78">
        <v>-7060897.7400000002</v>
      </c>
      <c r="N28" s="78">
        <v>-7080623.4699999997</v>
      </c>
      <c r="O28" s="78">
        <v>-7100349.2000000002</v>
      </c>
      <c r="P28" s="78">
        <v>-7120074.9299999997</v>
      </c>
      <c r="Q28" s="78">
        <f t="shared" si="0"/>
        <v>-84139000.979999989</v>
      </c>
    </row>
    <row r="29" spans="1:17" x14ac:dyDescent="0.3">
      <c r="A29" s="177" t="s">
        <v>162</v>
      </c>
      <c r="B29" s="177" t="s">
        <v>1626</v>
      </c>
      <c r="C29" s="78" t="s">
        <v>207</v>
      </c>
      <c r="D29" s="78">
        <v>0</v>
      </c>
      <c r="E29" s="78">
        <v>19820802.02</v>
      </c>
      <c r="F29" s="78">
        <v>19927119.289999999</v>
      </c>
      <c r="G29" s="78">
        <v>20031903.850000001</v>
      </c>
      <c r="H29" s="78">
        <v>20137239.289999999</v>
      </c>
      <c r="I29" s="78">
        <v>20227549.289999999</v>
      </c>
      <c r="J29" s="78">
        <v>20326458.16</v>
      </c>
      <c r="K29" s="78">
        <v>20316325.850000001</v>
      </c>
      <c r="L29" s="78">
        <v>20355693.02</v>
      </c>
      <c r="M29" s="78">
        <v>20440780.109999999</v>
      </c>
      <c r="N29" s="78">
        <v>20498974.719999999</v>
      </c>
      <c r="O29" s="78">
        <v>20620646.48</v>
      </c>
      <c r="P29" s="78">
        <v>20724960.789999999</v>
      </c>
      <c r="Q29" s="78">
        <f t="shared" si="0"/>
        <v>243428452.86999997</v>
      </c>
    </row>
    <row r="30" spans="1:17" x14ac:dyDescent="0.3">
      <c r="A30" s="177" t="s">
        <v>162</v>
      </c>
      <c r="B30" s="177" t="s">
        <v>1627</v>
      </c>
      <c r="C30" s="78" t="s">
        <v>1628</v>
      </c>
      <c r="D30" s="78">
        <v>0</v>
      </c>
      <c r="E30" s="78">
        <v>250000</v>
      </c>
      <c r="F30" s="78">
        <v>250000</v>
      </c>
      <c r="G30" s="78">
        <v>250000</v>
      </c>
      <c r="H30" s="78">
        <v>250000</v>
      </c>
      <c r="I30" s="78">
        <v>250000</v>
      </c>
      <c r="J30" s="78">
        <v>250000</v>
      </c>
      <c r="K30" s="78">
        <v>250000</v>
      </c>
      <c r="L30" s="78">
        <v>250000</v>
      </c>
      <c r="M30" s="78">
        <v>250000</v>
      </c>
      <c r="N30" s="78">
        <v>250000</v>
      </c>
      <c r="O30" s="78">
        <v>250000</v>
      </c>
      <c r="P30" s="78">
        <v>250000</v>
      </c>
      <c r="Q30" s="78">
        <f t="shared" si="0"/>
        <v>3000000</v>
      </c>
    </row>
    <row r="31" spans="1:17" x14ac:dyDescent="0.3">
      <c r="A31" s="177" t="s">
        <v>162</v>
      </c>
      <c r="B31" s="177" t="s">
        <v>1629</v>
      </c>
      <c r="C31" s="78" t="s">
        <v>1630</v>
      </c>
      <c r="D31" s="78">
        <v>0</v>
      </c>
      <c r="E31" s="78">
        <v>4145833.3333333</v>
      </c>
      <c r="F31" s="78">
        <v>4125000</v>
      </c>
      <c r="G31" s="78">
        <v>4104166.6666667</v>
      </c>
      <c r="H31" s="78">
        <v>4083333.3333333</v>
      </c>
      <c r="I31" s="78">
        <v>4062500</v>
      </c>
      <c r="J31" s="78">
        <v>4041666.6666667</v>
      </c>
      <c r="K31" s="78">
        <v>4020833.3333333</v>
      </c>
      <c r="L31" s="78">
        <v>4000000</v>
      </c>
      <c r="M31" s="78">
        <v>3979166.6666667</v>
      </c>
      <c r="N31" s="78">
        <v>3958333.3333333</v>
      </c>
      <c r="O31" s="78">
        <v>3937500</v>
      </c>
      <c r="P31" s="78">
        <v>3916666.6666667</v>
      </c>
      <c r="Q31" s="78">
        <f t="shared" si="0"/>
        <v>48375000</v>
      </c>
    </row>
    <row r="32" spans="1:17" x14ac:dyDescent="0.3">
      <c r="A32" s="177" t="s">
        <v>162</v>
      </c>
      <c r="B32" s="177" t="s">
        <v>1631</v>
      </c>
      <c r="C32" s="78" t="s">
        <v>209</v>
      </c>
      <c r="D32" s="78">
        <v>0</v>
      </c>
      <c r="E32" s="78">
        <v>-7928832.21</v>
      </c>
      <c r="F32" s="78">
        <v>-7994606.7699999996</v>
      </c>
      <c r="G32" s="78">
        <v>-8059442.2699999996</v>
      </c>
      <c r="H32" s="78">
        <v>-8125413.6600000001</v>
      </c>
      <c r="I32" s="78">
        <v>-8176947.7300000004</v>
      </c>
      <c r="J32" s="78">
        <v>-8237584.9000000004</v>
      </c>
      <c r="K32" s="78">
        <v>-8189733.1299999999</v>
      </c>
      <c r="L32" s="78">
        <v>-8191324.2699999996</v>
      </c>
      <c r="M32" s="78">
        <v>-8238855.1299999999</v>
      </c>
      <c r="N32" s="78">
        <v>-8259968.5800000001</v>
      </c>
      <c r="O32" s="78">
        <v>-8344884.0899999999</v>
      </c>
      <c r="P32" s="78">
        <v>-8408943.3000000007</v>
      </c>
      <c r="Q32" s="78">
        <f t="shared" si="0"/>
        <v>-98156536.039999992</v>
      </c>
    </row>
    <row r="33" spans="1:17" x14ac:dyDescent="0.3">
      <c r="A33" s="177" t="s">
        <v>162</v>
      </c>
      <c r="B33" s="177" t="s">
        <v>1640</v>
      </c>
      <c r="C33" s="78" t="s">
        <v>1641</v>
      </c>
      <c r="D33" s="78">
        <v>0</v>
      </c>
      <c r="E33" s="78">
        <v>1000000</v>
      </c>
      <c r="F33" s="78">
        <v>1000000</v>
      </c>
      <c r="G33" s="78">
        <v>1000000</v>
      </c>
      <c r="H33" s="78">
        <v>1000000</v>
      </c>
      <c r="I33" s="78">
        <v>1000000</v>
      </c>
      <c r="J33" s="78">
        <v>1000000</v>
      </c>
      <c r="K33" s="78">
        <v>1000000</v>
      </c>
      <c r="L33" s="78">
        <v>1000000</v>
      </c>
      <c r="M33" s="78">
        <v>1000000</v>
      </c>
      <c r="N33" s="78">
        <v>1000000</v>
      </c>
      <c r="O33" s="78">
        <v>1000000</v>
      </c>
      <c r="P33" s="78">
        <v>1000000</v>
      </c>
      <c r="Q33" s="78">
        <f t="shared" si="0"/>
        <v>12000000</v>
      </c>
    </row>
    <row r="34" spans="1:17" x14ac:dyDescent="0.3">
      <c r="A34" s="177" t="s">
        <v>162</v>
      </c>
      <c r="B34" s="177" t="s">
        <v>1642</v>
      </c>
      <c r="C34" s="78" t="s">
        <v>1643</v>
      </c>
      <c r="D34" s="78">
        <v>0</v>
      </c>
      <c r="E34" s="78">
        <v>52665.39</v>
      </c>
      <c r="F34" s="78">
        <v>52665.39</v>
      </c>
      <c r="G34" s="78">
        <v>52665.39</v>
      </c>
      <c r="H34" s="78">
        <v>52665.39</v>
      </c>
      <c r="I34" s="78">
        <v>52665.39</v>
      </c>
      <c r="J34" s="78">
        <v>52665.39</v>
      </c>
      <c r="K34" s="78">
        <v>52665.39</v>
      </c>
      <c r="L34" s="78">
        <v>52665.39</v>
      </c>
      <c r="M34" s="78">
        <v>52665.39</v>
      </c>
      <c r="N34" s="78">
        <v>52665.39</v>
      </c>
      <c r="O34" s="78">
        <v>52665.39</v>
      </c>
      <c r="P34" s="78">
        <v>52665.39</v>
      </c>
      <c r="Q34" s="78">
        <f t="shared" si="0"/>
        <v>631984.68000000005</v>
      </c>
    </row>
    <row r="35" spans="1:17" x14ac:dyDescent="0.3">
      <c r="A35" s="177" t="s">
        <v>162</v>
      </c>
      <c r="B35" s="177" t="s">
        <v>1644</v>
      </c>
      <c r="C35" s="78" t="s">
        <v>1645</v>
      </c>
      <c r="D35" s="78">
        <v>0</v>
      </c>
      <c r="E35" s="78">
        <v>173534246.999834</v>
      </c>
      <c r="F35" s="78">
        <v>165572297.21224299</v>
      </c>
      <c r="G35" s="78">
        <v>140540681.88248</v>
      </c>
      <c r="H35" s="78">
        <v>155516579.90402499</v>
      </c>
      <c r="I35" s="78">
        <v>164406398.73599201</v>
      </c>
      <c r="J35" s="78">
        <v>189294353.61418501</v>
      </c>
      <c r="K35" s="78">
        <v>211020252.39529699</v>
      </c>
      <c r="L35" s="78">
        <v>197373323.61847401</v>
      </c>
      <c r="M35" s="78">
        <v>222831767.60531101</v>
      </c>
      <c r="N35" s="78">
        <v>200789038.373308</v>
      </c>
      <c r="O35" s="78">
        <v>182023088.89238501</v>
      </c>
      <c r="P35" s="78">
        <v>174641238.38903299</v>
      </c>
      <c r="Q35" s="78">
        <f t="shared" si="0"/>
        <v>2177543267.6225667</v>
      </c>
    </row>
    <row r="36" spans="1:17" x14ac:dyDescent="0.3">
      <c r="A36" s="177" t="s">
        <v>162</v>
      </c>
      <c r="B36" s="177" t="s">
        <v>1646</v>
      </c>
      <c r="C36" s="78" t="s">
        <v>1647</v>
      </c>
      <c r="D36" s="78">
        <v>0</v>
      </c>
      <c r="E36" s="78">
        <v>-525000</v>
      </c>
      <c r="F36" s="78">
        <v>-525000</v>
      </c>
      <c r="G36" s="78">
        <v>-525000</v>
      </c>
      <c r="H36" s="78">
        <v>-525000</v>
      </c>
      <c r="I36" s="78">
        <v>-525000</v>
      </c>
      <c r="J36" s="78">
        <v>-525000</v>
      </c>
      <c r="K36" s="78">
        <v>-525000</v>
      </c>
      <c r="L36" s="78">
        <v>-525000</v>
      </c>
      <c r="M36" s="78">
        <v>-525000</v>
      </c>
      <c r="N36" s="78">
        <v>-525000</v>
      </c>
      <c r="O36" s="78">
        <v>-525000</v>
      </c>
      <c r="P36" s="78">
        <v>-525000</v>
      </c>
      <c r="Q36" s="78">
        <f t="shared" si="0"/>
        <v>-6300000</v>
      </c>
    </row>
    <row r="37" spans="1:17" x14ac:dyDescent="0.3">
      <c r="A37" s="177" t="s">
        <v>162</v>
      </c>
      <c r="B37" s="177" t="s">
        <v>1648</v>
      </c>
      <c r="C37" s="78" t="s">
        <v>1649</v>
      </c>
      <c r="D37" s="78">
        <v>0</v>
      </c>
      <c r="E37" s="78">
        <v>3300000</v>
      </c>
      <c r="F37" s="78">
        <v>3300000</v>
      </c>
      <c r="G37" s="78">
        <v>3300000</v>
      </c>
      <c r="H37" s="78">
        <v>3300000</v>
      </c>
      <c r="I37" s="78">
        <v>3300000</v>
      </c>
      <c r="J37" s="78">
        <v>3300000</v>
      </c>
      <c r="K37" s="78">
        <v>3300000</v>
      </c>
      <c r="L37" s="78">
        <v>3300000</v>
      </c>
      <c r="M37" s="78">
        <v>3300000</v>
      </c>
      <c r="N37" s="78">
        <v>3300000</v>
      </c>
      <c r="O37" s="78">
        <v>3300000</v>
      </c>
      <c r="P37" s="78">
        <v>3300000</v>
      </c>
      <c r="Q37" s="78">
        <f t="shared" si="0"/>
        <v>39600000</v>
      </c>
    </row>
    <row r="38" spans="1:17" x14ac:dyDescent="0.3">
      <c r="A38" s="177" t="s">
        <v>162</v>
      </c>
      <c r="B38" s="177" t="s">
        <v>1650</v>
      </c>
      <c r="C38" s="78" t="s">
        <v>1651</v>
      </c>
      <c r="D38" s="78">
        <v>0</v>
      </c>
      <c r="E38" s="78">
        <v>4121305.95</v>
      </c>
      <c r="F38" s="78">
        <v>4134496.75</v>
      </c>
      <c r="G38" s="78">
        <v>4102617.35</v>
      </c>
      <c r="H38" s="78">
        <v>4049947.95</v>
      </c>
      <c r="I38" s="78">
        <v>4074767.55</v>
      </c>
      <c r="J38" s="78">
        <v>4008363.75</v>
      </c>
      <c r="K38" s="78">
        <v>4022322.95</v>
      </c>
      <c r="L38" s="78">
        <v>4026976.35</v>
      </c>
      <c r="M38" s="78">
        <v>4067350.95</v>
      </c>
      <c r="N38" s="78">
        <v>4069924.15</v>
      </c>
      <c r="O38" s="78">
        <v>4110339.95</v>
      </c>
      <c r="P38" s="78">
        <v>4080411.95</v>
      </c>
      <c r="Q38" s="78">
        <f t="shared" si="0"/>
        <v>48868825.600000009</v>
      </c>
    </row>
    <row r="39" spans="1:17" x14ac:dyDescent="0.3">
      <c r="A39" s="177" t="s">
        <v>162</v>
      </c>
      <c r="B39" s="177" t="s">
        <v>1658</v>
      </c>
      <c r="C39" s="78" t="s">
        <v>1659</v>
      </c>
      <c r="D39" s="78">
        <v>0</v>
      </c>
      <c r="E39" s="78">
        <v>-2514566.0026956</v>
      </c>
      <c r="F39" s="78">
        <v>-2476792.4411316002</v>
      </c>
      <c r="G39" s="78">
        <v>-2438326.7081566001</v>
      </c>
      <c r="H39" s="78">
        <v>-2488600.4174250001</v>
      </c>
      <c r="I39" s="78">
        <v>-2549161.1367354998</v>
      </c>
      <c r="J39" s="78">
        <v>-2621288.3000667999</v>
      </c>
      <c r="K39" s="78">
        <v>-2680272.9466597</v>
      </c>
      <c r="L39" s="78">
        <v>-2655540.1695202999</v>
      </c>
      <c r="M39" s="78">
        <v>-2673688.2820397001</v>
      </c>
      <c r="N39" s="78">
        <v>-2599419.9023250001</v>
      </c>
      <c r="O39" s="78">
        <v>-2518949.6663917</v>
      </c>
      <c r="P39" s="78">
        <v>-2490118.3433055999</v>
      </c>
      <c r="Q39" s="78">
        <f t="shared" si="0"/>
        <v>-30706724.316453099</v>
      </c>
    </row>
    <row r="40" spans="1:17" x14ac:dyDescent="0.3">
      <c r="A40" s="177" t="s">
        <v>162</v>
      </c>
      <c r="B40" s="177" t="s">
        <v>1660</v>
      </c>
      <c r="C40" s="78" t="s">
        <v>1661</v>
      </c>
      <c r="D40" s="78">
        <v>0</v>
      </c>
      <c r="E40" s="78">
        <v>779515.46083560004</v>
      </c>
      <c r="F40" s="78">
        <v>767805.65675079997</v>
      </c>
      <c r="G40" s="78">
        <v>755881.27952860005</v>
      </c>
      <c r="H40" s="78">
        <v>771466.12940169999</v>
      </c>
      <c r="I40" s="78">
        <v>790239.95238799998</v>
      </c>
      <c r="J40" s="78">
        <v>812599.37302069995</v>
      </c>
      <c r="K40" s="78">
        <v>830884.61346450006</v>
      </c>
      <c r="L40" s="78">
        <v>823217.45255130006</v>
      </c>
      <c r="M40" s="78">
        <v>828843.3674323</v>
      </c>
      <c r="N40" s="78">
        <v>805820.16972080001</v>
      </c>
      <c r="O40" s="78">
        <v>780874.39658139995</v>
      </c>
      <c r="P40" s="78">
        <v>771936.68642469996</v>
      </c>
      <c r="Q40" s="78">
        <f t="shared" si="0"/>
        <v>9519084.5381003991</v>
      </c>
    </row>
    <row r="41" spans="1:17" x14ac:dyDescent="0.3">
      <c r="A41" s="177" t="s">
        <v>162</v>
      </c>
      <c r="B41" s="177" t="s">
        <v>1662</v>
      </c>
      <c r="C41" s="78" t="s">
        <v>1663</v>
      </c>
      <c r="D41" s="78">
        <v>0</v>
      </c>
      <c r="E41" s="78">
        <v>754369.80080870003</v>
      </c>
      <c r="F41" s="78">
        <v>743037.73233949998</v>
      </c>
      <c r="G41" s="78">
        <v>731498.01244700002</v>
      </c>
      <c r="H41" s="78">
        <v>746580.12522749999</v>
      </c>
      <c r="I41" s="78">
        <v>764748.34102070006</v>
      </c>
      <c r="J41" s="78">
        <v>786386.49002000003</v>
      </c>
      <c r="K41" s="78">
        <v>804081.88399789995</v>
      </c>
      <c r="L41" s="78">
        <v>796662.05085610005</v>
      </c>
      <c r="M41" s="78">
        <v>802106.48461190006</v>
      </c>
      <c r="N41" s="78">
        <v>779825.97069750004</v>
      </c>
      <c r="O41" s="78">
        <v>755684.89991749998</v>
      </c>
      <c r="P41" s="78">
        <v>747035.50299169996</v>
      </c>
      <c r="Q41" s="78">
        <f t="shared" si="0"/>
        <v>9212017.2949360013</v>
      </c>
    </row>
    <row r="42" spans="1:17" x14ac:dyDescent="0.3">
      <c r="A42" s="177" t="s">
        <v>162</v>
      </c>
      <c r="B42" s="177" t="s">
        <v>1666</v>
      </c>
      <c r="C42" s="78" t="s">
        <v>1667</v>
      </c>
      <c r="D42" s="78">
        <v>0</v>
      </c>
      <c r="E42" s="78">
        <v>-654517.9</v>
      </c>
      <c r="F42" s="78">
        <v>-654517.9</v>
      </c>
      <c r="G42" s="78">
        <v>-654517.9</v>
      </c>
      <c r="H42" s="78">
        <v>-654517.9</v>
      </c>
      <c r="I42" s="78">
        <v>-654517.9</v>
      </c>
      <c r="J42" s="78">
        <v>-654517.9</v>
      </c>
      <c r="K42" s="78">
        <v>-654517.9</v>
      </c>
      <c r="L42" s="78">
        <v>-654517.9</v>
      </c>
      <c r="M42" s="78">
        <v>-654517.9</v>
      </c>
      <c r="N42" s="78">
        <v>-654517.9</v>
      </c>
      <c r="O42" s="78">
        <v>-654517.9</v>
      </c>
      <c r="P42" s="78">
        <v>-654517.9</v>
      </c>
      <c r="Q42" s="78">
        <f t="shared" si="0"/>
        <v>-7854214.8000000017</v>
      </c>
    </row>
    <row r="43" spans="1:17" x14ac:dyDescent="0.3">
      <c r="A43" s="177" t="s">
        <v>162</v>
      </c>
      <c r="B43" s="177" t="s">
        <v>1668</v>
      </c>
      <c r="C43" s="78" t="s">
        <v>1669</v>
      </c>
      <c r="D43" s="78">
        <v>0</v>
      </c>
      <c r="E43" s="78">
        <v>7976393.1746958001</v>
      </c>
      <c r="F43" s="78">
        <v>8139571.5401763003</v>
      </c>
      <c r="G43" s="78">
        <v>8480043.5864228997</v>
      </c>
      <c r="H43" s="78">
        <v>8432267.2224317007</v>
      </c>
      <c r="I43" s="78">
        <v>8404989.9813799001</v>
      </c>
      <c r="J43" s="78">
        <v>8402384.6331872009</v>
      </c>
      <c r="K43" s="78">
        <v>8582805.5236347001</v>
      </c>
      <c r="L43" s="78">
        <v>8583818.9845147002</v>
      </c>
      <c r="M43" s="78">
        <v>8495616.1527102999</v>
      </c>
      <c r="N43" s="78">
        <v>8868837.8937240001</v>
      </c>
      <c r="O43" s="78">
        <v>9002284.8378998004</v>
      </c>
      <c r="P43" s="78">
        <v>9118008.9722261</v>
      </c>
      <c r="Q43" s="78">
        <f t="shared" si="0"/>
        <v>102487022.5030034</v>
      </c>
    </row>
    <row r="44" spans="1:17" x14ac:dyDescent="0.3">
      <c r="A44" s="177" t="s">
        <v>162</v>
      </c>
      <c r="B44" s="177" t="s">
        <v>1670</v>
      </c>
      <c r="C44" s="78" t="s">
        <v>1671</v>
      </c>
      <c r="D44" s="78">
        <v>0</v>
      </c>
      <c r="E44" s="78">
        <v>24449.900238900002</v>
      </c>
      <c r="F44" s="78">
        <v>24225.8603611</v>
      </c>
      <c r="G44" s="78">
        <v>23842.9707361</v>
      </c>
      <c r="H44" s="78">
        <v>23222.340802800001</v>
      </c>
      <c r="I44" s="78">
        <v>23709.005216599999</v>
      </c>
      <c r="J44" s="78">
        <v>22456.1441166</v>
      </c>
      <c r="K44" s="78">
        <v>20259.540938900001</v>
      </c>
      <c r="L44" s="78">
        <v>20680.210963900001</v>
      </c>
      <c r="M44" s="78">
        <v>22063.801380500001</v>
      </c>
      <c r="N44" s="78">
        <v>22729.206272200001</v>
      </c>
      <c r="O44" s="78">
        <v>24877.848072299999</v>
      </c>
      <c r="P44" s="78">
        <v>25976.715588899999</v>
      </c>
      <c r="Q44" s="78">
        <f t="shared" si="0"/>
        <v>278493.5446888</v>
      </c>
    </row>
    <row r="45" spans="1:17" x14ac:dyDescent="0.3">
      <c r="A45" s="177" t="s">
        <v>162</v>
      </c>
      <c r="B45" s="177" t="s">
        <v>1672</v>
      </c>
      <c r="C45" s="78" t="s">
        <v>1673</v>
      </c>
      <c r="D45" s="78">
        <v>0</v>
      </c>
      <c r="E45" s="78">
        <v>733.43499999999995</v>
      </c>
      <c r="F45" s="78">
        <v>733.43499999999995</v>
      </c>
      <c r="G45" s="78">
        <v>733.43499999999995</v>
      </c>
      <c r="H45" s="78">
        <v>733.43499999999995</v>
      </c>
      <c r="I45" s="78">
        <v>733.43499999999995</v>
      </c>
      <c r="J45" s="78">
        <v>733.43499999999995</v>
      </c>
      <c r="K45" s="78">
        <v>733.43499999999995</v>
      </c>
      <c r="L45" s="78">
        <v>733.43499999999995</v>
      </c>
      <c r="M45" s="78">
        <v>733.43499999999995</v>
      </c>
      <c r="N45" s="78">
        <v>733.43499999999995</v>
      </c>
      <c r="O45" s="78">
        <v>733.43499999999995</v>
      </c>
      <c r="P45" s="78">
        <v>733.43499999999995</v>
      </c>
      <c r="Q45" s="78">
        <f t="shared" si="0"/>
        <v>8801.2199999999975</v>
      </c>
    </row>
    <row r="46" spans="1:17" x14ac:dyDescent="0.3">
      <c r="A46" s="177" t="s">
        <v>162</v>
      </c>
      <c r="B46" s="177" t="s">
        <v>1674</v>
      </c>
      <c r="C46" s="78" t="s">
        <v>1675</v>
      </c>
      <c r="D46" s="78">
        <v>0</v>
      </c>
      <c r="E46" s="78">
        <v>201267.23833329999</v>
      </c>
      <c r="F46" s="78">
        <v>201267.23833329999</v>
      </c>
      <c r="G46" s="78">
        <v>201267.23833329999</v>
      </c>
      <c r="H46" s="78">
        <v>201267.23833329999</v>
      </c>
      <c r="I46" s="78">
        <v>201267.23833329999</v>
      </c>
      <c r="J46" s="78">
        <v>201267.23833329999</v>
      </c>
      <c r="K46" s="78">
        <v>201267.23833329999</v>
      </c>
      <c r="L46" s="78">
        <v>201267.23833329999</v>
      </c>
      <c r="M46" s="78">
        <v>201267.23833329999</v>
      </c>
      <c r="N46" s="78">
        <v>201267.23833329999</v>
      </c>
      <c r="O46" s="78">
        <v>201267.23833329999</v>
      </c>
      <c r="P46" s="78">
        <v>201267.23833329999</v>
      </c>
      <c r="Q46" s="78">
        <f t="shared" si="0"/>
        <v>2415206.8599995999</v>
      </c>
    </row>
    <row r="47" spans="1:17" x14ac:dyDescent="0.3">
      <c r="A47" s="177" t="s">
        <v>162</v>
      </c>
      <c r="B47" s="177" t="s">
        <v>1676</v>
      </c>
      <c r="C47" s="78" t="s">
        <v>1677</v>
      </c>
      <c r="D47" s="78">
        <v>0</v>
      </c>
      <c r="E47" s="78">
        <v>95370.880000000005</v>
      </c>
      <c r="F47" s="78">
        <v>95370.880000000005</v>
      </c>
      <c r="G47" s="78">
        <v>95370.880000000005</v>
      </c>
      <c r="H47" s="78">
        <v>95370.880000000005</v>
      </c>
      <c r="I47" s="78">
        <v>95370.880000000005</v>
      </c>
      <c r="J47" s="78">
        <v>95370.880000000005</v>
      </c>
      <c r="K47" s="78">
        <v>95370.880000000005</v>
      </c>
      <c r="L47" s="78">
        <v>95370.880000000005</v>
      </c>
      <c r="M47" s="78">
        <v>95370.880000000005</v>
      </c>
      <c r="N47" s="78">
        <v>95370.880000000005</v>
      </c>
      <c r="O47" s="78">
        <v>95370.880000000005</v>
      </c>
      <c r="P47" s="78">
        <v>95370.880000000005</v>
      </c>
      <c r="Q47" s="78">
        <f t="shared" si="0"/>
        <v>1144450.5600000001</v>
      </c>
    </row>
    <row r="48" spans="1:17" x14ac:dyDescent="0.3">
      <c r="A48" s="177" t="s">
        <v>162</v>
      </c>
      <c r="B48" s="177" t="s">
        <v>1678</v>
      </c>
      <c r="C48" s="78" t="s">
        <v>1679</v>
      </c>
      <c r="D48" s="78">
        <v>0</v>
      </c>
      <c r="E48" s="78">
        <v>18304.759999999998</v>
      </c>
      <c r="F48" s="78">
        <v>18304.759999999998</v>
      </c>
      <c r="G48" s="78">
        <v>18304.759999999998</v>
      </c>
      <c r="H48" s="78">
        <v>18304.759999999998</v>
      </c>
      <c r="I48" s="78">
        <v>18304.759999999998</v>
      </c>
      <c r="J48" s="78">
        <v>18304.759999999998</v>
      </c>
      <c r="K48" s="78">
        <v>18304.759999999998</v>
      </c>
      <c r="L48" s="78">
        <v>18304.759999999998</v>
      </c>
      <c r="M48" s="78">
        <v>18304.759999999998</v>
      </c>
      <c r="N48" s="78">
        <v>18304.759999999998</v>
      </c>
      <c r="O48" s="78">
        <v>18304.759999999998</v>
      </c>
      <c r="P48" s="78">
        <v>18304.759999999998</v>
      </c>
      <c r="Q48" s="78">
        <f t="shared" si="0"/>
        <v>219657.12000000002</v>
      </c>
    </row>
    <row r="49" spans="1:17" x14ac:dyDescent="0.3">
      <c r="A49" s="177" t="s">
        <v>162</v>
      </c>
      <c r="B49" s="177" t="s">
        <v>3344</v>
      </c>
      <c r="C49" s="78" t="s">
        <v>3345</v>
      </c>
      <c r="D49" s="78">
        <v>0</v>
      </c>
      <c r="E49" s="78">
        <v>8026.94</v>
      </c>
      <c r="F49" s="78">
        <v>8026.94</v>
      </c>
      <c r="G49" s="78">
        <v>8026.94</v>
      </c>
      <c r="H49" s="78">
        <v>8026.94</v>
      </c>
      <c r="I49" s="78">
        <v>8026.94</v>
      </c>
      <c r="J49" s="78">
        <v>8026.94</v>
      </c>
      <c r="K49" s="78">
        <v>8026.94</v>
      </c>
      <c r="L49" s="78">
        <v>8026.94</v>
      </c>
      <c r="M49" s="78">
        <v>8026.94</v>
      </c>
      <c r="N49" s="78">
        <v>8026.94</v>
      </c>
      <c r="O49" s="78">
        <v>8026.94</v>
      </c>
      <c r="P49" s="78">
        <v>8026.94</v>
      </c>
      <c r="Q49" s="78">
        <f t="shared" si="0"/>
        <v>96323.280000000013</v>
      </c>
    </row>
    <row r="50" spans="1:17" x14ac:dyDescent="0.3">
      <c r="A50" s="177" t="s">
        <v>162</v>
      </c>
      <c r="B50" s="177" t="s">
        <v>1680</v>
      </c>
      <c r="C50" s="78" t="s">
        <v>1681</v>
      </c>
      <c r="D50" s="78">
        <v>0</v>
      </c>
      <c r="E50" s="78">
        <v>10116.200000000001</v>
      </c>
      <c r="F50" s="78">
        <v>10116.200000000001</v>
      </c>
      <c r="G50" s="78">
        <v>10116.200000000001</v>
      </c>
      <c r="H50" s="78">
        <v>10116.200000000001</v>
      </c>
      <c r="I50" s="78">
        <v>10116.200000000001</v>
      </c>
      <c r="J50" s="78">
        <v>10116.200000000001</v>
      </c>
      <c r="K50" s="78">
        <v>10116.200000000001</v>
      </c>
      <c r="L50" s="78">
        <v>10116.200000000001</v>
      </c>
      <c r="M50" s="78">
        <v>10116.200000000001</v>
      </c>
      <c r="N50" s="78">
        <v>10116.200000000001</v>
      </c>
      <c r="O50" s="78">
        <v>10116.200000000001</v>
      </c>
      <c r="P50" s="78">
        <v>10116.200000000001</v>
      </c>
      <c r="Q50" s="78">
        <f t="shared" si="0"/>
        <v>121394.39999999998</v>
      </c>
    </row>
    <row r="51" spans="1:17" x14ac:dyDescent="0.3">
      <c r="A51" s="177" t="s">
        <v>162</v>
      </c>
      <c r="B51" s="177" t="s">
        <v>1682</v>
      </c>
      <c r="C51" s="78" t="s">
        <v>1683</v>
      </c>
      <c r="D51" s="78">
        <v>0</v>
      </c>
      <c r="E51" s="78">
        <v>17442.43</v>
      </c>
      <c r="F51" s="78">
        <v>17442.43</v>
      </c>
      <c r="G51" s="78">
        <v>17442.43</v>
      </c>
      <c r="H51" s="78">
        <v>17442.43</v>
      </c>
      <c r="I51" s="78">
        <v>17442.43</v>
      </c>
      <c r="J51" s="78">
        <v>17442.43</v>
      </c>
      <c r="K51" s="78">
        <v>17442.43</v>
      </c>
      <c r="L51" s="78">
        <v>17442.43</v>
      </c>
      <c r="M51" s="78">
        <v>17442.43</v>
      </c>
      <c r="N51" s="78">
        <v>17442.43</v>
      </c>
      <c r="O51" s="78">
        <v>17442.43</v>
      </c>
      <c r="P51" s="78">
        <v>17442.43</v>
      </c>
      <c r="Q51" s="78">
        <f t="shared" si="0"/>
        <v>209309.15999999995</v>
      </c>
    </row>
    <row r="52" spans="1:17" x14ac:dyDescent="0.3">
      <c r="A52" s="177" t="s">
        <v>162</v>
      </c>
      <c r="B52" s="177" t="s">
        <v>1684</v>
      </c>
      <c r="C52" s="78" t="s">
        <v>1685</v>
      </c>
      <c r="D52" s="78">
        <v>0</v>
      </c>
      <c r="E52" s="78">
        <v>159750.99</v>
      </c>
      <c r="F52" s="78">
        <v>159750.99</v>
      </c>
      <c r="G52" s="78">
        <v>159750.99</v>
      </c>
      <c r="H52" s="78">
        <v>159750.99</v>
      </c>
      <c r="I52" s="78">
        <v>159750.99</v>
      </c>
      <c r="J52" s="78">
        <v>159750.99</v>
      </c>
      <c r="K52" s="78">
        <v>159750.99</v>
      </c>
      <c r="L52" s="78">
        <v>159750.99</v>
      </c>
      <c r="M52" s="78">
        <v>159750.99</v>
      </c>
      <c r="N52" s="78">
        <v>159750.99</v>
      </c>
      <c r="O52" s="78">
        <v>159750.99</v>
      </c>
      <c r="P52" s="78">
        <v>159750.99</v>
      </c>
      <c r="Q52" s="78">
        <f t="shared" si="0"/>
        <v>1917011.88</v>
      </c>
    </row>
    <row r="53" spans="1:17" x14ac:dyDescent="0.3">
      <c r="A53" s="177" t="s">
        <v>162</v>
      </c>
      <c r="B53" s="177" t="s">
        <v>1686</v>
      </c>
      <c r="C53" s="78" t="s">
        <v>1687</v>
      </c>
      <c r="D53" s="78">
        <v>0</v>
      </c>
      <c r="E53" s="78">
        <v>1298.9100000000001</v>
      </c>
      <c r="F53" s="78">
        <v>1298.9100000000001</v>
      </c>
      <c r="G53" s="78">
        <v>1298.9100000000001</v>
      </c>
      <c r="H53" s="78">
        <v>1298.9100000000001</v>
      </c>
      <c r="I53" s="78">
        <v>1298.9100000000001</v>
      </c>
      <c r="J53" s="78">
        <v>1298.9100000000001</v>
      </c>
      <c r="K53" s="78">
        <v>1298.9100000000001</v>
      </c>
      <c r="L53" s="78">
        <v>1298.9100000000001</v>
      </c>
      <c r="M53" s="78">
        <v>1298.9100000000001</v>
      </c>
      <c r="N53" s="78">
        <v>1298.9100000000001</v>
      </c>
      <c r="O53" s="78">
        <v>1298.9100000000001</v>
      </c>
      <c r="P53" s="78">
        <v>1298.9100000000001</v>
      </c>
      <c r="Q53" s="78">
        <f t="shared" si="0"/>
        <v>15586.92</v>
      </c>
    </row>
    <row r="54" spans="1:17" x14ac:dyDescent="0.3">
      <c r="A54" s="177" t="s">
        <v>162</v>
      </c>
      <c r="B54" s="177" t="s">
        <v>1688</v>
      </c>
      <c r="C54" s="78" t="s">
        <v>1689</v>
      </c>
      <c r="D54" s="78">
        <v>0</v>
      </c>
      <c r="E54" s="78">
        <v>10999.332738200001</v>
      </c>
      <c r="F54" s="78">
        <v>10871.299505700001</v>
      </c>
      <c r="G54" s="78">
        <v>11107.421863899999</v>
      </c>
      <c r="H54" s="78">
        <v>11477.906283300001</v>
      </c>
      <c r="I54" s="78">
        <v>11678.7949083</v>
      </c>
      <c r="J54" s="78">
        <v>12650.8102</v>
      </c>
      <c r="K54" s="78">
        <v>13845.292616700001</v>
      </c>
      <c r="L54" s="78">
        <v>15092.834911100001</v>
      </c>
      <c r="M54" s="78">
        <v>14964.048575000001</v>
      </c>
      <c r="N54" s="78">
        <v>15029.425822200001</v>
      </c>
      <c r="O54" s="78">
        <v>15015.071341700001</v>
      </c>
      <c r="P54" s="78">
        <v>15055.488255599999</v>
      </c>
      <c r="Q54" s="78">
        <f t="shared" si="0"/>
        <v>157787.7270217</v>
      </c>
    </row>
    <row r="55" spans="1:17" x14ac:dyDescent="0.3">
      <c r="A55" s="177" t="s">
        <v>162</v>
      </c>
      <c r="B55" s="177" t="s">
        <v>1690</v>
      </c>
      <c r="C55" s="78" t="s">
        <v>1691</v>
      </c>
      <c r="D55" s="78">
        <v>0</v>
      </c>
      <c r="E55" s="78">
        <v>4101.0600000000004</v>
      </c>
      <c r="F55" s="78">
        <v>4101.0600000000004</v>
      </c>
      <c r="G55" s="78">
        <v>4101.0600000000004</v>
      </c>
      <c r="H55" s="78">
        <v>4101.0600000000004</v>
      </c>
      <c r="I55" s="78">
        <v>4101.0600000000004</v>
      </c>
      <c r="J55" s="78">
        <v>4101.0600000000004</v>
      </c>
      <c r="K55" s="78">
        <v>4101.0600000000004</v>
      </c>
      <c r="L55" s="78">
        <v>4101.0600000000004</v>
      </c>
      <c r="M55" s="78">
        <v>4101.0600000000004</v>
      </c>
      <c r="N55" s="78">
        <v>4101.0600000000004</v>
      </c>
      <c r="O55" s="78">
        <v>4101.0600000000004</v>
      </c>
      <c r="P55" s="78">
        <v>4101.0600000000004</v>
      </c>
      <c r="Q55" s="78">
        <f t="shared" si="0"/>
        <v>49212.719999999994</v>
      </c>
    </row>
    <row r="56" spans="1:17" x14ac:dyDescent="0.3">
      <c r="A56" s="177" t="s">
        <v>162</v>
      </c>
      <c r="B56" s="177" t="s">
        <v>1692</v>
      </c>
      <c r="C56" s="78" t="s">
        <v>1693</v>
      </c>
      <c r="D56" s="78">
        <v>0</v>
      </c>
      <c r="E56" s="78">
        <v>103339.66333330001</v>
      </c>
      <c r="F56" s="78">
        <v>103339.66333330001</v>
      </c>
      <c r="G56" s="78">
        <v>103339.66333330001</v>
      </c>
      <c r="H56" s="78">
        <v>103339.66333330001</v>
      </c>
      <c r="I56" s="78">
        <v>103339.66333330001</v>
      </c>
      <c r="J56" s="78">
        <v>103339.66333330001</v>
      </c>
      <c r="K56" s="78">
        <v>103339.66333330001</v>
      </c>
      <c r="L56" s="78">
        <v>103339.66333330001</v>
      </c>
      <c r="M56" s="78">
        <v>103339.66333330001</v>
      </c>
      <c r="N56" s="78">
        <v>103339.66333330001</v>
      </c>
      <c r="O56" s="78">
        <v>103339.66333330001</v>
      </c>
      <c r="P56" s="78">
        <v>103339.66333330001</v>
      </c>
      <c r="Q56" s="78">
        <f t="shared" si="0"/>
        <v>1240075.9599996002</v>
      </c>
    </row>
    <row r="57" spans="1:17" x14ac:dyDescent="0.3">
      <c r="A57" s="177" t="s">
        <v>162</v>
      </c>
      <c r="B57" s="177" t="s">
        <v>1694</v>
      </c>
      <c r="C57" s="78" t="s">
        <v>1695</v>
      </c>
      <c r="D57" s="78">
        <v>0</v>
      </c>
      <c r="E57" s="78">
        <v>16575.240000000002</v>
      </c>
      <c r="F57" s="78">
        <v>16575.240000000002</v>
      </c>
      <c r="G57" s="78">
        <v>16575.240000000002</v>
      </c>
      <c r="H57" s="78">
        <v>16575.240000000002</v>
      </c>
      <c r="I57" s="78">
        <v>16575.240000000002</v>
      </c>
      <c r="J57" s="78">
        <v>16575.240000000002</v>
      </c>
      <c r="K57" s="78">
        <v>16575.240000000002</v>
      </c>
      <c r="L57" s="78">
        <v>16575.240000000002</v>
      </c>
      <c r="M57" s="78">
        <v>16575.240000000002</v>
      </c>
      <c r="N57" s="78">
        <v>16575.240000000002</v>
      </c>
      <c r="O57" s="78">
        <v>16575.240000000002</v>
      </c>
      <c r="P57" s="78">
        <v>16575.240000000002</v>
      </c>
      <c r="Q57" s="78">
        <f t="shared" si="0"/>
        <v>198902.87999999998</v>
      </c>
    </row>
    <row r="58" spans="1:17" x14ac:dyDescent="0.3">
      <c r="A58" s="177" t="s">
        <v>162</v>
      </c>
      <c r="B58" s="177" t="s">
        <v>1696</v>
      </c>
      <c r="C58" s="78" t="s">
        <v>1697</v>
      </c>
      <c r="D58" s="78">
        <v>0</v>
      </c>
      <c r="E58" s="78">
        <v>20850</v>
      </c>
      <c r="F58" s="78">
        <v>20850</v>
      </c>
      <c r="G58" s="78">
        <v>20850</v>
      </c>
      <c r="H58" s="78">
        <v>20850</v>
      </c>
      <c r="I58" s="78">
        <v>20850</v>
      </c>
      <c r="J58" s="78">
        <v>20850</v>
      </c>
      <c r="K58" s="78">
        <v>20850</v>
      </c>
      <c r="L58" s="78">
        <v>20850</v>
      </c>
      <c r="M58" s="78">
        <v>20850</v>
      </c>
      <c r="N58" s="78">
        <v>20850</v>
      </c>
      <c r="O58" s="78">
        <v>20850</v>
      </c>
      <c r="P58" s="78">
        <v>20850</v>
      </c>
      <c r="Q58" s="78">
        <f t="shared" si="0"/>
        <v>250200</v>
      </c>
    </row>
    <row r="59" spans="1:17" x14ac:dyDescent="0.3">
      <c r="A59" s="177" t="s">
        <v>162</v>
      </c>
      <c r="B59" s="177" t="s">
        <v>1698</v>
      </c>
      <c r="C59" s="78" t="s">
        <v>1699</v>
      </c>
      <c r="D59" s="78">
        <v>0</v>
      </c>
      <c r="E59" s="78">
        <v>4421048.93</v>
      </c>
      <c r="F59" s="78">
        <v>4421048.93</v>
      </c>
      <c r="G59" s="78">
        <v>4421048.93</v>
      </c>
      <c r="H59" s="78">
        <v>4421048.93</v>
      </c>
      <c r="I59" s="78">
        <v>4421048.93</v>
      </c>
      <c r="J59" s="78">
        <v>4421048.93</v>
      </c>
      <c r="K59" s="78">
        <v>4421048.93</v>
      </c>
      <c r="L59" s="78">
        <v>4421048.93</v>
      </c>
      <c r="M59" s="78">
        <v>4421048.93</v>
      </c>
      <c r="N59" s="78">
        <v>4421048.93</v>
      </c>
      <c r="O59" s="78">
        <v>4421048.93</v>
      </c>
      <c r="P59" s="78">
        <v>4421048.93</v>
      </c>
      <c r="Q59" s="78">
        <f t="shared" si="0"/>
        <v>53052587.159999996</v>
      </c>
    </row>
    <row r="60" spans="1:17" x14ac:dyDescent="0.3">
      <c r="A60" s="177" t="s">
        <v>162</v>
      </c>
      <c r="B60" s="177" t="s">
        <v>1700</v>
      </c>
      <c r="C60" s="78" t="s">
        <v>1701</v>
      </c>
      <c r="D60" s="78">
        <v>0</v>
      </c>
      <c r="E60" s="78">
        <v>30584000</v>
      </c>
      <c r="F60" s="78">
        <v>31809000</v>
      </c>
      <c r="G60" s="78">
        <v>31809000</v>
      </c>
      <c r="H60" s="78">
        <v>31809000</v>
      </c>
      <c r="I60" s="78">
        <v>31809000</v>
      </c>
      <c r="J60" s="78">
        <v>31809000</v>
      </c>
      <c r="K60" s="78">
        <v>29416000</v>
      </c>
      <c r="L60" s="78">
        <v>29403000</v>
      </c>
      <c r="M60" s="78">
        <v>30678000</v>
      </c>
      <c r="N60" s="78">
        <v>30678000</v>
      </c>
      <c r="O60" s="78">
        <v>29844000</v>
      </c>
      <c r="P60" s="78">
        <v>29844000</v>
      </c>
      <c r="Q60" s="78">
        <f t="shared" si="0"/>
        <v>369492000</v>
      </c>
    </row>
    <row r="61" spans="1:17" x14ac:dyDescent="0.3">
      <c r="A61" s="177" t="s">
        <v>162</v>
      </c>
      <c r="B61" s="177" t="s">
        <v>1702</v>
      </c>
      <c r="C61" s="78" t="s">
        <v>1703</v>
      </c>
      <c r="D61" s="78">
        <v>0</v>
      </c>
      <c r="E61" s="78">
        <v>4992000</v>
      </c>
      <c r="F61" s="78">
        <v>4926000</v>
      </c>
      <c r="G61" s="78">
        <v>5374000</v>
      </c>
      <c r="H61" s="78">
        <v>5374000</v>
      </c>
      <c r="I61" s="78">
        <v>5308000</v>
      </c>
      <c r="J61" s="78">
        <v>5243000</v>
      </c>
      <c r="K61" s="78">
        <v>5178000</v>
      </c>
      <c r="L61" s="78">
        <v>5113000</v>
      </c>
      <c r="M61" s="78">
        <v>5305000</v>
      </c>
      <c r="N61" s="78">
        <v>5241000</v>
      </c>
      <c r="O61" s="78">
        <v>5176000</v>
      </c>
      <c r="P61" s="78">
        <v>5112000</v>
      </c>
      <c r="Q61" s="78">
        <f t="shared" si="0"/>
        <v>62342000</v>
      </c>
    </row>
    <row r="62" spans="1:17" x14ac:dyDescent="0.3">
      <c r="A62" s="177" t="s">
        <v>162</v>
      </c>
      <c r="B62" s="177" t="s">
        <v>1704</v>
      </c>
      <c r="C62" s="78" t="s">
        <v>1705</v>
      </c>
      <c r="D62" s="78">
        <v>0</v>
      </c>
      <c r="E62" s="78">
        <v>1086000</v>
      </c>
      <c r="F62" s="78">
        <v>1062000</v>
      </c>
      <c r="G62" s="78">
        <v>971000</v>
      </c>
      <c r="H62" s="78">
        <v>864000</v>
      </c>
      <c r="I62" s="78">
        <v>857000</v>
      </c>
      <c r="J62" s="78">
        <v>885000</v>
      </c>
      <c r="K62" s="78">
        <v>913000</v>
      </c>
      <c r="L62" s="78">
        <v>922000</v>
      </c>
      <c r="M62" s="78">
        <v>911000</v>
      </c>
      <c r="N62" s="78">
        <v>928000</v>
      </c>
      <c r="O62" s="78">
        <v>1003000</v>
      </c>
      <c r="P62" s="78">
        <v>1088000</v>
      </c>
      <c r="Q62" s="78">
        <f t="shared" si="0"/>
        <v>11490000</v>
      </c>
    </row>
    <row r="63" spans="1:17" x14ac:dyDescent="0.3">
      <c r="A63" s="177" t="s">
        <v>162</v>
      </c>
      <c r="B63" s="177" t="s">
        <v>1706</v>
      </c>
      <c r="C63" s="78" t="s">
        <v>1707</v>
      </c>
      <c r="D63" s="78">
        <v>0</v>
      </c>
      <c r="E63" s="78">
        <v>162822150</v>
      </c>
      <c r="F63" s="78">
        <v>162822150</v>
      </c>
      <c r="G63" s="78">
        <v>162822150</v>
      </c>
      <c r="H63" s="78">
        <v>162822150</v>
      </c>
      <c r="I63" s="78">
        <v>162822150</v>
      </c>
      <c r="J63" s="78">
        <v>162822150</v>
      </c>
      <c r="K63" s="78">
        <v>162822150</v>
      </c>
      <c r="L63" s="78">
        <v>162822150</v>
      </c>
      <c r="M63" s="78">
        <v>162822150</v>
      </c>
      <c r="N63" s="78">
        <v>162822150</v>
      </c>
      <c r="O63" s="78">
        <v>162822150</v>
      </c>
      <c r="P63" s="78">
        <v>162822150</v>
      </c>
      <c r="Q63" s="78">
        <f t="shared" si="0"/>
        <v>1953865800</v>
      </c>
    </row>
    <row r="64" spans="1:17" x14ac:dyDescent="0.3">
      <c r="A64" s="177" t="s">
        <v>162</v>
      </c>
      <c r="B64" s="177" t="s">
        <v>1712</v>
      </c>
      <c r="C64" s="78" t="s">
        <v>1713</v>
      </c>
      <c r="D64" s="78">
        <v>0</v>
      </c>
      <c r="E64" s="78">
        <v>2152704.0299999998</v>
      </c>
      <c r="F64" s="78">
        <v>2056069.76</v>
      </c>
      <c r="G64" s="78">
        <v>1959435.49</v>
      </c>
      <c r="H64" s="78">
        <v>1900673.12</v>
      </c>
      <c r="I64" s="78">
        <v>1841910.75</v>
      </c>
      <c r="J64" s="78">
        <v>1783148.38</v>
      </c>
      <c r="K64" s="78">
        <v>1724386.01</v>
      </c>
      <c r="L64" s="78">
        <v>1665623.64</v>
      </c>
      <c r="M64" s="78">
        <v>1606861.27</v>
      </c>
      <c r="N64" s="78">
        <v>1548098.9</v>
      </c>
      <c r="O64" s="78">
        <v>1489336.53</v>
      </c>
      <c r="P64" s="78">
        <v>1430574.16</v>
      </c>
      <c r="Q64" s="78">
        <f t="shared" si="0"/>
        <v>21158822.040000003</v>
      </c>
    </row>
    <row r="65" spans="1:17" x14ac:dyDescent="0.3">
      <c r="A65" s="177" t="s">
        <v>162</v>
      </c>
      <c r="B65" s="177" t="s">
        <v>1726</v>
      </c>
      <c r="C65" s="78" t="s">
        <v>1727</v>
      </c>
      <c r="D65" s="78">
        <v>0</v>
      </c>
      <c r="E65" s="78">
        <v>7956240.4280000003</v>
      </c>
      <c r="F65" s="78">
        <v>5229682.2379999999</v>
      </c>
      <c r="G65" s="78">
        <v>17758244.328000002</v>
      </c>
      <c r="H65" s="78">
        <v>14861695.017999999</v>
      </c>
      <c r="I65" s="78">
        <v>11975833.757999999</v>
      </c>
      <c r="J65" s="78">
        <v>28926993.548</v>
      </c>
      <c r="K65" s="78">
        <v>25882191.177999999</v>
      </c>
      <c r="L65" s="78">
        <v>23500038.787999999</v>
      </c>
      <c r="M65" s="78">
        <v>20449050.078000002</v>
      </c>
      <c r="N65" s="78">
        <v>17398061.368000001</v>
      </c>
      <c r="O65" s="78">
        <v>14347072.658</v>
      </c>
      <c r="P65" s="78">
        <v>11380071.084835</v>
      </c>
      <c r="Q65" s="78">
        <f t="shared" si="0"/>
        <v>199665174.472835</v>
      </c>
    </row>
    <row r="66" spans="1:17" x14ac:dyDescent="0.3">
      <c r="A66" s="177" t="s">
        <v>162</v>
      </c>
      <c r="B66" s="177" t="s">
        <v>1728</v>
      </c>
      <c r="C66" s="78" t="s">
        <v>1729</v>
      </c>
      <c r="D66" s="78">
        <v>0</v>
      </c>
      <c r="E66" s="78">
        <v>9791916.4273889009</v>
      </c>
      <c r="F66" s="78">
        <v>9745558.2019414995</v>
      </c>
      <c r="G66" s="78">
        <v>9195029.2942364998</v>
      </c>
      <c r="H66" s="78">
        <v>7757437.3898649001</v>
      </c>
      <c r="I66" s="78">
        <v>6878158.4821598995</v>
      </c>
      <c r="J66" s="78">
        <v>6763595.9569886997</v>
      </c>
      <c r="K66" s="78">
        <v>6873620.6980768004</v>
      </c>
      <c r="L66" s="78">
        <v>6487204.4063501004</v>
      </c>
      <c r="M66" s="78">
        <v>5776704.7812900003</v>
      </c>
      <c r="N66" s="78">
        <v>6269592.0630633002</v>
      </c>
      <c r="O66" s="78">
        <v>5780469.3532939004</v>
      </c>
      <c r="P66" s="78">
        <v>7502972.5795171997</v>
      </c>
      <c r="Q66" s="78">
        <f t="shared" si="0"/>
        <v>88822259.63417168</v>
      </c>
    </row>
    <row r="67" spans="1:17" x14ac:dyDescent="0.3">
      <c r="A67" s="177" t="s">
        <v>162</v>
      </c>
      <c r="B67" s="177" t="s">
        <v>1730</v>
      </c>
      <c r="C67" s="78" t="s">
        <v>1731</v>
      </c>
      <c r="D67" s="78">
        <v>0</v>
      </c>
      <c r="E67" s="78">
        <v>6644356.5228878995</v>
      </c>
      <c r="F67" s="78">
        <v>6068321.1877881996</v>
      </c>
      <c r="G67" s="78">
        <v>5254753.3526884997</v>
      </c>
      <c r="H67" s="78">
        <v>5564088.8214969002</v>
      </c>
      <c r="I67" s="78">
        <v>5478174.2413366996</v>
      </c>
      <c r="J67" s="78">
        <v>5125298.3405104997</v>
      </c>
      <c r="K67" s="78">
        <v>6459896.2283158004</v>
      </c>
      <c r="L67" s="78">
        <v>5651704.4678210998</v>
      </c>
      <c r="M67" s="78">
        <v>5157855.7600622997</v>
      </c>
      <c r="N67" s="78">
        <v>4450349.7685655998</v>
      </c>
      <c r="O67" s="78">
        <v>4873613.3658568999</v>
      </c>
      <c r="P67" s="78">
        <v>4050884.9622440999</v>
      </c>
      <c r="Q67" s="78">
        <f t="shared" si="0"/>
        <v>64779297.019574501</v>
      </c>
    </row>
    <row r="68" spans="1:17" x14ac:dyDescent="0.3">
      <c r="A68" s="177" t="s">
        <v>162</v>
      </c>
      <c r="B68" s="177" t="s">
        <v>1732</v>
      </c>
      <c r="C68" s="78" t="s">
        <v>1733</v>
      </c>
      <c r="D68" s="78">
        <v>0</v>
      </c>
      <c r="E68" s="78">
        <v>71061000.329999998</v>
      </c>
      <c r="F68" s="78">
        <v>65978523</v>
      </c>
      <c r="G68" s="78">
        <v>70682536</v>
      </c>
      <c r="H68" s="78">
        <v>75107868</v>
      </c>
      <c r="I68" s="78">
        <v>85428984</v>
      </c>
      <c r="J68" s="78">
        <v>89018443</v>
      </c>
      <c r="K68" s="78">
        <v>91484849</v>
      </c>
      <c r="L68" s="78">
        <v>96122569</v>
      </c>
      <c r="M68" s="78">
        <v>87044014</v>
      </c>
      <c r="N68" s="78">
        <v>82054446</v>
      </c>
      <c r="O68" s="78">
        <v>72861231</v>
      </c>
      <c r="P68" s="78">
        <v>73315543</v>
      </c>
      <c r="Q68" s="78">
        <f t="shared" si="0"/>
        <v>960160006.32999992</v>
      </c>
    </row>
    <row r="69" spans="1:17" x14ac:dyDescent="0.3">
      <c r="A69" s="177" t="s">
        <v>162</v>
      </c>
      <c r="B69" s="177" t="s">
        <v>3346</v>
      </c>
      <c r="C69" s="78" t="s">
        <v>3347</v>
      </c>
      <c r="D69" s="78">
        <v>0</v>
      </c>
      <c r="E69" s="78">
        <v>0</v>
      </c>
      <c r="F69" s="78">
        <v>0</v>
      </c>
      <c r="G69" s="78">
        <v>0</v>
      </c>
      <c r="H69" s="78">
        <v>528000</v>
      </c>
      <c r="I69" s="78">
        <v>528000</v>
      </c>
      <c r="J69" s="78">
        <v>528000</v>
      </c>
      <c r="K69" s="78">
        <v>528000</v>
      </c>
      <c r="L69" s="78">
        <v>528000</v>
      </c>
      <c r="M69" s="78">
        <v>528000</v>
      </c>
      <c r="N69" s="78">
        <v>528000</v>
      </c>
      <c r="O69" s="78">
        <v>528000</v>
      </c>
      <c r="P69" s="78">
        <v>528000</v>
      </c>
      <c r="Q69" s="78">
        <f t="shared" si="0"/>
        <v>4752000</v>
      </c>
    </row>
    <row r="70" spans="1:17" x14ac:dyDescent="0.3">
      <c r="A70" s="177" t="s">
        <v>162</v>
      </c>
      <c r="B70" s="177" t="s">
        <v>1734</v>
      </c>
      <c r="C70" s="78" t="s">
        <v>1735</v>
      </c>
      <c r="D70" s="78">
        <v>0</v>
      </c>
      <c r="E70" s="78">
        <v>528000</v>
      </c>
      <c r="F70" s="78">
        <v>528000</v>
      </c>
      <c r="G70" s="78">
        <v>528000</v>
      </c>
      <c r="H70" s="78">
        <v>0</v>
      </c>
      <c r="I70" s="78">
        <v>0</v>
      </c>
      <c r="J70" s="78">
        <v>0</v>
      </c>
      <c r="K70" s="78">
        <v>0</v>
      </c>
      <c r="L70" s="78">
        <v>0</v>
      </c>
      <c r="M70" s="78">
        <v>0</v>
      </c>
      <c r="N70" s="78">
        <v>0</v>
      </c>
      <c r="O70" s="78">
        <v>0</v>
      </c>
      <c r="P70" s="78">
        <v>0</v>
      </c>
      <c r="Q70" s="78">
        <f t="shared" si="0"/>
        <v>1584000</v>
      </c>
    </row>
    <row r="71" spans="1:17" x14ac:dyDescent="0.3">
      <c r="A71" s="177" t="s">
        <v>162</v>
      </c>
      <c r="B71" s="177" t="s">
        <v>1736</v>
      </c>
      <c r="C71" s="78" t="s">
        <v>1737</v>
      </c>
      <c r="D71" s="78">
        <v>0</v>
      </c>
      <c r="E71" s="78">
        <v>8320.9699999999993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8">
        <v>0</v>
      </c>
      <c r="L71" s="78">
        <v>0</v>
      </c>
      <c r="M71" s="78">
        <v>0</v>
      </c>
      <c r="N71" s="78">
        <v>0</v>
      </c>
      <c r="O71" s="78">
        <v>0</v>
      </c>
      <c r="P71" s="78">
        <v>0</v>
      </c>
      <c r="Q71" s="78">
        <f t="shared" si="0"/>
        <v>8320.9699999999993</v>
      </c>
    </row>
    <row r="72" spans="1:17" x14ac:dyDescent="0.3">
      <c r="A72" s="177" t="s">
        <v>162</v>
      </c>
      <c r="B72" s="177" t="s">
        <v>1738</v>
      </c>
      <c r="C72" s="78" t="s">
        <v>1739</v>
      </c>
      <c r="D72" s="78">
        <v>0</v>
      </c>
      <c r="E72" s="78">
        <v>27860087.34</v>
      </c>
      <c r="F72" s="78">
        <v>27703176.84</v>
      </c>
      <c r="G72" s="78">
        <v>30046266.34</v>
      </c>
      <c r="H72" s="78">
        <v>29868522.84</v>
      </c>
      <c r="I72" s="78">
        <v>29690779.34</v>
      </c>
      <c r="J72" s="78">
        <v>29325534.84</v>
      </c>
      <c r="K72" s="78">
        <v>29147791.34</v>
      </c>
      <c r="L72" s="78">
        <v>28970047.84</v>
      </c>
      <c r="M72" s="78">
        <v>28792304.34</v>
      </c>
      <c r="N72" s="78">
        <v>28614560.84</v>
      </c>
      <c r="O72" s="78">
        <v>28436817.34</v>
      </c>
      <c r="P72" s="78">
        <v>28259073.84</v>
      </c>
      <c r="Q72" s="78">
        <f t="shared" si="0"/>
        <v>346714963.07999992</v>
      </c>
    </row>
    <row r="73" spans="1:17" x14ac:dyDescent="0.3">
      <c r="A73" s="177" t="s">
        <v>162</v>
      </c>
      <c r="B73" s="177" t="s">
        <v>1740</v>
      </c>
      <c r="C73" s="78" t="s">
        <v>1741</v>
      </c>
      <c r="D73" s="78">
        <v>0</v>
      </c>
      <c r="E73" s="78">
        <v>42986927.9118881</v>
      </c>
      <c r="F73" s="78">
        <v>43414275.762253501</v>
      </c>
      <c r="G73" s="78">
        <v>43880914.558297902</v>
      </c>
      <c r="H73" s="78">
        <v>44333768.194285698</v>
      </c>
      <c r="I73" s="78">
        <v>44786144.9067626</v>
      </c>
      <c r="J73" s="78">
        <v>45249338.6713043</v>
      </c>
      <c r="K73" s="78">
        <v>45741050.125839397</v>
      </c>
      <c r="L73" s="78">
        <v>46291391.631176502</v>
      </c>
      <c r="M73" s="78">
        <v>46744721.809777804</v>
      </c>
      <c r="N73" s="78">
        <v>47267692.827761203</v>
      </c>
      <c r="O73" s="78">
        <v>47653725.063157901</v>
      </c>
      <c r="P73" s="78">
        <v>48247988.095454499</v>
      </c>
      <c r="Q73" s="78">
        <f t="shared" si="0"/>
        <v>546597939.55795944</v>
      </c>
    </row>
    <row r="74" spans="1:17" x14ac:dyDescent="0.3">
      <c r="A74" s="177" t="s">
        <v>162</v>
      </c>
      <c r="B74" s="177" t="s">
        <v>1742</v>
      </c>
      <c r="C74" s="78" t="s">
        <v>1743</v>
      </c>
      <c r="D74" s="78">
        <v>0</v>
      </c>
      <c r="E74" s="78">
        <v>469273963.03811198</v>
      </c>
      <c r="F74" s="78">
        <v>470321320.75774598</v>
      </c>
      <c r="G74" s="78">
        <v>471719831.50170201</v>
      </c>
      <c r="H74" s="78">
        <v>472893527.40571398</v>
      </c>
      <c r="I74" s="78">
        <v>473986700.263237</v>
      </c>
      <c r="J74" s="78">
        <v>475118056.04869598</v>
      </c>
      <c r="K74" s="78">
        <v>476469272.14415997</v>
      </c>
      <c r="L74" s="78">
        <v>478344380.18882298</v>
      </c>
      <c r="M74" s="78">
        <v>479133398.55022198</v>
      </c>
      <c r="N74" s="78">
        <v>480554877.08223897</v>
      </c>
      <c r="O74" s="78">
        <v>480508394.38684201</v>
      </c>
      <c r="P74" s="78">
        <v>482479880.95454502</v>
      </c>
      <c r="Q74" s="78">
        <f t="shared" si="0"/>
        <v>5710803602.3220367</v>
      </c>
    </row>
    <row r="75" spans="1:17" x14ac:dyDescent="0.3">
      <c r="A75" s="177" t="s">
        <v>162</v>
      </c>
      <c r="B75" s="177" t="s">
        <v>1744</v>
      </c>
      <c r="C75" s="78" t="s">
        <v>1745</v>
      </c>
      <c r="D75" s="78">
        <v>0</v>
      </c>
      <c r="E75" s="78">
        <v>0</v>
      </c>
      <c r="F75" s="78">
        <v>-0.3</v>
      </c>
      <c r="G75" s="78">
        <v>-0.3</v>
      </c>
      <c r="H75" s="78">
        <v>-0.3</v>
      </c>
      <c r="I75" s="78">
        <v>-0.3</v>
      </c>
      <c r="J75" s="78">
        <v>-0.3</v>
      </c>
      <c r="K75" s="78">
        <v>-0.3</v>
      </c>
      <c r="L75" s="78">
        <v>0</v>
      </c>
      <c r="M75" s="78">
        <v>0</v>
      </c>
      <c r="N75" s="78">
        <v>0</v>
      </c>
      <c r="O75" s="78">
        <v>0</v>
      </c>
      <c r="P75" s="78">
        <v>0</v>
      </c>
      <c r="Q75" s="78">
        <f t="shared" si="0"/>
        <v>-1.8</v>
      </c>
    </row>
    <row r="76" spans="1:17" x14ac:dyDescent="0.3">
      <c r="A76" s="177" t="s">
        <v>162</v>
      </c>
      <c r="B76" s="177" t="s">
        <v>1746</v>
      </c>
      <c r="C76" s="78" t="s">
        <v>1747</v>
      </c>
      <c r="D76" s="78">
        <v>0</v>
      </c>
      <c r="E76" s="78">
        <v>3979180.3021824001</v>
      </c>
      <c r="F76" s="78">
        <v>5545118.197218</v>
      </c>
      <c r="G76" s="78">
        <v>5259342.2357502999</v>
      </c>
      <c r="H76" s="78">
        <v>6429226.7866407996</v>
      </c>
      <c r="I76" s="78">
        <v>6103323.0717155999</v>
      </c>
      <c r="J76" s="78">
        <v>5728663.4150684001</v>
      </c>
      <c r="K76" s="78">
        <v>5334855.2981925001</v>
      </c>
      <c r="L76" s="78">
        <v>4941233.4615149004</v>
      </c>
      <c r="M76" s="78">
        <v>4540948.2694132002</v>
      </c>
      <c r="N76" s="78">
        <v>4174214.2502270001</v>
      </c>
      <c r="O76" s="78">
        <v>3855829.0759525001</v>
      </c>
      <c r="P76" s="78">
        <v>3551993.5323438998</v>
      </c>
      <c r="Q76" s="78">
        <f t="shared" si="0"/>
        <v>59443927.896219499</v>
      </c>
    </row>
    <row r="77" spans="1:17" x14ac:dyDescent="0.3">
      <c r="A77" s="177" t="s">
        <v>162</v>
      </c>
      <c r="B77" s="177" t="s">
        <v>1748</v>
      </c>
      <c r="C77" s="78" t="s">
        <v>1749</v>
      </c>
      <c r="D77" s="78">
        <v>0</v>
      </c>
      <c r="E77" s="78">
        <v>0</v>
      </c>
      <c r="F77" s="78">
        <v>696035</v>
      </c>
      <c r="G77" s="78">
        <v>2750217</v>
      </c>
      <c r="H77" s="78">
        <v>4603255</v>
      </c>
      <c r="I77" s="78">
        <v>5607905</v>
      </c>
      <c r="J77" s="78">
        <v>5167446</v>
      </c>
      <c r="K77" s="78">
        <v>4257309</v>
      </c>
      <c r="L77" s="78">
        <v>3527567</v>
      </c>
      <c r="M77" s="78">
        <v>2684573</v>
      </c>
      <c r="N77" s="78">
        <v>3214255</v>
      </c>
      <c r="O77" s="78">
        <v>5438278</v>
      </c>
      <c r="P77" s="78">
        <v>8276151</v>
      </c>
      <c r="Q77" s="78">
        <f t="shared" si="0"/>
        <v>46222991</v>
      </c>
    </row>
    <row r="78" spans="1:17" x14ac:dyDescent="0.3">
      <c r="A78" s="177" t="s">
        <v>162</v>
      </c>
      <c r="B78" s="177" t="s">
        <v>1750</v>
      </c>
      <c r="C78" s="78" t="s">
        <v>1751</v>
      </c>
      <c r="D78" s="78">
        <v>0</v>
      </c>
      <c r="E78" s="78">
        <v>1104309.6666667</v>
      </c>
      <c r="F78" s="78">
        <v>1065966.6666667</v>
      </c>
      <c r="G78" s="78">
        <v>1027623.6666667</v>
      </c>
      <c r="H78" s="78">
        <v>989280.66666670004</v>
      </c>
      <c r="I78" s="78">
        <v>950937.66666670004</v>
      </c>
      <c r="J78" s="78">
        <v>912594.66666670004</v>
      </c>
      <c r="K78" s="78">
        <v>874251.66666670004</v>
      </c>
      <c r="L78" s="78">
        <v>835908.66666670004</v>
      </c>
      <c r="M78" s="78">
        <v>797565.66666670004</v>
      </c>
      <c r="N78" s="78">
        <v>759222.66666670004</v>
      </c>
      <c r="O78" s="78">
        <v>720879.66666670004</v>
      </c>
      <c r="P78" s="78">
        <v>682536.66666670004</v>
      </c>
      <c r="Q78" s="78">
        <f t="shared" si="0"/>
        <v>10721078.000000397</v>
      </c>
    </row>
    <row r="79" spans="1:17" x14ac:dyDescent="0.3">
      <c r="A79" s="177" t="s">
        <v>162</v>
      </c>
      <c r="B79" s="177" t="s">
        <v>1752</v>
      </c>
      <c r="C79" s="78" t="s">
        <v>1753</v>
      </c>
      <c r="D79" s="78">
        <v>0</v>
      </c>
      <c r="E79" s="78">
        <v>885953.43333330005</v>
      </c>
      <c r="F79" s="78">
        <v>868234.36466670001</v>
      </c>
      <c r="G79" s="78">
        <v>850515.29599999997</v>
      </c>
      <c r="H79" s="78">
        <v>832796.22733330005</v>
      </c>
      <c r="I79" s="78">
        <v>815077.15866670001</v>
      </c>
      <c r="J79" s="78">
        <v>797358.09</v>
      </c>
      <c r="K79" s="78">
        <v>779639.02133330004</v>
      </c>
      <c r="L79" s="78">
        <v>761919.9526667</v>
      </c>
      <c r="M79" s="78">
        <v>744200.88399999996</v>
      </c>
      <c r="N79" s="78">
        <v>726481.81533330004</v>
      </c>
      <c r="O79" s="78">
        <v>708762.7466667</v>
      </c>
      <c r="P79" s="78">
        <v>691043.67799999996</v>
      </c>
      <c r="Q79" s="78">
        <f t="shared" ref="Q79:Q142" si="1">SUM(D79:P79)</f>
        <v>9461982.6679999996</v>
      </c>
    </row>
    <row r="80" spans="1:17" x14ac:dyDescent="0.3">
      <c r="A80" s="177" t="s">
        <v>162</v>
      </c>
      <c r="B80" s="177" t="s">
        <v>1758</v>
      </c>
      <c r="C80" s="78" t="s">
        <v>1759</v>
      </c>
      <c r="D80" s="78">
        <v>0</v>
      </c>
      <c r="E80" s="78">
        <v>236366507</v>
      </c>
      <c r="F80" s="78">
        <v>236366507</v>
      </c>
      <c r="G80" s="78">
        <v>236366507</v>
      </c>
      <c r="H80" s="78">
        <v>236366507</v>
      </c>
      <c r="I80" s="78">
        <v>236366507</v>
      </c>
      <c r="J80" s="78">
        <v>236366507</v>
      </c>
      <c r="K80" s="78">
        <v>236366507</v>
      </c>
      <c r="L80" s="78">
        <v>236366507</v>
      </c>
      <c r="M80" s="78">
        <v>236366507</v>
      </c>
      <c r="N80" s="78">
        <v>236366507</v>
      </c>
      <c r="O80" s="78">
        <v>236366507</v>
      </c>
      <c r="P80" s="78">
        <v>236366507</v>
      </c>
      <c r="Q80" s="78">
        <f t="shared" si="1"/>
        <v>2836398084</v>
      </c>
    </row>
    <row r="81" spans="1:17" x14ac:dyDescent="0.3">
      <c r="A81" s="177" t="s">
        <v>162</v>
      </c>
      <c r="B81" s="177" t="s">
        <v>1760</v>
      </c>
      <c r="C81" s="78" t="s">
        <v>1761</v>
      </c>
      <c r="D81" s="78">
        <v>0</v>
      </c>
      <c r="E81" s="78">
        <v>-41134.57</v>
      </c>
      <c r="F81" s="78">
        <v>-41134.57</v>
      </c>
      <c r="G81" s="78">
        <v>-41134.57</v>
      </c>
      <c r="H81" s="78">
        <v>-41134.57</v>
      </c>
      <c r="I81" s="78">
        <v>-41134.57</v>
      </c>
      <c r="J81" s="78">
        <v>-41134.57</v>
      </c>
      <c r="K81" s="78">
        <v>-41134.57</v>
      </c>
      <c r="L81" s="78">
        <v>-41134.57</v>
      </c>
      <c r="M81" s="78">
        <v>-41134.57</v>
      </c>
      <c r="N81" s="78">
        <v>-41134.57</v>
      </c>
      <c r="O81" s="78">
        <v>-41134.57</v>
      </c>
      <c r="P81" s="78">
        <v>-41134.57</v>
      </c>
      <c r="Q81" s="78">
        <f t="shared" si="1"/>
        <v>-493614.84</v>
      </c>
    </row>
    <row r="82" spans="1:17" x14ac:dyDescent="0.3">
      <c r="A82" s="177" t="s">
        <v>162</v>
      </c>
      <c r="B82" s="177" t="s">
        <v>1762</v>
      </c>
      <c r="C82" s="78" t="s">
        <v>1763</v>
      </c>
      <c r="D82" s="78">
        <v>0</v>
      </c>
      <c r="E82" s="78">
        <v>1308195.2777778001</v>
      </c>
      <c r="F82" s="78">
        <v>1251317.2222221999</v>
      </c>
      <c r="G82" s="78">
        <v>1194439.1666667</v>
      </c>
      <c r="H82" s="78">
        <v>1137561.1111111001</v>
      </c>
      <c r="I82" s="78">
        <v>1080683.0555556</v>
      </c>
      <c r="J82" s="78">
        <v>1023805</v>
      </c>
      <c r="K82" s="78">
        <v>966926.94444440003</v>
      </c>
      <c r="L82" s="78">
        <v>910048.88888890005</v>
      </c>
      <c r="M82" s="78">
        <v>853170.83333329996</v>
      </c>
      <c r="N82" s="78">
        <v>796292.77777779999</v>
      </c>
      <c r="O82" s="78">
        <v>739414.72222220001</v>
      </c>
      <c r="P82" s="78">
        <v>682536.66666670004</v>
      </c>
      <c r="Q82" s="78">
        <f t="shared" si="1"/>
        <v>11944391.6666667</v>
      </c>
    </row>
    <row r="83" spans="1:17" x14ac:dyDescent="0.3">
      <c r="A83" s="177" t="s">
        <v>162</v>
      </c>
      <c r="B83" s="177" t="s">
        <v>1764</v>
      </c>
      <c r="C83" s="78" t="s">
        <v>1765</v>
      </c>
      <c r="D83" s="78">
        <v>0</v>
      </c>
      <c r="E83" s="78">
        <v>14072458.779999999</v>
      </c>
      <c r="F83" s="78">
        <v>14271292.449999999</v>
      </c>
      <c r="G83" s="78">
        <v>14470715.189999999</v>
      </c>
      <c r="H83" s="78">
        <v>14670729.449999999</v>
      </c>
      <c r="I83" s="78">
        <v>14871337.689999999</v>
      </c>
      <c r="J83" s="78">
        <v>15072542.4</v>
      </c>
      <c r="K83" s="78">
        <v>15274346.050000001</v>
      </c>
      <c r="L83" s="78">
        <v>15476751.140000001</v>
      </c>
      <c r="M83" s="78">
        <v>15679760.18</v>
      </c>
      <c r="N83" s="78">
        <v>15883375.689999999</v>
      </c>
      <c r="O83" s="78">
        <v>16087600.189999999</v>
      </c>
      <c r="P83" s="78">
        <v>16292436.220000001</v>
      </c>
      <c r="Q83" s="78">
        <f t="shared" si="1"/>
        <v>182123345.42999998</v>
      </c>
    </row>
    <row r="84" spans="1:17" x14ac:dyDescent="0.3">
      <c r="A84" s="177" t="s">
        <v>162</v>
      </c>
      <c r="B84" s="177" t="s">
        <v>1768</v>
      </c>
      <c r="C84" s="78" t="s">
        <v>1769</v>
      </c>
      <c r="D84" s="78">
        <v>0</v>
      </c>
      <c r="E84" s="78">
        <v>1783151</v>
      </c>
      <c r="F84" s="78">
        <v>1794057</v>
      </c>
      <c r="G84" s="78">
        <v>1805210</v>
      </c>
      <c r="H84" s="78">
        <v>1816059</v>
      </c>
      <c r="I84" s="78">
        <v>1825901</v>
      </c>
      <c r="J84" s="78">
        <v>1834736</v>
      </c>
      <c r="K84" s="78">
        <v>1842564</v>
      </c>
      <c r="L84" s="78">
        <v>1849555</v>
      </c>
      <c r="M84" s="78">
        <v>1855739</v>
      </c>
      <c r="N84" s="78">
        <v>1860960</v>
      </c>
      <c r="O84" s="78">
        <v>1865205</v>
      </c>
      <c r="P84" s="78">
        <v>1868459</v>
      </c>
      <c r="Q84" s="78">
        <f t="shared" si="1"/>
        <v>22001596</v>
      </c>
    </row>
    <row r="85" spans="1:17" x14ac:dyDescent="0.3">
      <c r="A85" s="177" t="s">
        <v>162</v>
      </c>
      <c r="B85" s="177" t="s">
        <v>1772</v>
      </c>
      <c r="C85" s="78" t="s">
        <v>1773</v>
      </c>
      <c r="D85" s="78">
        <v>0</v>
      </c>
      <c r="E85" s="78">
        <v>1610980</v>
      </c>
      <c r="F85" s="78">
        <v>1688310</v>
      </c>
      <c r="G85" s="78">
        <v>1763807</v>
      </c>
      <c r="H85" s="78">
        <v>1837471</v>
      </c>
      <c r="I85" s="78">
        <v>1909301</v>
      </c>
      <c r="J85" s="78">
        <v>1979298</v>
      </c>
      <c r="K85" s="78">
        <v>2047462</v>
      </c>
      <c r="L85" s="78">
        <v>2113792</v>
      </c>
      <c r="M85" s="78">
        <v>2178289</v>
      </c>
      <c r="N85" s="78">
        <v>2240953</v>
      </c>
      <c r="O85" s="78">
        <v>2301783</v>
      </c>
      <c r="P85" s="78">
        <v>2360780</v>
      </c>
      <c r="Q85" s="78">
        <f t="shared" si="1"/>
        <v>24032226</v>
      </c>
    </row>
    <row r="86" spans="1:17" x14ac:dyDescent="0.3">
      <c r="A86" s="177" t="s">
        <v>162</v>
      </c>
      <c r="B86" s="177" t="s">
        <v>1774</v>
      </c>
      <c r="C86" s="78" t="s">
        <v>1775</v>
      </c>
      <c r="D86" s="78">
        <v>0</v>
      </c>
      <c r="E86" s="78">
        <v>118667989.92</v>
      </c>
      <c r="F86" s="78">
        <v>122035603.58</v>
      </c>
      <c r="G86" s="78">
        <v>122873796.01000001</v>
      </c>
      <c r="H86" s="78">
        <v>128055506.58</v>
      </c>
      <c r="I86" s="78">
        <v>128660737.22</v>
      </c>
      <c r="J86" s="78">
        <v>128985178.48</v>
      </c>
      <c r="K86" s="78">
        <v>129208584.41</v>
      </c>
      <c r="L86" s="78">
        <v>129512793.52</v>
      </c>
      <c r="M86" s="78">
        <v>129871133.97</v>
      </c>
      <c r="N86" s="78">
        <v>130255539.47</v>
      </c>
      <c r="O86" s="78">
        <v>130660004.8</v>
      </c>
      <c r="P86" s="78">
        <v>131185925.19</v>
      </c>
      <c r="Q86" s="78">
        <f t="shared" si="1"/>
        <v>1529972793.1499999</v>
      </c>
    </row>
    <row r="87" spans="1:17" x14ac:dyDescent="0.3">
      <c r="A87" s="177" t="s">
        <v>162</v>
      </c>
      <c r="B87" s="177" t="s">
        <v>1776</v>
      </c>
      <c r="C87" s="78" t="s">
        <v>1777</v>
      </c>
      <c r="D87" s="78">
        <v>0</v>
      </c>
      <c r="E87" s="78">
        <v>961669.59</v>
      </c>
      <c r="F87" s="78">
        <v>961669.59</v>
      </c>
      <c r="G87" s="78">
        <v>961669.59</v>
      </c>
      <c r="H87" s="78">
        <v>961669.59</v>
      </c>
      <c r="I87" s="78">
        <v>961669.59</v>
      </c>
      <c r="J87" s="78">
        <v>961669.59</v>
      </c>
      <c r="K87" s="78">
        <v>961669.59</v>
      </c>
      <c r="L87" s="78">
        <v>961669.59</v>
      </c>
      <c r="M87" s="78">
        <v>961669.59</v>
      </c>
      <c r="N87" s="78">
        <v>961669.59</v>
      </c>
      <c r="O87" s="78">
        <v>961669.59</v>
      </c>
      <c r="P87" s="78">
        <v>961669.59</v>
      </c>
      <c r="Q87" s="78">
        <f t="shared" si="1"/>
        <v>11540035.08</v>
      </c>
    </row>
    <row r="88" spans="1:17" x14ac:dyDescent="0.3">
      <c r="A88" s="177" t="s">
        <v>162</v>
      </c>
      <c r="B88" s="177" t="s">
        <v>1778</v>
      </c>
      <c r="C88" s="78" t="s">
        <v>293</v>
      </c>
      <c r="D88" s="78">
        <v>0</v>
      </c>
      <c r="E88" s="78">
        <v>6756821.5499999998</v>
      </c>
      <c r="F88" s="78">
        <v>6803821.5499999998</v>
      </c>
      <c r="G88" s="78">
        <v>6884821.5499999998</v>
      </c>
      <c r="H88" s="78">
        <v>6952821.5499999998</v>
      </c>
      <c r="I88" s="78">
        <v>6990821.5499999998</v>
      </c>
      <c r="J88" s="78">
        <v>7028821.5499999998</v>
      </c>
      <c r="K88" s="78">
        <v>7091821.5499999998</v>
      </c>
      <c r="L88" s="78">
        <v>7129821.5499999998</v>
      </c>
      <c r="M88" s="78">
        <v>3866821.55</v>
      </c>
      <c r="N88" s="78">
        <v>3904821.55</v>
      </c>
      <c r="O88" s="78">
        <v>3942821.55</v>
      </c>
      <c r="P88" s="78">
        <v>3692821.55</v>
      </c>
      <c r="Q88" s="78">
        <f t="shared" si="1"/>
        <v>71046858.599999979</v>
      </c>
    </row>
    <row r="89" spans="1:17" x14ac:dyDescent="0.3">
      <c r="A89" s="177" t="s">
        <v>162</v>
      </c>
      <c r="B89" s="177" t="s">
        <v>1781</v>
      </c>
      <c r="C89" s="78" t="s">
        <v>1782</v>
      </c>
      <c r="D89" s="78">
        <v>0</v>
      </c>
      <c r="E89" s="78">
        <v>1653000</v>
      </c>
      <c r="F89" s="78">
        <v>1653000</v>
      </c>
      <c r="G89" s="78">
        <v>1593000</v>
      </c>
      <c r="H89" s="78">
        <v>1593000</v>
      </c>
      <c r="I89" s="78">
        <v>1593000</v>
      </c>
      <c r="J89" s="78">
        <v>1533000</v>
      </c>
      <c r="K89" s="78">
        <v>1533000</v>
      </c>
      <c r="L89" s="78">
        <v>1533000</v>
      </c>
      <c r="M89" s="78">
        <v>1473000</v>
      </c>
      <c r="N89" s="78">
        <v>1473000</v>
      </c>
      <c r="O89" s="78">
        <v>1473000</v>
      </c>
      <c r="P89" s="78">
        <v>1413000</v>
      </c>
      <c r="Q89" s="78">
        <f t="shared" si="1"/>
        <v>18516000</v>
      </c>
    </row>
    <row r="90" spans="1:17" x14ac:dyDescent="0.3">
      <c r="A90" s="177" t="s">
        <v>162</v>
      </c>
      <c r="B90" s="177" t="s">
        <v>1783</v>
      </c>
      <c r="C90" s="78" t="s">
        <v>1784</v>
      </c>
      <c r="D90" s="78">
        <v>0</v>
      </c>
      <c r="E90" s="78">
        <v>1487028.57</v>
      </c>
      <c r="F90" s="78">
        <v>1622627.1</v>
      </c>
      <c r="G90" s="78">
        <v>1447416.04</v>
      </c>
      <c r="H90" s="78">
        <v>1361192.99</v>
      </c>
      <c r="I90" s="78">
        <v>1235625.98</v>
      </c>
      <c r="J90" s="78">
        <v>1585578.89</v>
      </c>
      <c r="K90" s="78">
        <v>3743054.87</v>
      </c>
      <c r="L90" s="78">
        <v>4074650.68</v>
      </c>
      <c r="M90" s="78">
        <v>3790817.94</v>
      </c>
      <c r="N90" s="78">
        <v>3671099.05</v>
      </c>
      <c r="O90" s="78">
        <v>3580512.88</v>
      </c>
      <c r="P90" s="78">
        <v>1575385.36</v>
      </c>
      <c r="Q90" s="78">
        <f t="shared" si="1"/>
        <v>29174990.350000001</v>
      </c>
    </row>
    <row r="91" spans="1:17" x14ac:dyDescent="0.3">
      <c r="A91" s="177" t="s">
        <v>162</v>
      </c>
      <c r="B91" s="177" t="s">
        <v>1785</v>
      </c>
      <c r="C91" s="78" t="s">
        <v>1786</v>
      </c>
      <c r="D91" s="78">
        <v>0</v>
      </c>
      <c r="E91" s="78">
        <v>382158.84</v>
      </c>
      <c r="F91" s="78">
        <v>382158.84</v>
      </c>
      <c r="G91" s="78">
        <v>382158.84</v>
      </c>
      <c r="H91" s="78">
        <v>382158.84</v>
      </c>
      <c r="I91" s="78">
        <v>382158.84</v>
      </c>
      <c r="J91" s="78">
        <v>382158.84</v>
      </c>
      <c r="K91" s="78">
        <v>382158.84</v>
      </c>
      <c r="L91" s="78">
        <v>382158.84</v>
      </c>
      <c r="M91" s="78">
        <v>376739.57</v>
      </c>
      <c r="N91" s="78">
        <v>371320.3</v>
      </c>
      <c r="O91" s="78">
        <v>365901.03</v>
      </c>
      <c r="P91" s="78">
        <v>360481.76</v>
      </c>
      <c r="Q91" s="78">
        <f t="shared" si="1"/>
        <v>4531713.379999999</v>
      </c>
    </row>
    <row r="92" spans="1:17" x14ac:dyDescent="0.3">
      <c r="A92" s="177" t="s">
        <v>162</v>
      </c>
      <c r="B92" s="177" t="s">
        <v>1787</v>
      </c>
      <c r="C92" s="78" t="s">
        <v>309</v>
      </c>
      <c r="D92" s="78">
        <v>0</v>
      </c>
      <c r="E92" s="78">
        <v>2503027.35</v>
      </c>
      <c r="F92" s="78">
        <v>2471180.7799999998</v>
      </c>
      <c r="G92" s="78">
        <v>2439334.21</v>
      </c>
      <c r="H92" s="78">
        <v>2407487.64</v>
      </c>
      <c r="I92" s="78">
        <v>2375641.0699999998</v>
      </c>
      <c r="J92" s="78">
        <v>2343794.5</v>
      </c>
      <c r="K92" s="78">
        <v>2311947.9300000002</v>
      </c>
      <c r="L92" s="78">
        <v>2280101.36</v>
      </c>
      <c r="M92" s="78">
        <v>2253674.06</v>
      </c>
      <c r="N92" s="78">
        <v>2227246.7599999998</v>
      </c>
      <c r="O92" s="78">
        <v>2200819.46</v>
      </c>
      <c r="P92" s="78">
        <v>2174392.16</v>
      </c>
      <c r="Q92" s="78">
        <f t="shared" si="1"/>
        <v>27988647.279999997</v>
      </c>
    </row>
    <row r="93" spans="1:17" x14ac:dyDescent="0.3">
      <c r="A93" s="177" t="s">
        <v>162</v>
      </c>
      <c r="B93" s="177" t="s">
        <v>1788</v>
      </c>
      <c r="C93" s="78" t="s">
        <v>1789</v>
      </c>
      <c r="D93" s="78">
        <v>0</v>
      </c>
      <c r="E93" s="78">
        <v>105864300.51000001</v>
      </c>
      <c r="F93" s="78">
        <v>106795400.09</v>
      </c>
      <c r="G93" s="78">
        <v>107773818.43000001</v>
      </c>
      <c r="H93" s="78">
        <v>108768222.34999999</v>
      </c>
      <c r="I93" s="78">
        <v>109752812.90000001</v>
      </c>
      <c r="J93" s="78">
        <v>110688023.14</v>
      </c>
      <c r="K93" s="78">
        <v>111507367.56999999</v>
      </c>
      <c r="L93" s="78">
        <v>112561407.86</v>
      </c>
      <c r="M93" s="78">
        <v>113476083.68000001</v>
      </c>
      <c r="N93" s="78">
        <v>114742358.55</v>
      </c>
      <c r="O93" s="78">
        <v>115963758.09</v>
      </c>
      <c r="P93" s="78">
        <v>117167056.04000001</v>
      </c>
      <c r="Q93" s="78">
        <f t="shared" si="1"/>
        <v>1335060609.2099998</v>
      </c>
    </row>
    <row r="94" spans="1:17" x14ac:dyDescent="0.3">
      <c r="A94" s="177" t="s">
        <v>162</v>
      </c>
      <c r="B94" s="177" t="s">
        <v>1790</v>
      </c>
      <c r="C94" s="78" t="s">
        <v>1791</v>
      </c>
      <c r="D94" s="78">
        <v>0</v>
      </c>
      <c r="E94" s="78">
        <v>110743462.34</v>
      </c>
      <c r="F94" s="78">
        <v>110743462.34</v>
      </c>
      <c r="G94" s="78">
        <v>109830923.93000001</v>
      </c>
      <c r="H94" s="78">
        <v>109830923.93000001</v>
      </c>
      <c r="I94" s="78">
        <v>109830923.93000001</v>
      </c>
      <c r="J94" s="78">
        <v>108918385.52</v>
      </c>
      <c r="K94" s="78">
        <v>108918385.52</v>
      </c>
      <c r="L94" s="78">
        <v>108918385.52</v>
      </c>
      <c r="M94" s="78">
        <v>108005847.11</v>
      </c>
      <c r="N94" s="78">
        <v>108005847.11</v>
      </c>
      <c r="O94" s="78">
        <v>108005847.11</v>
      </c>
      <c r="P94" s="78">
        <v>107093308.7</v>
      </c>
      <c r="Q94" s="78">
        <f t="shared" si="1"/>
        <v>1308845703.0599999</v>
      </c>
    </row>
    <row r="95" spans="1:17" x14ac:dyDescent="0.3">
      <c r="A95" s="177" t="s">
        <v>162</v>
      </c>
      <c r="B95" s="177" t="s">
        <v>1792</v>
      </c>
      <c r="C95" s="78" t="s">
        <v>1793</v>
      </c>
      <c r="D95" s="78">
        <v>0</v>
      </c>
      <c r="E95" s="78">
        <v>-18808.509999999998</v>
      </c>
      <c r="F95" s="78">
        <v>-18808.509999999998</v>
      </c>
      <c r="G95" s="78">
        <v>-18808.509999999998</v>
      </c>
      <c r="H95" s="78">
        <v>-18808.509999999998</v>
      </c>
      <c r="I95" s="78">
        <v>-18808.509999999998</v>
      </c>
      <c r="J95" s="78">
        <v>-18808.509999999998</v>
      </c>
      <c r="K95" s="78">
        <v>-18808.509999999998</v>
      </c>
      <c r="L95" s="78">
        <v>-18808.509999999998</v>
      </c>
      <c r="M95" s="78">
        <v>-18808.509999999998</v>
      </c>
      <c r="N95" s="78">
        <v>-18808.509999999998</v>
      </c>
      <c r="O95" s="78">
        <v>-18808.509999999998</v>
      </c>
      <c r="P95" s="78">
        <v>-18808.509999999998</v>
      </c>
      <c r="Q95" s="78">
        <f t="shared" si="1"/>
        <v>-225702.12000000002</v>
      </c>
    </row>
    <row r="96" spans="1:17" x14ac:dyDescent="0.3">
      <c r="A96" s="177" t="s">
        <v>162</v>
      </c>
      <c r="B96" s="177" t="s">
        <v>1794</v>
      </c>
      <c r="C96" s="78" t="s">
        <v>1795</v>
      </c>
      <c r="D96" s="78">
        <v>0</v>
      </c>
      <c r="E96" s="78">
        <v>1926508.04</v>
      </c>
      <c r="F96" s="78">
        <v>1926508.04</v>
      </c>
      <c r="G96" s="78">
        <v>1926508.04</v>
      </c>
      <c r="H96" s="78">
        <v>1926508.04</v>
      </c>
      <c r="I96" s="78">
        <v>1926508.04</v>
      </c>
      <c r="J96" s="78">
        <v>1926508.04</v>
      </c>
      <c r="K96" s="78">
        <v>1926508.04</v>
      </c>
      <c r="L96" s="78">
        <v>1926508.04</v>
      </c>
      <c r="M96" s="78">
        <v>1926508.04</v>
      </c>
      <c r="N96" s="78">
        <v>1926508.04</v>
      </c>
      <c r="O96" s="78">
        <v>1926508.04</v>
      </c>
      <c r="P96" s="78">
        <v>1926508.04</v>
      </c>
      <c r="Q96" s="78">
        <f t="shared" si="1"/>
        <v>23118096.479999993</v>
      </c>
    </row>
    <row r="97" spans="1:17" x14ac:dyDescent="0.3">
      <c r="A97" s="177" t="s">
        <v>162</v>
      </c>
      <c r="B97" s="177" t="s">
        <v>1796</v>
      </c>
      <c r="C97" s="78" t="s">
        <v>1797</v>
      </c>
      <c r="D97" s="78">
        <v>0</v>
      </c>
      <c r="E97" s="78">
        <v>1115661.3</v>
      </c>
      <c r="F97" s="78">
        <v>1113494.6200000001</v>
      </c>
      <c r="G97" s="78">
        <v>1111327.94</v>
      </c>
      <c r="H97" s="78">
        <v>1109161.27</v>
      </c>
      <c r="I97" s="78">
        <v>1106994.5900000001</v>
      </c>
      <c r="J97" s="78">
        <v>1104827.9099999999</v>
      </c>
      <c r="K97" s="78">
        <v>1102661.24</v>
      </c>
      <c r="L97" s="78">
        <v>1100494.56</v>
      </c>
      <c r="M97" s="78">
        <v>1098327.8799999999</v>
      </c>
      <c r="N97" s="78">
        <v>1096161.2</v>
      </c>
      <c r="O97" s="78">
        <v>1093994.53</v>
      </c>
      <c r="P97" s="78">
        <v>1091827.8500000001</v>
      </c>
      <c r="Q97" s="78">
        <f t="shared" si="1"/>
        <v>13244934.889999997</v>
      </c>
    </row>
    <row r="98" spans="1:17" x14ac:dyDescent="0.3">
      <c r="A98" s="177" t="s">
        <v>162</v>
      </c>
      <c r="B98" s="177" t="s">
        <v>1798</v>
      </c>
      <c r="C98" s="78" t="s">
        <v>1799</v>
      </c>
      <c r="D98" s="78">
        <v>0</v>
      </c>
      <c r="E98" s="78">
        <v>79139928.760000005</v>
      </c>
      <c r="F98" s="78">
        <v>79139928.760000005</v>
      </c>
      <c r="G98" s="78">
        <v>79139928.760000005</v>
      </c>
      <c r="H98" s="78">
        <v>79139928.760000005</v>
      </c>
      <c r="I98" s="78">
        <v>79139928.760000005</v>
      </c>
      <c r="J98" s="78">
        <v>79139928.760000005</v>
      </c>
      <c r="K98" s="78">
        <v>79139928.760000005</v>
      </c>
      <c r="L98" s="78">
        <v>79139928.760000005</v>
      </c>
      <c r="M98" s="78">
        <v>79139928.760000005</v>
      </c>
      <c r="N98" s="78">
        <v>79139928.760000005</v>
      </c>
      <c r="O98" s="78">
        <v>79139928.760000005</v>
      </c>
      <c r="P98" s="78">
        <v>79139928.760000005</v>
      </c>
      <c r="Q98" s="78">
        <f t="shared" si="1"/>
        <v>949679145.12</v>
      </c>
    </row>
    <row r="99" spans="1:17" x14ac:dyDescent="0.3">
      <c r="A99" s="177" t="s">
        <v>162</v>
      </c>
      <c r="B99" s="177" t="s">
        <v>1800</v>
      </c>
      <c r="C99" s="78" t="s">
        <v>1801</v>
      </c>
      <c r="D99" s="78">
        <v>0</v>
      </c>
      <c r="E99" s="78">
        <v>300305658.70999998</v>
      </c>
      <c r="F99" s="78">
        <v>315518358.70999998</v>
      </c>
      <c r="G99" s="78">
        <v>315968358.70999998</v>
      </c>
      <c r="H99" s="78">
        <v>341615427.70999998</v>
      </c>
      <c r="I99" s="78">
        <v>341615427.70999998</v>
      </c>
      <c r="J99" s="78">
        <v>342065427.70999998</v>
      </c>
      <c r="K99" s="78">
        <v>342065427.70999998</v>
      </c>
      <c r="L99" s="78">
        <v>342065427.70999998</v>
      </c>
      <c r="M99" s="78">
        <v>342515427.70999998</v>
      </c>
      <c r="N99" s="78">
        <v>342515427.70999998</v>
      </c>
      <c r="O99" s="78">
        <v>342515427.70999998</v>
      </c>
      <c r="P99" s="78">
        <v>344415824.70999998</v>
      </c>
      <c r="Q99" s="78">
        <f t="shared" si="1"/>
        <v>4013181622.52</v>
      </c>
    </row>
    <row r="100" spans="1:17" x14ac:dyDescent="0.3">
      <c r="A100" s="177" t="s">
        <v>162</v>
      </c>
      <c r="B100" s="177" t="s">
        <v>1802</v>
      </c>
      <c r="C100" s="78" t="s">
        <v>1803</v>
      </c>
      <c r="D100" s="78">
        <v>0</v>
      </c>
      <c r="E100" s="78">
        <v>52342766.32</v>
      </c>
      <c r="F100" s="78">
        <v>54773398.32</v>
      </c>
      <c r="G100" s="78">
        <v>57583684.32</v>
      </c>
      <c r="H100" s="78">
        <v>61278525.32</v>
      </c>
      <c r="I100" s="78">
        <v>65378705.32</v>
      </c>
      <c r="J100" s="78">
        <v>68929648.319999993</v>
      </c>
      <c r="K100" s="78">
        <v>72306716.319999993</v>
      </c>
      <c r="L100" s="78">
        <v>75580690.319999993</v>
      </c>
      <c r="M100" s="78">
        <v>78467048.319999993</v>
      </c>
      <c r="N100" s="78">
        <v>81276961.319999993</v>
      </c>
      <c r="O100" s="78">
        <v>83434076.319999993</v>
      </c>
      <c r="P100" s="78">
        <v>85598174.319999993</v>
      </c>
      <c r="Q100" s="78">
        <f t="shared" si="1"/>
        <v>836950394.83999991</v>
      </c>
    </row>
    <row r="101" spans="1:17" x14ac:dyDescent="0.3">
      <c r="A101" s="177" t="s">
        <v>162</v>
      </c>
      <c r="B101" s="177" t="s">
        <v>1804</v>
      </c>
      <c r="C101" s="78" t="s">
        <v>1805</v>
      </c>
      <c r="D101" s="78">
        <v>0</v>
      </c>
      <c r="E101" s="78">
        <v>24026837.68</v>
      </c>
      <c r="F101" s="78">
        <v>24206199.030000001</v>
      </c>
      <c r="G101" s="78">
        <v>24398674.699999999</v>
      </c>
      <c r="H101" s="78">
        <v>24595580.73</v>
      </c>
      <c r="I101" s="78">
        <v>24789767</v>
      </c>
      <c r="J101" s="78">
        <v>24970267.629999999</v>
      </c>
      <c r="K101" s="78">
        <v>25118656.300000001</v>
      </c>
      <c r="L101" s="78">
        <v>25332090.420000002</v>
      </c>
      <c r="M101" s="78">
        <v>25506899.98</v>
      </c>
      <c r="N101" s="78">
        <v>25779154.469999999</v>
      </c>
      <c r="O101" s="78">
        <v>26038971.870000001</v>
      </c>
      <c r="P101" s="78">
        <v>26293772.440000001</v>
      </c>
      <c r="Q101" s="78">
        <f t="shared" si="1"/>
        <v>301056872.25</v>
      </c>
    </row>
    <row r="102" spans="1:17" x14ac:dyDescent="0.3">
      <c r="A102" s="177" t="s">
        <v>162</v>
      </c>
      <c r="B102" s="177" t="s">
        <v>1806</v>
      </c>
      <c r="C102" s="78" t="s">
        <v>1807</v>
      </c>
      <c r="D102" s="78">
        <v>0</v>
      </c>
      <c r="E102" s="78">
        <v>16789878.239999998</v>
      </c>
      <c r="F102" s="78">
        <v>16789878.239999998</v>
      </c>
      <c r="G102" s="78">
        <v>16789878.239999998</v>
      </c>
      <c r="H102" s="78">
        <v>16789878.239999998</v>
      </c>
      <c r="I102" s="78">
        <v>16789878.239999998</v>
      </c>
      <c r="J102" s="78">
        <v>16789878.239999998</v>
      </c>
      <c r="K102" s="78">
        <v>16789878.239999998</v>
      </c>
      <c r="L102" s="78">
        <v>16789878.239999998</v>
      </c>
      <c r="M102" s="78">
        <v>16789878.239999998</v>
      </c>
      <c r="N102" s="78">
        <v>16789878.239999998</v>
      </c>
      <c r="O102" s="78">
        <v>16789878.239999998</v>
      </c>
      <c r="P102" s="78">
        <v>16789878.239999998</v>
      </c>
      <c r="Q102" s="78">
        <f t="shared" si="1"/>
        <v>201478538.88000003</v>
      </c>
    </row>
    <row r="103" spans="1:17" x14ac:dyDescent="0.3">
      <c r="A103" s="177" t="s">
        <v>162</v>
      </c>
      <c r="B103" s="177" t="s">
        <v>1808</v>
      </c>
      <c r="C103" s="78" t="s">
        <v>1809</v>
      </c>
      <c r="D103" s="78">
        <v>0</v>
      </c>
      <c r="E103" s="78">
        <v>-5210.92</v>
      </c>
      <c r="F103" s="78">
        <v>-5210.92</v>
      </c>
      <c r="G103" s="78">
        <v>-5210.92</v>
      </c>
      <c r="H103" s="78">
        <v>-5210.92</v>
      </c>
      <c r="I103" s="78">
        <v>-5210.92</v>
      </c>
      <c r="J103" s="78">
        <v>-5210.92</v>
      </c>
      <c r="K103" s="78">
        <v>-5210.92</v>
      </c>
      <c r="L103" s="78">
        <v>-5210.92</v>
      </c>
      <c r="M103" s="78">
        <v>-5210.92</v>
      </c>
      <c r="N103" s="78">
        <v>-5210.92</v>
      </c>
      <c r="O103" s="78">
        <v>-5210.92</v>
      </c>
      <c r="P103" s="78">
        <v>-5210.92</v>
      </c>
      <c r="Q103" s="78">
        <f t="shared" si="1"/>
        <v>-62531.039999999986</v>
      </c>
    </row>
    <row r="104" spans="1:17" x14ac:dyDescent="0.3">
      <c r="A104" s="177" t="s">
        <v>162</v>
      </c>
      <c r="B104" s="177" t="s">
        <v>1810</v>
      </c>
      <c r="C104" s="78" t="s">
        <v>1811</v>
      </c>
      <c r="D104" s="78">
        <v>0</v>
      </c>
      <c r="E104" s="78">
        <v>0.2</v>
      </c>
      <c r="F104" s="78">
        <v>0.2</v>
      </c>
      <c r="G104" s="78">
        <v>0.2</v>
      </c>
      <c r="H104" s="78">
        <v>0.2</v>
      </c>
      <c r="I104" s="78">
        <v>0.2</v>
      </c>
      <c r="J104" s="78">
        <v>0.2</v>
      </c>
      <c r="K104" s="78">
        <v>0.2</v>
      </c>
      <c r="L104" s="78">
        <v>0.2</v>
      </c>
      <c r="M104" s="78">
        <v>0.2</v>
      </c>
      <c r="N104" s="78">
        <v>0.2</v>
      </c>
      <c r="O104" s="78">
        <v>0.2</v>
      </c>
      <c r="P104" s="78">
        <v>0.2</v>
      </c>
      <c r="Q104" s="78">
        <f t="shared" si="1"/>
        <v>2.4</v>
      </c>
    </row>
    <row r="105" spans="1:17" x14ac:dyDescent="0.3">
      <c r="A105" s="177" t="s">
        <v>162</v>
      </c>
      <c r="B105" s="177" t="s">
        <v>1812</v>
      </c>
      <c r="C105" s="78" t="s">
        <v>1813</v>
      </c>
      <c r="D105" s="78">
        <v>0</v>
      </c>
      <c r="E105" s="78">
        <v>142700.51999959999</v>
      </c>
      <c r="F105" s="78">
        <v>142100.0299996</v>
      </c>
      <c r="G105" s="78">
        <v>141499.53999960001</v>
      </c>
      <c r="H105" s="78">
        <v>140899.04999960001</v>
      </c>
      <c r="I105" s="78">
        <v>140298.5599997</v>
      </c>
      <c r="J105" s="78">
        <v>139698.0699997</v>
      </c>
      <c r="K105" s="78">
        <v>139097.57999970001</v>
      </c>
      <c r="L105" s="78">
        <v>138497.08999969999</v>
      </c>
      <c r="M105" s="78">
        <v>137896.5999997</v>
      </c>
      <c r="N105" s="78">
        <v>137296.10999970001</v>
      </c>
      <c r="O105" s="78">
        <v>136695.61999969999</v>
      </c>
      <c r="P105" s="78">
        <v>136095.1299997</v>
      </c>
      <c r="Q105" s="78">
        <f t="shared" si="1"/>
        <v>1672773.8999959999</v>
      </c>
    </row>
    <row r="106" spans="1:17" x14ac:dyDescent="0.3">
      <c r="A106" s="177" t="s">
        <v>162</v>
      </c>
      <c r="B106" s="177" t="s">
        <v>1814</v>
      </c>
      <c r="C106" s="78" t="s">
        <v>1815</v>
      </c>
      <c r="D106" s="78">
        <v>0</v>
      </c>
      <c r="E106" s="78">
        <v>12997895.699999999</v>
      </c>
      <c r="F106" s="78">
        <v>12997895.699999999</v>
      </c>
      <c r="G106" s="78">
        <v>12997895.699999999</v>
      </c>
      <c r="H106" s="78">
        <v>12997895.699999999</v>
      </c>
      <c r="I106" s="78">
        <v>12997895.699999999</v>
      </c>
      <c r="J106" s="78">
        <v>12997895.699999999</v>
      </c>
      <c r="K106" s="78">
        <v>12997895.699999999</v>
      </c>
      <c r="L106" s="78">
        <v>12997895.699999999</v>
      </c>
      <c r="M106" s="78">
        <v>12997895.699999999</v>
      </c>
      <c r="N106" s="78">
        <v>12997895.699999999</v>
      </c>
      <c r="O106" s="78">
        <v>12997895.699999999</v>
      </c>
      <c r="P106" s="78">
        <v>12997895.699999999</v>
      </c>
      <c r="Q106" s="78">
        <f t="shared" si="1"/>
        <v>155974748.40000001</v>
      </c>
    </row>
    <row r="107" spans="1:17" x14ac:dyDescent="0.3">
      <c r="A107" s="177" t="s">
        <v>162</v>
      </c>
      <c r="B107" s="177" t="s">
        <v>1816</v>
      </c>
      <c r="C107" s="78" t="s">
        <v>1817</v>
      </c>
      <c r="D107" s="78">
        <v>0</v>
      </c>
      <c r="E107" s="78">
        <v>-65784011.450000003</v>
      </c>
      <c r="F107" s="78">
        <v>-69831361.519999996</v>
      </c>
      <c r="G107" s="78">
        <v>-69563811</v>
      </c>
      <c r="H107" s="78">
        <v>-76510625.909999996</v>
      </c>
      <c r="I107" s="78">
        <v>-76182955.299999997</v>
      </c>
      <c r="J107" s="78">
        <v>-75855284.760000005</v>
      </c>
      <c r="K107" s="78">
        <v>-75527614.239999995</v>
      </c>
      <c r="L107" s="78">
        <v>-75199943.670000002</v>
      </c>
      <c r="M107" s="78">
        <v>-74872273.140000001</v>
      </c>
      <c r="N107" s="78">
        <v>-74544602.549999997</v>
      </c>
      <c r="O107" s="78">
        <v>-74216932.030000001</v>
      </c>
      <c r="P107" s="78">
        <v>-74295549.310000002</v>
      </c>
      <c r="Q107" s="78">
        <f t="shared" si="1"/>
        <v>-882384964.87999988</v>
      </c>
    </row>
    <row r="108" spans="1:17" x14ac:dyDescent="0.3">
      <c r="A108" s="177" t="s">
        <v>162</v>
      </c>
      <c r="B108" s="177" t="s">
        <v>1818</v>
      </c>
      <c r="C108" s="78" t="s">
        <v>315</v>
      </c>
      <c r="D108" s="78">
        <v>0</v>
      </c>
      <c r="E108" s="78">
        <v>119696800</v>
      </c>
      <c r="F108" s="78">
        <v>119696800</v>
      </c>
      <c r="G108" s="78">
        <v>119696800</v>
      </c>
      <c r="H108" s="78">
        <v>119696800</v>
      </c>
      <c r="I108" s="78">
        <v>119696800</v>
      </c>
      <c r="J108" s="78">
        <v>119696800</v>
      </c>
      <c r="K108" s="78">
        <v>119696800</v>
      </c>
      <c r="L108" s="78">
        <v>119696800</v>
      </c>
      <c r="M108" s="78">
        <v>119696800</v>
      </c>
      <c r="N108" s="78">
        <v>119696800</v>
      </c>
      <c r="O108" s="78">
        <v>119696800</v>
      </c>
      <c r="P108" s="78">
        <v>119696800</v>
      </c>
      <c r="Q108" s="78">
        <f t="shared" si="1"/>
        <v>1436361600</v>
      </c>
    </row>
    <row r="109" spans="1:17" x14ac:dyDescent="0.3">
      <c r="A109" s="177" t="s">
        <v>162</v>
      </c>
      <c r="B109" s="177" t="s">
        <v>1819</v>
      </c>
      <c r="C109" s="78" t="s">
        <v>321</v>
      </c>
      <c r="D109" s="78">
        <v>0</v>
      </c>
      <c r="E109" s="78">
        <v>4985840200</v>
      </c>
      <c r="F109" s="78">
        <v>5145840200</v>
      </c>
      <c r="G109" s="78">
        <v>5145840200</v>
      </c>
      <c r="H109" s="78">
        <v>5145840200</v>
      </c>
      <c r="I109" s="78">
        <v>5300840200</v>
      </c>
      <c r="J109" s="78">
        <v>5300840200</v>
      </c>
      <c r="K109" s="78">
        <v>5300840200</v>
      </c>
      <c r="L109" s="78">
        <v>5450840200</v>
      </c>
      <c r="M109" s="78">
        <v>5450840200</v>
      </c>
      <c r="N109" s="78">
        <v>5450840200</v>
      </c>
      <c r="O109" s="78">
        <v>5565840200</v>
      </c>
      <c r="P109" s="78">
        <v>5565840200</v>
      </c>
      <c r="Q109" s="78">
        <f t="shared" si="1"/>
        <v>63810082400</v>
      </c>
    </row>
    <row r="110" spans="1:17" x14ac:dyDescent="0.3">
      <c r="A110" s="177" t="s">
        <v>162</v>
      </c>
      <c r="B110" s="177" t="s">
        <v>1820</v>
      </c>
      <c r="C110" s="78" t="s">
        <v>323</v>
      </c>
      <c r="D110" s="78">
        <v>0</v>
      </c>
      <c r="E110" s="78">
        <v>-700900</v>
      </c>
      <c r="F110" s="78">
        <v>-700900</v>
      </c>
      <c r="G110" s="78">
        <v>-700900</v>
      </c>
      <c r="H110" s="78">
        <v>-700900</v>
      </c>
      <c r="I110" s="78">
        <v>-700900</v>
      </c>
      <c r="J110" s="78">
        <v>-700900</v>
      </c>
      <c r="K110" s="78">
        <v>-700900</v>
      </c>
      <c r="L110" s="78">
        <v>-700900</v>
      </c>
      <c r="M110" s="78">
        <v>-700900</v>
      </c>
      <c r="N110" s="78">
        <v>-700900</v>
      </c>
      <c r="O110" s="78">
        <v>-700900</v>
      </c>
      <c r="P110" s="78">
        <v>-700900</v>
      </c>
      <c r="Q110" s="78">
        <f t="shared" si="1"/>
        <v>-8410800</v>
      </c>
    </row>
    <row r="111" spans="1:17" x14ac:dyDescent="0.3">
      <c r="A111" s="177" t="s">
        <v>162</v>
      </c>
      <c r="B111" s="177" t="s">
        <v>1821</v>
      </c>
      <c r="C111" s="78" t="s">
        <v>1822</v>
      </c>
      <c r="D111" s="78">
        <v>0</v>
      </c>
      <c r="E111" s="78">
        <v>249197472.95984101</v>
      </c>
      <c r="F111" s="78">
        <v>187957939.655599</v>
      </c>
      <c r="G111" s="78">
        <v>207636872.95460099</v>
      </c>
      <c r="H111" s="78">
        <v>238440591.93904799</v>
      </c>
      <c r="I111" s="78">
        <v>207498484.991283</v>
      </c>
      <c r="J111" s="78">
        <v>254959369.25075999</v>
      </c>
      <c r="K111" s="78">
        <v>308954616.65669</v>
      </c>
      <c r="L111" s="78">
        <v>242825255.34687701</v>
      </c>
      <c r="M111" s="78">
        <v>294000311.82010603</v>
      </c>
      <c r="N111" s="78">
        <v>327392874.27941799</v>
      </c>
      <c r="O111" s="78">
        <v>186334372.71725199</v>
      </c>
      <c r="P111" s="78">
        <v>199314502.54972699</v>
      </c>
      <c r="Q111" s="78">
        <f t="shared" si="1"/>
        <v>2904512665.121202</v>
      </c>
    </row>
    <row r="112" spans="1:17" x14ac:dyDescent="0.3">
      <c r="A112" s="177" t="s">
        <v>162</v>
      </c>
      <c r="B112" s="177" t="s">
        <v>1823</v>
      </c>
      <c r="C112" s="78" t="s">
        <v>1824</v>
      </c>
      <c r="D112" s="78">
        <v>0</v>
      </c>
      <c r="E112" s="78">
        <v>-1988001.71</v>
      </c>
      <c r="F112" s="78">
        <v>-1977083.74</v>
      </c>
      <c r="G112" s="78">
        <v>-1966165.77</v>
      </c>
      <c r="H112" s="78">
        <v>-1955247.8</v>
      </c>
      <c r="I112" s="78">
        <v>-1944329.83</v>
      </c>
      <c r="J112" s="78">
        <v>-1933411.86</v>
      </c>
      <c r="K112" s="78">
        <v>-1922493.89</v>
      </c>
      <c r="L112" s="78">
        <v>-1911575.92</v>
      </c>
      <c r="M112" s="78">
        <v>-1900657.95</v>
      </c>
      <c r="N112" s="78">
        <v>-1889739.98</v>
      </c>
      <c r="O112" s="78">
        <v>-1878822.01</v>
      </c>
      <c r="P112" s="78">
        <v>-1867904.04</v>
      </c>
      <c r="Q112" s="78">
        <f t="shared" si="1"/>
        <v>-23135434.500000004</v>
      </c>
    </row>
    <row r="113" spans="1:17" x14ac:dyDescent="0.3">
      <c r="A113" s="177" t="s">
        <v>162</v>
      </c>
      <c r="B113" s="177" t="s">
        <v>1825</v>
      </c>
      <c r="C113" s="78" t="s">
        <v>1826</v>
      </c>
      <c r="D113" s="78">
        <v>0</v>
      </c>
      <c r="E113" s="78">
        <v>1258361.8199996001</v>
      </c>
      <c r="F113" s="78">
        <v>1255594.6499995999</v>
      </c>
      <c r="G113" s="78">
        <v>1252827.4799996</v>
      </c>
      <c r="H113" s="78">
        <v>1250060.3199996001</v>
      </c>
      <c r="I113" s="78">
        <v>1247293.1499997</v>
      </c>
      <c r="J113" s="78">
        <v>1244525.9799997001</v>
      </c>
      <c r="K113" s="78">
        <v>1241758.8199996999</v>
      </c>
      <c r="L113" s="78">
        <v>1238991.6499997</v>
      </c>
      <c r="M113" s="78">
        <v>1236224.4799997001</v>
      </c>
      <c r="N113" s="78">
        <v>1233457.3099996999</v>
      </c>
      <c r="O113" s="78">
        <v>1230690.1499997</v>
      </c>
      <c r="P113" s="78">
        <v>1227922.9799997001</v>
      </c>
      <c r="Q113" s="78">
        <f t="shared" si="1"/>
        <v>14917708.789996004</v>
      </c>
    </row>
    <row r="114" spans="1:17" x14ac:dyDescent="0.3">
      <c r="A114" s="177" t="s">
        <v>162</v>
      </c>
      <c r="B114" s="177" t="s">
        <v>1829</v>
      </c>
      <c r="C114" s="78" t="s">
        <v>1830</v>
      </c>
      <c r="D114" s="78">
        <v>0</v>
      </c>
      <c r="E114" s="78">
        <v>3975000000</v>
      </c>
      <c r="F114" s="78">
        <v>3975000000</v>
      </c>
      <c r="G114" s="78">
        <v>4475000000</v>
      </c>
      <c r="H114" s="78">
        <v>4475000000</v>
      </c>
      <c r="I114" s="78">
        <v>4475000000</v>
      </c>
      <c r="J114" s="78">
        <v>4475000000</v>
      </c>
      <c r="K114" s="78">
        <v>4475000000</v>
      </c>
      <c r="L114" s="78">
        <v>4475000000</v>
      </c>
      <c r="M114" s="78">
        <v>4475000000</v>
      </c>
      <c r="N114" s="78">
        <v>4475000000</v>
      </c>
      <c r="O114" s="78">
        <v>4475000000</v>
      </c>
      <c r="P114" s="78">
        <v>4475000000</v>
      </c>
      <c r="Q114" s="78">
        <f t="shared" si="1"/>
        <v>52700000000</v>
      </c>
    </row>
    <row r="115" spans="1:17" x14ac:dyDescent="0.3">
      <c r="A115" s="177" t="s">
        <v>162</v>
      </c>
      <c r="B115" s="177" t="s">
        <v>1831</v>
      </c>
      <c r="C115" s="78" t="s">
        <v>1832</v>
      </c>
      <c r="D115" s="78">
        <v>0</v>
      </c>
      <c r="E115" s="78">
        <v>-12404314.359999999</v>
      </c>
      <c r="F115" s="78">
        <v>-14807175.08</v>
      </c>
      <c r="G115" s="78">
        <v>-14689202.800000001</v>
      </c>
      <c r="H115" s="78">
        <v>-14571230.52</v>
      </c>
      <c r="I115" s="78">
        <v>-14453258.24</v>
      </c>
      <c r="J115" s="78">
        <v>-14335285.960000001</v>
      </c>
      <c r="K115" s="78">
        <v>-14217313.68</v>
      </c>
      <c r="L115" s="78">
        <v>-14099341.4</v>
      </c>
      <c r="M115" s="78">
        <v>-13981369.119999999</v>
      </c>
      <c r="N115" s="78">
        <v>-13863396.84</v>
      </c>
      <c r="O115" s="78">
        <v>-13745424.560000001</v>
      </c>
      <c r="P115" s="78">
        <v>-13627452.279999999</v>
      </c>
      <c r="Q115" s="78">
        <f t="shared" si="1"/>
        <v>-168794764.84</v>
      </c>
    </row>
    <row r="116" spans="1:17" x14ac:dyDescent="0.3">
      <c r="A116" s="177" t="s">
        <v>162</v>
      </c>
      <c r="B116" s="177" t="s">
        <v>1833</v>
      </c>
      <c r="C116" s="78" t="s">
        <v>1834</v>
      </c>
      <c r="D116" s="78">
        <v>0</v>
      </c>
      <c r="E116" s="78">
        <v>29831896.2749037</v>
      </c>
      <c r="F116" s="78">
        <v>29845865.710505299</v>
      </c>
      <c r="G116" s="78">
        <v>29859900.209828898</v>
      </c>
      <c r="H116" s="78">
        <v>29874000.074997202</v>
      </c>
      <c r="I116" s="78">
        <v>29888165.6095329</v>
      </c>
      <c r="J116" s="78">
        <v>29902397.1183649</v>
      </c>
      <c r="K116" s="78">
        <v>29915799.834842499</v>
      </c>
      <c r="L116" s="78">
        <v>29929265.8130312</v>
      </c>
      <c r="M116" s="78">
        <v>29942795.349753998</v>
      </c>
      <c r="N116" s="78">
        <v>29956388.743220001</v>
      </c>
      <c r="O116" s="78">
        <v>29970046.2930317</v>
      </c>
      <c r="P116" s="78">
        <v>29982221.879069101</v>
      </c>
      <c r="Q116" s="78">
        <f t="shared" si="1"/>
        <v>358898742.91108143</v>
      </c>
    </row>
    <row r="117" spans="1:17" x14ac:dyDescent="0.3">
      <c r="A117" s="177" t="s">
        <v>162</v>
      </c>
      <c r="B117" s="177" t="s">
        <v>1835</v>
      </c>
      <c r="C117" s="78" t="s">
        <v>1836</v>
      </c>
      <c r="D117" s="78">
        <v>0</v>
      </c>
      <c r="E117" s="78">
        <v>2511839.8616252998</v>
      </c>
      <c r="F117" s="78">
        <v>2465844.6543975999</v>
      </c>
      <c r="G117" s="78">
        <v>2419784.6775662</v>
      </c>
      <c r="H117" s="78">
        <v>2373659.8414456998</v>
      </c>
      <c r="I117" s="78">
        <v>2326915.2398780002</v>
      </c>
      <c r="J117" s="78">
        <v>2280104.8138653999</v>
      </c>
      <c r="K117" s="78">
        <v>2233228.4718192001</v>
      </c>
      <c r="L117" s="78">
        <v>2186286.1209181999</v>
      </c>
      <c r="M117" s="78">
        <v>2139277.6682120999</v>
      </c>
      <c r="N117" s="78">
        <v>2092203.0206197</v>
      </c>
      <c r="O117" s="78">
        <v>2045062.0849289</v>
      </c>
      <c r="P117" s="78">
        <v>1997854.7677960999</v>
      </c>
      <c r="Q117" s="78">
        <f t="shared" si="1"/>
        <v>27072061.223072402</v>
      </c>
    </row>
    <row r="118" spans="1:17" x14ac:dyDescent="0.3">
      <c r="A118" s="177" t="s">
        <v>162</v>
      </c>
      <c r="B118" s="177" t="s">
        <v>1837</v>
      </c>
      <c r="C118" s="78" t="s">
        <v>347</v>
      </c>
      <c r="D118" s="78">
        <v>0</v>
      </c>
      <c r="E118" s="78">
        <v>17835455.5666667</v>
      </c>
      <c r="F118" s="78">
        <v>17835455.5666667</v>
      </c>
      <c r="G118" s="78">
        <v>17835455.5666667</v>
      </c>
      <c r="H118" s="78">
        <v>17835455.5666667</v>
      </c>
      <c r="I118" s="78">
        <v>17835455.5666667</v>
      </c>
      <c r="J118" s="78">
        <v>17835455.5666667</v>
      </c>
      <c r="K118" s="78">
        <v>17835455.5666667</v>
      </c>
      <c r="L118" s="78">
        <v>17835455.5666667</v>
      </c>
      <c r="M118" s="78">
        <v>17835455.5666667</v>
      </c>
      <c r="N118" s="78">
        <v>17835455.5666667</v>
      </c>
      <c r="O118" s="78">
        <v>17835455.5666667</v>
      </c>
      <c r="P118" s="78">
        <v>17835455.5666667</v>
      </c>
      <c r="Q118" s="78">
        <f t="shared" si="1"/>
        <v>214025466.80000034</v>
      </c>
    </row>
    <row r="119" spans="1:17" x14ac:dyDescent="0.3">
      <c r="A119" s="177" t="s">
        <v>162</v>
      </c>
      <c r="B119" s="177" t="s">
        <v>1838</v>
      </c>
      <c r="C119" s="78" t="s">
        <v>1839</v>
      </c>
      <c r="D119" s="78">
        <v>0</v>
      </c>
      <c r="E119" s="78">
        <v>6554084.0833333004</v>
      </c>
      <c r="F119" s="78">
        <v>6562487.1666666996</v>
      </c>
      <c r="G119" s="78">
        <v>6570890.25</v>
      </c>
      <c r="H119" s="78">
        <v>6579293.3333333004</v>
      </c>
      <c r="I119" s="78">
        <v>6587696.4166666996</v>
      </c>
      <c r="J119" s="78">
        <v>6596099.5</v>
      </c>
      <c r="K119" s="78">
        <v>6604502.5833333004</v>
      </c>
      <c r="L119" s="78">
        <v>6612905.6666666996</v>
      </c>
      <c r="M119" s="78">
        <v>6621308.75</v>
      </c>
      <c r="N119" s="78">
        <v>6629711.8333333004</v>
      </c>
      <c r="O119" s="78">
        <v>6638114.9166666996</v>
      </c>
      <c r="P119" s="78">
        <v>6646518</v>
      </c>
      <c r="Q119" s="78">
        <f t="shared" si="1"/>
        <v>79203612.5</v>
      </c>
    </row>
    <row r="120" spans="1:17" x14ac:dyDescent="0.3">
      <c r="A120" s="177" t="s">
        <v>162</v>
      </c>
      <c r="B120" s="177" t="s">
        <v>1840</v>
      </c>
      <c r="C120" s="78" t="s">
        <v>1841</v>
      </c>
      <c r="D120" s="78">
        <v>0</v>
      </c>
      <c r="E120" s="78">
        <v>2349507.25</v>
      </c>
      <c r="F120" s="78">
        <v>2346870.5</v>
      </c>
      <c r="G120" s="78">
        <v>2344233.75</v>
      </c>
      <c r="H120" s="78">
        <v>2341597</v>
      </c>
      <c r="I120" s="78">
        <v>2338960.25</v>
      </c>
      <c r="J120" s="78">
        <v>2336323.5</v>
      </c>
      <c r="K120" s="78">
        <v>2333686.75</v>
      </c>
      <c r="L120" s="78">
        <v>2331050</v>
      </c>
      <c r="M120" s="78">
        <v>2328413.25</v>
      </c>
      <c r="N120" s="78">
        <v>2325776.5</v>
      </c>
      <c r="O120" s="78">
        <v>2323139.75</v>
      </c>
      <c r="P120" s="78">
        <v>2320503</v>
      </c>
      <c r="Q120" s="78">
        <f t="shared" si="1"/>
        <v>28020061.5</v>
      </c>
    </row>
    <row r="121" spans="1:17" x14ac:dyDescent="0.3">
      <c r="A121" s="177" t="s">
        <v>162</v>
      </c>
      <c r="B121" s="177" t="s">
        <v>1842</v>
      </c>
      <c r="C121" s="78" t="s">
        <v>1843</v>
      </c>
      <c r="D121" s="78">
        <v>0</v>
      </c>
      <c r="E121" s="78">
        <v>57289</v>
      </c>
      <c r="F121" s="78">
        <v>57289</v>
      </c>
      <c r="G121" s="78">
        <v>57289</v>
      </c>
      <c r="H121" s="78">
        <v>57289</v>
      </c>
      <c r="I121" s="78">
        <v>57289</v>
      </c>
      <c r="J121" s="78">
        <v>57289</v>
      </c>
      <c r="K121" s="78">
        <v>57289</v>
      </c>
      <c r="L121" s="78">
        <v>57289</v>
      </c>
      <c r="M121" s="78">
        <v>57289</v>
      </c>
      <c r="N121" s="78">
        <v>57289</v>
      </c>
      <c r="O121" s="78">
        <v>57289</v>
      </c>
      <c r="P121" s="78">
        <v>57289</v>
      </c>
      <c r="Q121" s="78">
        <f t="shared" si="1"/>
        <v>687468</v>
      </c>
    </row>
    <row r="122" spans="1:17" x14ac:dyDescent="0.3">
      <c r="A122" s="177" t="s">
        <v>162</v>
      </c>
      <c r="B122" s="177" t="s">
        <v>1844</v>
      </c>
      <c r="C122" s="78" t="s">
        <v>1845</v>
      </c>
      <c r="D122" s="78">
        <v>0</v>
      </c>
      <c r="E122" s="78">
        <v>1027652</v>
      </c>
      <c r="F122" s="78">
        <v>1027652</v>
      </c>
      <c r="G122" s="78">
        <v>1027652</v>
      </c>
      <c r="H122" s="78">
        <v>1027652</v>
      </c>
      <c r="I122" s="78">
        <v>1027652</v>
      </c>
      <c r="J122" s="78">
        <v>1027652</v>
      </c>
      <c r="K122" s="78">
        <v>1027652</v>
      </c>
      <c r="L122" s="78">
        <v>1027652</v>
      </c>
      <c r="M122" s="78">
        <v>1027652</v>
      </c>
      <c r="N122" s="78">
        <v>1027652</v>
      </c>
      <c r="O122" s="78">
        <v>1027652</v>
      </c>
      <c r="P122" s="78">
        <v>1027652</v>
      </c>
      <c r="Q122" s="78">
        <f t="shared" si="1"/>
        <v>12331824</v>
      </c>
    </row>
    <row r="123" spans="1:17" x14ac:dyDescent="0.3">
      <c r="A123" s="177" t="s">
        <v>162</v>
      </c>
      <c r="B123" s="177" t="s">
        <v>1846</v>
      </c>
      <c r="C123" s="78" t="s">
        <v>1847</v>
      </c>
      <c r="D123" s="78">
        <v>0</v>
      </c>
      <c r="E123" s="78">
        <v>229974898</v>
      </c>
      <c r="F123" s="78">
        <v>229974898</v>
      </c>
      <c r="G123" s="78">
        <v>229670551</v>
      </c>
      <c r="H123" s="78">
        <v>232131551</v>
      </c>
      <c r="I123" s="78">
        <v>232131551</v>
      </c>
      <c r="J123" s="78">
        <v>231827204</v>
      </c>
      <c r="K123" s="78">
        <v>234288204</v>
      </c>
      <c r="L123" s="78">
        <v>234288204</v>
      </c>
      <c r="M123" s="78">
        <v>236444857</v>
      </c>
      <c r="N123" s="78">
        <v>236444857</v>
      </c>
      <c r="O123" s="78">
        <v>236444857</v>
      </c>
      <c r="P123" s="78">
        <v>236140511</v>
      </c>
      <c r="Q123" s="78">
        <f t="shared" si="1"/>
        <v>2799762143</v>
      </c>
    </row>
    <row r="124" spans="1:17" x14ac:dyDescent="0.3">
      <c r="A124" s="177" t="s">
        <v>162</v>
      </c>
      <c r="B124" s="177" t="s">
        <v>1848</v>
      </c>
      <c r="C124" s="78" t="s">
        <v>1849</v>
      </c>
      <c r="D124" s="78">
        <v>0</v>
      </c>
      <c r="E124" s="78">
        <v>-206391291</v>
      </c>
      <c r="F124" s="78">
        <v>-206391291</v>
      </c>
      <c r="G124" s="78">
        <v>-206391291</v>
      </c>
      <c r="H124" s="78">
        <v>-206391291</v>
      </c>
      <c r="I124" s="78">
        <v>-206391291</v>
      </c>
      <c r="J124" s="78">
        <v>-206391291</v>
      </c>
      <c r="K124" s="78">
        <v>-206391291</v>
      </c>
      <c r="L124" s="78">
        <v>-206391291</v>
      </c>
      <c r="M124" s="78">
        <v>-206391291</v>
      </c>
      <c r="N124" s="78">
        <v>-206391291</v>
      </c>
      <c r="O124" s="78">
        <v>-206391291</v>
      </c>
      <c r="P124" s="78">
        <v>-206391291</v>
      </c>
      <c r="Q124" s="78">
        <f t="shared" si="1"/>
        <v>-2476695492</v>
      </c>
    </row>
    <row r="125" spans="1:17" x14ac:dyDescent="0.3">
      <c r="A125" s="177" t="s">
        <v>162</v>
      </c>
      <c r="B125" s="177" t="s">
        <v>1850</v>
      </c>
      <c r="C125" s="78" t="s">
        <v>1851</v>
      </c>
      <c r="D125" s="78">
        <v>0</v>
      </c>
      <c r="E125" s="78">
        <v>416815</v>
      </c>
      <c r="F125" s="78">
        <v>416815</v>
      </c>
      <c r="G125" s="78">
        <v>314519</v>
      </c>
      <c r="H125" s="78">
        <v>314519</v>
      </c>
      <c r="I125" s="78">
        <v>314519</v>
      </c>
      <c r="J125" s="78">
        <v>212223</v>
      </c>
      <c r="K125" s="78">
        <v>212223</v>
      </c>
      <c r="L125" s="78">
        <v>212223</v>
      </c>
      <c r="M125" s="78">
        <v>109927</v>
      </c>
      <c r="N125" s="78">
        <v>109927</v>
      </c>
      <c r="O125" s="78">
        <v>109927</v>
      </c>
      <c r="P125" s="78">
        <v>7631</v>
      </c>
      <c r="Q125" s="78">
        <f t="shared" si="1"/>
        <v>2751268</v>
      </c>
    </row>
    <row r="126" spans="1:17" x14ac:dyDescent="0.3">
      <c r="A126" s="177" t="s">
        <v>162</v>
      </c>
      <c r="B126" s="177" t="s">
        <v>1852</v>
      </c>
      <c r="C126" s="78" t="s">
        <v>1853</v>
      </c>
      <c r="D126" s="78">
        <v>0</v>
      </c>
      <c r="E126" s="78">
        <v>75998.429999999993</v>
      </c>
      <c r="F126" s="78">
        <v>75998.429999999993</v>
      </c>
      <c r="G126" s="78">
        <v>75998.429999999993</v>
      </c>
      <c r="H126" s="78">
        <v>75998.429999999993</v>
      </c>
      <c r="I126" s="78">
        <v>75998.429999999993</v>
      </c>
      <c r="J126" s="78">
        <v>75998.429999999993</v>
      </c>
      <c r="K126" s="78">
        <v>75998.429999999993</v>
      </c>
      <c r="L126" s="78">
        <v>75998.429999999993</v>
      </c>
      <c r="M126" s="78">
        <v>75998.429999999993</v>
      </c>
      <c r="N126" s="78">
        <v>75998.429999999993</v>
      </c>
      <c r="O126" s="78">
        <v>75998.429999999993</v>
      </c>
      <c r="P126" s="78">
        <v>75998.429999999993</v>
      </c>
      <c r="Q126" s="78">
        <f t="shared" si="1"/>
        <v>911981.15999999968</v>
      </c>
    </row>
    <row r="127" spans="1:17" x14ac:dyDescent="0.3">
      <c r="A127" s="177" t="s">
        <v>162</v>
      </c>
      <c r="B127" s="177" t="s">
        <v>1854</v>
      </c>
      <c r="C127" s="78" t="s">
        <v>1855</v>
      </c>
      <c r="D127" s="78">
        <v>0</v>
      </c>
      <c r="E127" s="78">
        <v>503390</v>
      </c>
      <c r="F127" s="78">
        <v>503390</v>
      </c>
      <c r="G127" s="78">
        <v>503390</v>
      </c>
      <c r="H127" s="78">
        <v>535802</v>
      </c>
      <c r="I127" s="78">
        <v>535802</v>
      </c>
      <c r="J127" s="78">
        <v>535802</v>
      </c>
      <c r="K127" s="78">
        <v>568214</v>
      </c>
      <c r="L127" s="78">
        <v>568214</v>
      </c>
      <c r="M127" s="78">
        <v>568214</v>
      </c>
      <c r="N127" s="78">
        <v>600627</v>
      </c>
      <c r="O127" s="78">
        <v>600627</v>
      </c>
      <c r="P127" s="78">
        <v>600627</v>
      </c>
      <c r="Q127" s="78">
        <f t="shared" si="1"/>
        <v>6624099</v>
      </c>
    </row>
    <row r="128" spans="1:17" x14ac:dyDescent="0.3">
      <c r="A128" s="177" t="s">
        <v>162</v>
      </c>
      <c r="B128" s="177" t="s">
        <v>1856</v>
      </c>
      <c r="C128" s="78" t="s">
        <v>1857</v>
      </c>
      <c r="D128" s="78">
        <v>0</v>
      </c>
      <c r="E128" s="78">
        <v>365972.77</v>
      </c>
      <c r="F128" s="78">
        <v>365972.77</v>
      </c>
      <c r="G128" s="78">
        <v>365972.77</v>
      </c>
      <c r="H128" s="78">
        <v>365972.77</v>
      </c>
      <c r="I128" s="78">
        <v>365972.77</v>
      </c>
      <c r="J128" s="78">
        <v>365972.77</v>
      </c>
      <c r="K128" s="78">
        <v>365972.77</v>
      </c>
      <c r="L128" s="78">
        <v>365972.77</v>
      </c>
      <c r="M128" s="78">
        <v>365972.77</v>
      </c>
      <c r="N128" s="78">
        <v>365972.77</v>
      </c>
      <c r="O128" s="78">
        <v>365972.77</v>
      </c>
      <c r="P128" s="78">
        <v>365972.77</v>
      </c>
      <c r="Q128" s="78">
        <f t="shared" si="1"/>
        <v>4391673.24</v>
      </c>
    </row>
    <row r="129" spans="1:17" x14ac:dyDescent="0.3">
      <c r="A129" s="177" t="s">
        <v>162</v>
      </c>
      <c r="B129" s="177" t="s">
        <v>1858</v>
      </c>
      <c r="C129" s="78" t="s">
        <v>1859</v>
      </c>
      <c r="D129" s="78">
        <v>0</v>
      </c>
      <c r="E129" s="78">
        <v>19314010</v>
      </c>
      <c r="F129" s="78">
        <v>19314010</v>
      </c>
      <c r="G129" s="78">
        <v>19314010</v>
      </c>
      <c r="H129" s="78">
        <v>19314010</v>
      </c>
      <c r="I129" s="78">
        <v>19314010</v>
      </c>
      <c r="J129" s="78">
        <v>19314010</v>
      </c>
      <c r="K129" s="78">
        <v>19314010</v>
      </c>
      <c r="L129" s="78">
        <v>19314010</v>
      </c>
      <c r="M129" s="78">
        <v>19314010</v>
      </c>
      <c r="N129" s="78">
        <v>19314010</v>
      </c>
      <c r="O129" s="78">
        <v>19314010</v>
      </c>
      <c r="P129" s="78">
        <v>19314010</v>
      </c>
      <c r="Q129" s="78">
        <f t="shared" si="1"/>
        <v>231768120</v>
      </c>
    </row>
    <row r="130" spans="1:17" x14ac:dyDescent="0.3">
      <c r="A130" s="177" t="s">
        <v>162</v>
      </c>
      <c r="B130" s="177" t="s">
        <v>1860</v>
      </c>
      <c r="C130" s="78" t="s">
        <v>1861</v>
      </c>
      <c r="D130" s="78">
        <v>0</v>
      </c>
      <c r="E130" s="78">
        <v>72789244.030000001</v>
      </c>
      <c r="F130" s="78">
        <v>71923244.030000001</v>
      </c>
      <c r="G130" s="78">
        <v>72405342.030000001</v>
      </c>
      <c r="H130" s="78">
        <v>71539342.030000001</v>
      </c>
      <c r="I130" s="78">
        <v>70673342.030000001</v>
      </c>
      <c r="J130" s="78">
        <v>71155440.030000001</v>
      </c>
      <c r="K130" s="78">
        <v>70289440.030000001</v>
      </c>
      <c r="L130" s="78">
        <v>69423440.030000001</v>
      </c>
      <c r="M130" s="78">
        <v>69905538.030000001</v>
      </c>
      <c r="N130" s="78">
        <v>69039538.030000001</v>
      </c>
      <c r="O130" s="78">
        <v>68173538.030000001</v>
      </c>
      <c r="P130" s="78">
        <v>68655636.030000001</v>
      </c>
      <c r="Q130" s="78">
        <f t="shared" si="1"/>
        <v>845973084.35999978</v>
      </c>
    </row>
    <row r="131" spans="1:17" x14ac:dyDescent="0.3">
      <c r="A131" s="177" t="s">
        <v>162</v>
      </c>
      <c r="B131" s="177" t="s">
        <v>1862</v>
      </c>
      <c r="C131" s="78" t="s">
        <v>1863</v>
      </c>
      <c r="D131" s="78">
        <v>0</v>
      </c>
      <c r="E131" s="78">
        <v>11094326</v>
      </c>
      <c r="F131" s="78">
        <v>11485992</v>
      </c>
      <c r="G131" s="78">
        <v>11327659</v>
      </c>
      <c r="H131" s="78">
        <v>11369326</v>
      </c>
      <c r="I131" s="78">
        <v>11210992</v>
      </c>
      <c r="J131" s="78">
        <v>11277659</v>
      </c>
      <c r="K131" s="78">
        <v>11119326</v>
      </c>
      <c r="L131" s="78">
        <v>11160992</v>
      </c>
      <c r="M131" s="78">
        <v>10702659</v>
      </c>
      <c r="N131" s="78">
        <v>10769326</v>
      </c>
      <c r="O131" s="78">
        <v>10610992</v>
      </c>
      <c r="P131" s="78">
        <v>10552659</v>
      </c>
      <c r="Q131" s="78">
        <f t="shared" si="1"/>
        <v>132681908</v>
      </c>
    </row>
    <row r="132" spans="1:17" x14ac:dyDescent="0.3">
      <c r="A132" s="177" t="s">
        <v>162</v>
      </c>
      <c r="B132" s="177" t="s">
        <v>1864</v>
      </c>
      <c r="C132" s="78" t="s">
        <v>1865</v>
      </c>
      <c r="D132" s="78">
        <v>0</v>
      </c>
      <c r="E132" s="78">
        <v>783000</v>
      </c>
      <c r="F132" s="78">
        <v>783000</v>
      </c>
      <c r="G132" s="78">
        <v>783000</v>
      </c>
      <c r="H132" s="78">
        <v>783000</v>
      </c>
      <c r="I132" s="78">
        <v>783000</v>
      </c>
      <c r="J132" s="78">
        <v>783000</v>
      </c>
      <c r="K132" s="78">
        <v>783000</v>
      </c>
      <c r="L132" s="78">
        <v>783000</v>
      </c>
      <c r="M132" s="78">
        <v>783000</v>
      </c>
      <c r="N132" s="78">
        <v>783000</v>
      </c>
      <c r="O132" s="78">
        <v>783000</v>
      </c>
      <c r="P132" s="78">
        <v>783000</v>
      </c>
      <c r="Q132" s="78">
        <f t="shared" si="1"/>
        <v>9396000</v>
      </c>
    </row>
    <row r="133" spans="1:17" x14ac:dyDescent="0.3">
      <c r="A133" s="177" t="s">
        <v>162</v>
      </c>
      <c r="B133" s="177" t="s">
        <v>1866</v>
      </c>
      <c r="C133" s="78" t="s">
        <v>1867</v>
      </c>
      <c r="D133" s="78">
        <v>0</v>
      </c>
      <c r="E133" s="78">
        <v>33930254.340000004</v>
      </c>
      <c r="F133" s="78">
        <v>34071630.399999999</v>
      </c>
      <c r="G133" s="78">
        <v>34213595.530000001</v>
      </c>
      <c r="H133" s="78">
        <v>34356152.18</v>
      </c>
      <c r="I133" s="78">
        <v>34499302.810000002</v>
      </c>
      <c r="J133" s="78">
        <v>34643049.909999996</v>
      </c>
      <c r="K133" s="78">
        <v>34787395.950000003</v>
      </c>
      <c r="L133" s="78">
        <v>34932343.43</v>
      </c>
      <c r="M133" s="78">
        <v>35077894.859999999</v>
      </c>
      <c r="N133" s="78">
        <v>35224052.759999998</v>
      </c>
      <c r="O133" s="78">
        <v>35370819.649999999</v>
      </c>
      <c r="P133" s="78">
        <v>35518198.07</v>
      </c>
      <c r="Q133" s="78">
        <f t="shared" si="1"/>
        <v>416624689.88999999</v>
      </c>
    </row>
    <row r="134" spans="1:17" x14ac:dyDescent="0.3">
      <c r="A134" s="177" t="s">
        <v>162</v>
      </c>
      <c r="B134" s="177" t="s">
        <v>1868</v>
      </c>
      <c r="C134" s="78" t="s">
        <v>359</v>
      </c>
      <c r="D134" s="78">
        <v>0</v>
      </c>
      <c r="E134" s="78">
        <v>598422401.24888897</v>
      </c>
      <c r="F134" s="78">
        <v>655705087.29093599</v>
      </c>
      <c r="G134" s="78">
        <v>260252506.72569099</v>
      </c>
      <c r="H134" s="78">
        <v>333921046.648453</v>
      </c>
      <c r="I134" s="78">
        <v>304118438.47153699</v>
      </c>
      <c r="J134" s="78">
        <v>369466307.93546301</v>
      </c>
      <c r="K134" s="78">
        <v>437362472.03191102</v>
      </c>
      <c r="L134" s="78">
        <v>456960329.66298002</v>
      </c>
      <c r="M134" s="78">
        <v>471462430.03022301</v>
      </c>
      <c r="N134" s="78">
        <v>432650869.85359597</v>
      </c>
      <c r="O134" s="78">
        <v>596370821.03931797</v>
      </c>
      <c r="P134" s="78">
        <v>553907777.94710696</v>
      </c>
      <c r="Q134" s="78">
        <f t="shared" si="1"/>
        <v>5470600488.8861046</v>
      </c>
    </row>
    <row r="135" spans="1:17" x14ac:dyDescent="0.3">
      <c r="A135" s="177" t="s">
        <v>162</v>
      </c>
      <c r="B135" s="177" t="s">
        <v>1869</v>
      </c>
      <c r="C135" s="78" t="s">
        <v>1870</v>
      </c>
      <c r="D135" s="78">
        <v>0</v>
      </c>
      <c r="E135" s="78">
        <v>33338000</v>
      </c>
      <c r="F135" s="78">
        <v>33338000</v>
      </c>
      <c r="G135" s="78">
        <v>33338000</v>
      </c>
      <c r="H135" s="78">
        <v>33338000</v>
      </c>
      <c r="I135" s="78">
        <v>33338000</v>
      </c>
      <c r="J135" s="78">
        <v>33338000</v>
      </c>
      <c r="K135" s="78">
        <v>33338000</v>
      </c>
      <c r="L135" s="78">
        <v>33338000</v>
      </c>
      <c r="M135" s="78">
        <v>33338000</v>
      </c>
      <c r="N135" s="78">
        <v>33338000</v>
      </c>
      <c r="O135" s="78">
        <v>33338000</v>
      </c>
      <c r="P135" s="78">
        <v>33338000</v>
      </c>
      <c r="Q135" s="78">
        <f t="shared" si="1"/>
        <v>400056000</v>
      </c>
    </row>
    <row r="136" spans="1:17" x14ac:dyDescent="0.3">
      <c r="A136" s="177" t="s">
        <v>162</v>
      </c>
      <c r="B136" s="177" t="s">
        <v>1871</v>
      </c>
      <c r="C136" s="78" t="s">
        <v>1872</v>
      </c>
      <c r="D136" s="78">
        <v>0</v>
      </c>
      <c r="E136" s="78">
        <v>193227081.9600004</v>
      </c>
      <c r="F136" s="78">
        <v>104539767.20999999</v>
      </c>
      <c r="G136" s="78">
        <v>118795715.16</v>
      </c>
      <c r="H136" s="78">
        <v>106427550.06999999</v>
      </c>
      <c r="I136" s="78">
        <v>113718903.31999999</v>
      </c>
      <c r="J136" s="78">
        <v>167375648.90999991</v>
      </c>
      <c r="K136" s="78">
        <v>173805890.13000041</v>
      </c>
      <c r="L136" s="78">
        <v>91425837.069999993</v>
      </c>
      <c r="M136" s="78">
        <v>101195641.68000001</v>
      </c>
      <c r="N136" s="78">
        <v>102591101.03</v>
      </c>
      <c r="O136" s="78">
        <v>90732370.909999996</v>
      </c>
      <c r="P136" s="78">
        <v>198058673.4849999</v>
      </c>
      <c r="Q136" s="78">
        <f t="shared" si="1"/>
        <v>1561894180.9350007</v>
      </c>
    </row>
    <row r="137" spans="1:17" x14ac:dyDescent="0.3">
      <c r="A137" s="177" t="s">
        <v>162</v>
      </c>
      <c r="B137" s="177" t="s">
        <v>1873</v>
      </c>
      <c r="C137" s="78" t="s">
        <v>1874</v>
      </c>
      <c r="D137" s="78">
        <v>0</v>
      </c>
      <c r="E137" s="78">
        <v>15000000</v>
      </c>
      <c r="F137" s="78">
        <v>15000000</v>
      </c>
      <c r="G137" s="78">
        <v>15000000</v>
      </c>
      <c r="H137" s="78">
        <v>15000000</v>
      </c>
      <c r="I137" s="78">
        <v>15000000</v>
      </c>
      <c r="J137" s="78">
        <v>15000000</v>
      </c>
      <c r="K137" s="78">
        <v>15000000</v>
      </c>
      <c r="L137" s="78">
        <v>15000000</v>
      </c>
      <c r="M137" s="78">
        <v>15000000</v>
      </c>
      <c r="N137" s="78">
        <v>15000000</v>
      </c>
      <c r="O137" s="78">
        <v>15000000</v>
      </c>
      <c r="P137" s="78">
        <v>15000000</v>
      </c>
      <c r="Q137" s="78">
        <f t="shared" si="1"/>
        <v>180000000</v>
      </c>
    </row>
    <row r="138" spans="1:17" x14ac:dyDescent="0.3">
      <c r="A138" s="177" t="s">
        <v>162</v>
      </c>
      <c r="B138" s="177" t="s">
        <v>1875</v>
      </c>
      <c r="C138" s="78" t="s">
        <v>1876</v>
      </c>
      <c r="D138" s="78">
        <v>0</v>
      </c>
      <c r="E138" s="78">
        <v>203051.095</v>
      </c>
      <c r="F138" s="78">
        <v>210362.39</v>
      </c>
      <c r="G138" s="78">
        <v>549066.01500000001</v>
      </c>
      <c r="H138" s="78">
        <v>247249.8</v>
      </c>
      <c r="I138" s="78">
        <v>227363.86499999999</v>
      </c>
      <c r="J138" s="78">
        <v>140808.55499999999</v>
      </c>
      <c r="K138" s="78">
        <v>66228.09</v>
      </c>
      <c r="L138" s="78">
        <v>270185.98499999999</v>
      </c>
      <c r="M138" s="78">
        <v>297687.07</v>
      </c>
      <c r="N138" s="78">
        <v>987778.22</v>
      </c>
      <c r="O138" s="78">
        <v>257547.47</v>
      </c>
      <c r="P138" s="78">
        <v>579894.89500000002</v>
      </c>
      <c r="Q138" s="78">
        <f t="shared" si="1"/>
        <v>4037223.45</v>
      </c>
    </row>
    <row r="139" spans="1:17" x14ac:dyDescent="0.3">
      <c r="A139" s="177" t="s">
        <v>162</v>
      </c>
      <c r="B139" s="177" t="s">
        <v>1877</v>
      </c>
      <c r="C139" s="78" t="s">
        <v>1878</v>
      </c>
      <c r="D139" s="78">
        <v>0</v>
      </c>
      <c r="E139" s="78">
        <v>18880.54</v>
      </c>
      <c r="F139" s="78">
        <v>18880.54</v>
      </c>
      <c r="G139" s="78">
        <v>18880.54</v>
      </c>
      <c r="H139" s="78">
        <v>18880.54</v>
      </c>
      <c r="I139" s="78">
        <v>18880.54</v>
      </c>
      <c r="J139" s="78">
        <v>18880.54</v>
      </c>
      <c r="K139" s="78">
        <v>18880.54</v>
      </c>
      <c r="L139" s="78">
        <v>18880.54</v>
      </c>
      <c r="M139" s="78">
        <v>18880.54</v>
      </c>
      <c r="N139" s="78">
        <v>18880.54</v>
      </c>
      <c r="O139" s="78">
        <v>18880.54</v>
      </c>
      <c r="P139" s="78">
        <v>18880.54</v>
      </c>
      <c r="Q139" s="78">
        <f t="shared" si="1"/>
        <v>226566.48000000007</v>
      </c>
    </row>
    <row r="140" spans="1:17" x14ac:dyDescent="0.3">
      <c r="A140" s="177" t="s">
        <v>162</v>
      </c>
      <c r="B140" s="177" t="s">
        <v>1879</v>
      </c>
      <c r="C140" s="78" t="s">
        <v>1880</v>
      </c>
      <c r="D140" s="78">
        <v>0</v>
      </c>
      <c r="E140" s="78">
        <v>-5203.83</v>
      </c>
      <c r="F140" s="78">
        <v>-5203.83</v>
      </c>
      <c r="G140" s="78">
        <v>-5203.83</v>
      </c>
      <c r="H140" s="78">
        <v>-5203.83</v>
      </c>
      <c r="I140" s="78">
        <v>-5203.83</v>
      </c>
      <c r="J140" s="78">
        <v>-5203.83</v>
      </c>
      <c r="K140" s="78">
        <v>-5203.83</v>
      </c>
      <c r="L140" s="78">
        <v>-5203.83</v>
      </c>
      <c r="M140" s="78">
        <v>-5203.83</v>
      </c>
      <c r="N140" s="78">
        <v>-5203.83</v>
      </c>
      <c r="O140" s="78">
        <v>-5203.83</v>
      </c>
      <c r="P140" s="78">
        <v>-5203.83</v>
      </c>
      <c r="Q140" s="78">
        <f t="shared" si="1"/>
        <v>-62445.960000000014</v>
      </c>
    </row>
    <row r="141" spans="1:17" x14ac:dyDescent="0.3">
      <c r="A141" s="177" t="s">
        <v>162</v>
      </c>
      <c r="B141" s="177" t="s">
        <v>1881</v>
      </c>
      <c r="C141" s="78" t="s">
        <v>1882</v>
      </c>
      <c r="D141" s="78">
        <v>0</v>
      </c>
      <c r="E141" s="78">
        <v>8930083.6089724004</v>
      </c>
      <c r="F141" s="78">
        <v>9014565.1287970003</v>
      </c>
      <c r="G141" s="78">
        <v>683544.07882010005</v>
      </c>
      <c r="H141" s="78">
        <v>2252391.6032598</v>
      </c>
      <c r="I141" s="78">
        <v>4541413.3958970997</v>
      </c>
      <c r="J141" s="78">
        <v>5431818.0343334004</v>
      </c>
      <c r="K141" s="78">
        <v>8405784.6607990004</v>
      </c>
      <c r="L141" s="78">
        <v>0</v>
      </c>
      <c r="M141" s="78">
        <v>1439430.81678</v>
      </c>
      <c r="N141" s="78">
        <v>3852041.5610302999</v>
      </c>
      <c r="O141" s="78">
        <v>5044354.4352901997</v>
      </c>
      <c r="P141" s="78">
        <v>7339264.7113972995</v>
      </c>
      <c r="Q141" s="78">
        <f t="shared" si="1"/>
        <v>56934692.035376601</v>
      </c>
    </row>
    <row r="142" spans="1:17" x14ac:dyDescent="0.3">
      <c r="A142" s="177" t="s">
        <v>162</v>
      </c>
      <c r="B142" s="177" t="s">
        <v>1883</v>
      </c>
      <c r="C142" s="78" t="s">
        <v>1884</v>
      </c>
      <c r="D142" s="78">
        <v>0</v>
      </c>
      <c r="E142" s="78">
        <v>962000</v>
      </c>
      <c r="F142" s="78">
        <v>1036000</v>
      </c>
      <c r="G142" s="78">
        <v>222000</v>
      </c>
      <c r="H142" s="78">
        <v>296000</v>
      </c>
      <c r="I142" s="78">
        <v>370000</v>
      </c>
      <c r="J142" s="78">
        <v>444000</v>
      </c>
      <c r="K142" s="78">
        <v>518000</v>
      </c>
      <c r="L142" s="78">
        <v>592000</v>
      </c>
      <c r="M142" s="78">
        <v>666000</v>
      </c>
      <c r="N142" s="78">
        <v>740000</v>
      </c>
      <c r="O142" s="78">
        <v>814000</v>
      </c>
      <c r="P142" s="78">
        <v>888000</v>
      </c>
      <c r="Q142" s="78">
        <f t="shared" si="1"/>
        <v>7548000</v>
      </c>
    </row>
    <row r="143" spans="1:17" x14ac:dyDescent="0.3">
      <c r="A143" s="177" t="s">
        <v>162</v>
      </c>
      <c r="B143" s="177" t="s">
        <v>1891</v>
      </c>
      <c r="C143" s="78" t="s">
        <v>1892</v>
      </c>
      <c r="D143" s="78">
        <v>0</v>
      </c>
      <c r="E143" s="78">
        <v>29536000</v>
      </c>
      <c r="F143" s="78">
        <v>31886000</v>
      </c>
      <c r="G143" s="78">
        <v>7050000</v>
      </c>
      <c r="H143" s="78">
        <v>9400000</v>
      </c>
      <c r="I143" s="78">
        <v>11750000</v>
      </c>
      <c r="J143" s="78">
        <v>14100000</v>
      </c>
      <c r="K143" s="78">
        <v>16450000</v>
      </c>
      <c r="L143" s="78">
        <v>18800000</v>
      </c>
      <c r="M143" s="78">
        <v>21150000</v>
      </c>
      <c r="N143" s="78">
        <v>23500000</v>
      </c>
      <c r="O143" s="78">
        <v>25850000</v>
      </c>
      <c r="P143" s="78">
        <v>28200000</v>
      </c>
      <c r="Q143" s="78">
        <f t="shared" ref="Q143:Q206" si="2">SUM(D143:P143)</f>
        <v>237672000</v>
      </c>
    </row>
    <row r="144" spans="1:17" x14ac:dyDescent="0.3">
      <c r="A144" s="177" t="s">
        <v>162</v>
      </c>
      <c r="B144" s="177" t="s">
        <v>1893</v>
      </c>
      <c r="C144" s="78" t="s">
        <v>1894</v>
      </c>
      <c r="D144" s="78">
        <v>0</v>
      </c>
      <c r="E144" s="78">
        <v>13200</v>
      </c>
      <c r="F144" s="78">
        <v>13200</v>
      </c>
      <c r="G144" s="78">
        <v>13200</v>
      </c>
      <c r="H144" s="78">
        <v>13200</v>
      </c>
      <c r="I144" s="78">
        <v>13200</v>
      </c>
      <c r="J144" s="78">
        <v>13200</v>
      </c>
      <c r="K144" s="78">
        <v>13200</v>
      </c>
      <c r="L144" s="78">
        <v>13200</v>
      </c>
      <c r="M144" s="78">
        <v>13200</v>
      </c>
      <c r="N144" s="78">
        <v>13200</v>
      </c>
      <c r="O144" s="78">
        <v>13200</v>
      </c>
      <c r="P144" s="78">
        <v>13200</v>
      </c>
      <c r="Q144" s="78">
        <f t="shared" si="2"/>
        <v>158400</v>
      </c>
    </row>
    <row r="145" spans="1:17" x14ac:dyDescent="0.3">
      <c r="A145" s="177" t="s">
        <v>162</v>
      </c>
      <c r="B145" s="177" t="s">
        <v>1895</v>
      </c>
      <c r="C145" s="78" t="s">
        <v>1896</v>
      </c>
      <c r="D145" s="78">
        <v>0</v>
      </c>
      <c r="E145" s="78">
        <v>1600</v>
      </c>
      <c r="F145" s="78">
        <v>1600</v>
      </c>
      <c r="G145" s="78">
        <v>1600</v>
      </c>
      <c r="H145" s="78">
        <v>1600</v>
      </c>
      <c r="I145" s="78">
        <v>1600</v>
      </c>
      <c r="J145" s="78">
        <v>1600</v>
      </c>
      <c r="K145" s="78">
        <v>1600</v>
      </c>
      <c r="L145" s="78">
        <v>1600</v>
      </c>
      <c r="M145" s="78">
        <v>1600</v>
      </c>
      <c r="N145" s="78">
        <v>1600</v>
      </c>
      <c r="O145" s="78">
        <v>1600</v>
      </c>
      <c r="P145" s="78">
        <v>1600</v>
      </c>
      <c r="Q145" s="78">
        <f t="shared" si="2"/>
        <v>19200</v>
      </c>
    </row>
    <row r="146" spans="1:17" x14ac:dyDescent="0.3">
      <c r="A146" s="177" t="s">
        <v>162</v>
      </c>
      <c r="B146" s="177" t="s">
        <v>1897</v>
      </c>
      <c r="C146" s="78" t="s">
        <v>1898</v>
      </c>
      <c r="D146" s="78">
        <v>0</v>
      </c>
      <c r="E146" s="78">
        <v>85759</v>
      </c>
      <c r="F146" s="78">
        <v>85759</v>
      </c>
      <c r="G146" s="78">
        <v>85759</v>
      </c>
      <c r="H146" s="78">
        <v>85759</v>
      </c>
      <c r="I146" s="78">
        <v>85759</v>
      </c>
      <c r="J146" s="78">
        <v>85759</v>
      </c>
      <c r="K146" s="78">
        <v>85759</v>
      </c>
      <c r="L146" s="78">
        <v>85759</v>
      </c>
      <c r="M146" s="78">
        <v>85759</v>
      </c>
      <c r="N146" s="78">
        <v>85759</v>
      </c>
      <c r="O146" s="78">
        <v>85759</v>
      </c>
      <c r="P146" s="78">
        <v>85759</v>
      </c>
      <c r="Q146" s="78">
        <f t="shared" si="2"/>
        <v>1029108</v>
      </c>
    </row>
    <row r="147" spans="1:17" x14ac:dyDescent="0.3">
      <c r="A147" s="177" t="s">
        <v>162</v>
      </c>
      <c r="B147" s="177" t="s">
        <v>1899</v>
      </c>
      <c r="C147" s="78" t="s">
        <v>1900</v>
      </c>
      <c r="D147" s="78">
        <v>0</v>
      </c>
      <c r="E147" s="78">
        <v>-2876</v>
      </c>
      <c r="F147" s="78">
        <v>-2876</v>
      </c>
      <c r="G147" s="78">
        <v>-2876</v>
      </c>
      <c r="H147" s="78">
        <v>-2876</v>
      </c>
      <c r="I147" s="78">
        <v>-2876</v>
      </c>
      <c r="J147" s="78">
        <v>-2876</v>
      </c>
      <c r="K147" s="78">
        <v>-2876</v>
      </c>
      <c r="L147" s="78">
        <v>-2876</v>
      </c>
      <c r="M147" s="78">
        <v>-2876</v>
      </c>
      <c r="N147" s="78">
        <v>-2876</v>
      </c>
      <c r="O147" s="78">
        <v>-2876</v>
      </c>
      <c r="P147" s="78">
        <v>-2876</v>
      </c>
      <c r="Q147" s="78">
        <f t="shared" si="2"/>
        <v>-34512</v>
      </c>
    </row>
    <row r="148" spans="1:17" x14ac:dyDescent="0.3">
      <c r="A148" s="177" t="s">
        <v>162</v>
      </c>
      <c r="B148" s="177" t="s">
        <v>1903</v>
      </c>
      <c r="C148" s="78" t="s">
        <v>1904</v>
      </c>
      <c r="D148" s="78">
        <v>0</v>
      </c>
      <c r="E148" s="78">
        <v>258700</v>
      </c>
      <c r="F148" s="78">
        <v>258700</v>
      </c>
      <c r="G148" s="78">
        <v>258700</v>
      </c>
      <c r="H148" s="78">
        <v>258700</v>
      </c>
      <c r="I148" s="78">
        <v>258700</v>
      </c>
      <c r="J148" s="78">
        <v>258700</v>
      </c>
      <c r="K148" s="78">
        <v>258700</v>
      </c>
      <c r="L148" s="78">
        <v>258700</v>
      </c>
      <c r="M148" s="78">
        <v>258700</v>
      </c>
      <c r="N148" s="78">
        <v>258700</v>
      </c>
      <c r="O148" s="78">
        <v>258700</v>
      </c>
      <c r="P148" s="78">
        <v>258700</v>
      </c>
      <c r="Q148" s="78">
        <f t="shared" si="2"/>
        <v>3104400</v>
      </c>
    </row>
    <row r="149" spans="1:17" x14ac:dyDescent="0.3">
      <c r="A149" s="177" t="s">
        <v>162</v>
      </c>
      <c r="B149" s="177" t="s">
        <v>1905</v>
      </c>
      <c r="C149" s="78" t="s">
        <v>1906</v>
      </c>
      <c r="D149" s="78">
        <v>0</v>
      </c>
      <c r="E149" s="78">
        <v>-30700</v>
      </c>
      <c r="F149" s="78">
        <v>-30700</v>
      </c>
      <c r="G149" s="78">
        <v>-30700</v>
      </c>
      <c r="H149" s="78">
        <v>-30700</v>
      </c>
      <c r="I149" s="78">
        <v>-30700</v>
      </c>
      <c r="J149" s="78">
        <v>-30700</v>
      </c>
      <c r="K149" s="78">
        <v>-30700</v>
      </c>
      <c r="L149" s="78">
        <v>-30700</v>
      </c>
      <c r="M149" s="78">
        <v>-30700</v>
      </c>
      <c r="N149" s="78">
        <v>-30700</v>
      </c>
      <c r="O149" s="78">
        <v>-30700</v>
      </c>
      <c r="P149" s="78">
        <v>-30700</v>
      </c>
      <c r="Q149" s="78">
        <f t="shared" si="2"/>
        <v>-368400</v>
      </c>
    </row>
    <row r="150" spans="1:17" x14ac:dyDescent="0.3">
      <c r="A150" s="177" t="s">
        <v>162</v>
      </c>
      <c r="B150" s="177" t="s">
        <v>1907</v>
      </c>
      <c r="C150" s="78" t="s">
        <v>1908</v>
      </c>
      <c r="D150" s="78">
        <v>0</v>
      </c>
      <c r="E150" s="78">
        <v>4591261</v>
      </c>
      <c r="F150" s="78">
        <v>4594594</v>
      </c>
      <c r="G150" s="78">
        <v>4597927</v>
      </c>
      <c r="H150" s="78">
        <v>4601260</v>
      </c>
      <c r="I150" s="78">
        <v>4604593</v>
      </c>
      <c r="J150" s="78">
        <v>4607926</v>
      </c>
      <c r="K150" s="78">
        <v>4611259</v>
      </c>
      <c r="L150" s="78">
        <v>4614592</v>
      </c>
      <c r="M150" s="78">
        <v>4617925</v>
      </c>
      <c r="N150" s="78">
        <v>4621258</v>
      </c>
      <c r="O150" s="78">
        <v>4624591</v>
      </c>
      <c r="P150" s="78">
        <v>4627928</v>
      </c>
      <c r="Q150" s="78">
        <f t="shared" si="2"/>
        <v>55315114</v>
      </c>
    </row>
    <row r="151" spans="1:17" x14ac:dyDescent="0.3">
      <c r="A151" s="177" t="s">
        <v>162</v>
      </c>
      <c r="B151" s="177" t="s">
        <v>1909</v>
      </c>
      <c r="C151" s="78" t="s">
        <v>1910</v>
      </c>
      <c r="D151" s="78">
        <v>0</v>
      </c>
      <c r="E151" s="78">
        <v>70600</v>
      </c>
      <c r="F151" s="78">
        <v>70600</v>
      </c>
      <c r="G151" s="78">
        <v>70600</v>
      </c>
      <c r="H151" s="78">
        <v>70600</v>
      </c>
      <c r="I151" s="78">
        <v>70600</v>
      </c>
      <c r="J151" s="78">
        <v>70600</v>
      </c>
      <c r="K151" s="78">
        <v>70600</v>
      </c>
      <c r="L151" s="78">
        <v>70600</v>
      </c>
      <c r="M151" s="78">
        <v>70600</v>
      </c>
      <c r="N151" s="78">
        <v>70600</v>
      </c>
      <c r="O151" s="78">
        <v>70600</v>
      </c>
      <c r="P151" s="78">
        <v>70600</v>
      </c>
      <c r="Q151" s="78">
        <f t="shared" si="2"/>
        <v>847200</v>
      </c>
    </row>
    <row r="152" spans="1:17" x14ac:dyDescent="0.3">
      <c r="A152" s="177" t="s">
        <v>162</v>
      </c>
      <c r="B152" s="177" t="s">
        <v>1911</v>
      </c>
      <c r="C152" s="78" t="s">
        <v>1912</v>
      </c>
      <c r="D152" s="78">
        <v>0</v>
      </c>
      <c r="E152" s="78">
        <v>900</v>
      </c>
      <c r="F152" s="78">
        <v>900</v>
      </c>
      <c r="G152" s="78">
        <v>900</v>
      </c>
      <c r="H152" s="78">
        <v>900</v>
      </c>
      <c r="I152" s="78">
        <v>900</v>
      </c>
      <c r="J152" s="78">
        <v>900</v>
      </c>
      <c r="K152" s="78">
        <v>900</v>
      </c>
      <c r="L152" s="78">
        <v>900</v>
      </c>
      <c r="M152" s="78">
        <v>900</v>
      </c>
      <c r="N152" s="78">
        <v>900</v>
      </c>
      <c r="O152" s="78">
        <v>900</v>
      </c>
      <c r="P152" s="78">
        <v>900</v>
      </c>
      <c r="Q152" s="78">
        <f t="shared" si="2"/>
        <v>10800</v>
      </c>
    </row>
    <row r="153" spans="1:17" x14ac:dyDescent="0.3">
      <c r="A153" s="177" t="s">
        <v>162</v>
      </c>
      <c r="B153" s="177" t="s">
        <v>1915</v>
      </c>
      <c r="C153" s="78" t="s">
        <v>1916</v>
      </c>
      <c r="D153" s="78">
        <v>0</v>
      </c>
      <c r="E153" s="78">
        <v>269000</v>
      </c>
      <c r="F153" s="78">
        <v>269000</v>
      </c>
      <c r="G153" s="78">
        <v>269000</v>
      </c>
      <c r="H153" s="78">
        <v>269000</v>
      </c>
      <c r="I153" s="78">
        <v>269000</v>
      </c>
      <c r="J153" s="78">
        <v>269000</v>
      </c>
      <c r="K153" s="78">
        <v>269000</v>
      </c>
      <c r="L153" s="78">
        <v>269000</v>
      </c>
      <c r="M153" s="78">
        <v>269000</v>
      </c>
      <c r="N153" s="78">
        <v>269000</v>
      </c>
      <c r="O153" s="78">
        <v>269000</v>
      </c>
      <c r="P153" s="78">
        <v>269000</v>
      </c>
      <c r="Q153" s="78">
        <f t="shared" si="2"/>
        <v>3228000</v>
      </c>
    </row>
    <row r="154" spans="1:17" x14ac:dyDescent="0.3">
      <c r="A154" s="177" t="s">
        <v>162</v>
      </c>
      <c r="B154" s="177" t="s">
        <v>1917</v>
      </c>
      <c r="C154" s="78" t="s">
        <v>1918</v>
      </c>
      <c r="D154" s="78">
        <v>0</v>
      </c>
      <c r="E154" s="78">
        <v>93000</v>
      </c>
      <c r="F154" s="78">
        <v>93000</v>
      </c>
      <c r="G154" s="78">
        <v>93000</v>
      </c>
      <c r="H154" s="78">
        <v>93000</v>
      </c>
      <c r="I154" s="78">
        <v>93000</v>
      </c>
      <c r="J154" s="78">
        <v>93000</v>
      </c>
      <c r="K154" s="78">
        <v>93000</v>
      </c>
      <c r="L154" s="78">
        <v>93000</v>
      </c>
      <c r="M154" s="78">
        <v>93000</v>
      </c>
      <c r="N154" s="78">
        <v>93000</v>
      </c>
      <c r="O154" s="78">
        <v>93000</v>
      </c>
      <c r="P154" s="78">
        <v>93000</v>
      </c>
      <c r="Q154" s="78">
        <f t="shared" si="2"/>
        <v>1116000</v>
      </c>
    </row>
    <row r="155" spans="1:17" x14ac:dyDescent="0.3">
      <c r="A155" s="177" t="s">
        <v>162</v>
      </c>
      <c r="B155" s="177" t="s">
        <v>1919</v>
      </c>
      <c r="C155" s="78" t="s">
        <v>1920</v>
      </c>
      <c r="D155" s="78">
        <v>0</v>
      </c>
      <c r="E155" s="78">
        <v>78000</v>
      </c>
      <c r="F155" s="78">
        <v>78000</v>
      </c>
      <c r="G155" s="78">
        <v>78000</v>
      </c>
      <c r="H155" s="78">
        <v>78000</v>
      </c>
      <c r="I155" s="78">
        <v>78000</v>
      </c>
      <c r="J155" s="78">
        <v>78000</v>
      </c>
      <c r="K155" s="78">
        <v>78000</v>
      </c>
      <c r="L155" s="78">
        <v>78000</v>
      </c>
      <c r="M155" s="78">
        <v>78000</v>
      </c>
      <c r="N155" s="78">
        <v>78000</v>
      </c>
      <c r="O155" s="78">
        <v>78000</v>
      </c>
      <c r="P155" s="78">
        <v>78000</v>
      </c>
      <c r="Q155" s="78">
        <f t="shared" si="2"/>
        <v>936000</v>
      </c>
    </row>
    <row r="156" spans="1:17" x14ac:dyDescent="0.3">
      <c r="A156" s="177" t="s">
        <v>162</v>
      </c>
      <c r="B156" s="177" t="s">
        <v>1921</v>
      </c>
      <c r="C156" s="78" t="s">
        <v>1922</v>
      </c>
      <c r="D156" s="78">
        <v>0</v>
      </c>
      <c r="E156" s="78">
        <v>49651000</v>
      </c>
      <c r="F156" s="78">
        <v>43913000</v>
      </c>
      <c r="G156" s="78">
        <v>44258000</v>
      </c>
      <c r="H156" s="78">
        <v>44615000</v>
      </c>
      <c r="I156" s="78">
        <v>51183000</v>
      </c>
      <c r="J156" s="78">
        <v>56459000</v>
      </c>
      <c r="K156" s="78">
        <v>63083000</v>
      </c>
      <c r="L156" s="78">
        <v>66650000</v>
      </c>
      <c r="M156" s="78">
        <v>59084000</v>
      </c>
      <c r="N156" s="78">
        <v>54945000</v>
      </c>
      <c r="O156" s="78">
        <v>47148000</v>
      </c>
      <c r="P156" s="78">
        <v>48950000</v>
      </c>
      <c r="Q156" s="78">
        <f t="shared" si="2"/>
        <v>629939000</v>
      </c>
    </row>
    <row r="157" spans="1:17" x14ac:dyDescent="0.3">
      <c r="A157" s="177" t="s">
        <v>162</v>
      </c>
      <c r="B157" s="177" t="s">
        <v>1923</v>
      </c>
      <c r="C157" s="78" t="s">
        <v>1924</v>
      </c>
      <c r="D157" s="78">
        <v>0</v>
      </c>
      <c r="E157" s="78">
        <v>3864376.6364250001</v>
      </c>
      <c r="F157" s="78">
        <v>3983168.6522621</v>
      </c>
      <c r="G157" s="78">
        <v>1989239.6562014001</v>
      </c>
      <c r="H157" s="78">
        <v>4272180.1007372001</v>
      </c>
      <c r="I157" s="78">
        <v>622037.57177719998</v>
      </c>
      <c r="J157" s="78">
        <v>267668.28000000003</v>
      </c>
      <c r="K157" s="78">
        <v>63859.319890899998</v>
      </c>
      <c r="L157" s="78">
        <v>66494.354080899997</v>
      </c>
      <c r="M157" s="78">
        <v>253418.23410219999</v>
      </c>
      <c r="N157" s="78">
        <v>970591.4039415</v>
      </c>
      <c r="O157" s="78">
        <v>187476.06071280001</v>
      </c>
      <c r="P157" s="78">
        <v>242744.75343360001</v>
      </c>
      <c r="Q157" s="78">
        <f t="shared" si="2"/>
        <v>16783255.023564801</v>
      </c>
    </row>
    <row r="158" spans="1:17" x14ac:dyDescent="0.3">
      <c r="A158" s="177" t="s">
        <v>162</v>
      </c>
      <c r="B158" s="177" t="s">
        <v>1925</v>
      </c>
      <c r="C158" s="78" t="s">
        <v>1926</v>
      </c>
      <c r="D158" s="78">
        <v>0</v>
      </c>
      <c r="E158" s="78">
        <v>11000</v>
      </c>
      <c r="F158" s="78">
        <v>11000</v>
      </c>
      <c r="G158" s="78">
        <v>11000</v>
      </c>
      <c r="H158" s="78">
        <v>11000</v>
      </c>
      <c r="I158" s="78">
        <v>11000</v>
      </c>
      <c r="J158" s="78">
        <v>11000</v>
      </c>
      <c r="K158" s="78">
        <v>11000</v>
      </c>
      <c r="L158" s="78">
        <v>11000</v>
      </c>
      <c r="M158" s="78">
        <v>11000</v>
      </c>
      <c r="N158" s="78">
        <v>11000</v>
      </c>
      <c r="O158" s="78">
        <v>11000</v>
      </c>
      <c r="P158" s="78">
        <v>11000</v>
      </c>
      <c r="Q158" s="78">
        <f t="shared" si="2"/>
        <v>132000</v>
      </c>
    </row>
    <row r="159" spans="1:17" x14ac:dyDescent="0.3">
      <c r="A159" s="177" t="s">
        <v>162</v>
      </c>
      <c r="B159" s="177" t="s">
        <v>1927</v>
      </c>
      <c r="C159" s="78" t="s">
        <v>1928</v>
      </c>
      <c r="D159" s="78">
        <v>0</v>
      </c>
      <c r="E159" s="78">
        <v>45000</v>
      </c>
      <c r="F159" s="78">
        <v>45000</v>
      </c>
      <c r="G159" s="78">
        <v>45000</v>
      </c>
      <c r="H159" s="78">
        <v>45000</v>
      </c>
      <c r="I159" s="78">
        <v>45000</v>
      </c>
      <c r="J159" s="78">
        <v>45000</v>
      </c>
      <c r="K159" s="78">
        <v>45000</v>
      </c>
      <c r="L159" s="78">
        <v>45000</v>
      </c>
      <c r="M159" s="78">
        <v>45000</v>
      </c>
      <c r="N159" s="78">
        <v>45000</v>
      </c>
      <c r="O159" s="78">
        <v>45000</v>
      </c>
      <c r="P159" s="78">
        <v>45000</v>
      </c>
      <c r="Q159" s="78">
        <f t="shared" si="2"/>
        <v>540000</v>
      </c>
    </row>
    <row r="160" spans="1:17" x14ac:dyDescent="0.3">
      <c r="A160" s="177" t="s">
        <v>162</v>
      </c>
      <c r="B160" s="177" t="s">
        <v>1937</v>
      </c>
      <c r="C160" s="78" t="s">
        <v>1938</v>
      </c>
      <c r="D160" s="78">
        <v>0</v>
      </c>
      <c r="E160" s="78">
        <v>-472083.33333330002</v>
      </c>
      <c r="F160" s="78">
        <v>-944166.66666670004</v>
      </c>
      <c r="G160" s="78">
        <v>0</v>
      </c>
      <c r="H160" s="78">
        <v>-472083.33333330002</v>
      </c>
      <c r="I160" s="78">
        <v>-944166.66666670004</v>
      </c>
      <c r="J160" s="78">
        <v>0</v>
      </c>
      <c r="K160" s="78">
        <v>-472083.33333330002</v>
      </c>
      <c r="L160" s="78">
        <v>-944166.66666670004</v>
      </c>
      <c r="M160" s="78">
        <v>0</v>
      </c>
      <c r="N160" s="78">
        <v>-472083.33333330002</v>
      </c>
      <c r="O160" s="78">
        <v>-944166.66666670004</v>
      </c>
      <c r="P160" s="78">
        <v>0</v>
      </c>
      <c r="Q160" s="78">
        <f t="shared" si="2"/>
        <v>-5665000</v>
      </c>
    </row>
    <row r="161" spans="1:17" x14ac:dyDescent="0.3">
      <c r="A161" s="177" t="s">
        <v>162</v>
      </c>
      <c r="B161" s="177" t="s">
        <v>1939</v>
      </c>
      <c r="C161" s="78" t="s">
        <v>1940</v>
      </c>
      <c r="D161" s="78">
        <v>0</v>
      </c>
      <c r="E161" s="78">
        <v>4523413.1915611001</v>
      </c>
      <c r="F161" s="78">
        <v>4700360.8393222</v>
      </c>
      <c r="G161" s="78">
        <v>4817309.2329361001</v>
      </c>
      <c r="H161" s="78">
        <v>4880365.9187693996</v>
      </c>
      <c r="I161" s="78">
        <v>4881672.0686360998</v>
      </c>
      <c r="J161" s="78">
        <v>4886305.4086194001</v>
      </c>
      <c r="K161" s="78">
        <v>5749922.3063444998</v>
      </c>
      <c r="L161" s="78">
        <v>5887621.3746528002</v>
      </c>
      <c r="M161" s="78">
        <v>5881380.4767610999</v>
      </c>
      <c r="N161" s="78">
        <v>5903778.0762499999</v>
      </c>
      <c r="O161" s="78">
        <v>5896546.0142222</v>
      </c>
      <c r="P161" s="78">
        <v>5611255.0042749997</v>
      </c>
      <c r="Q161" s="78">
        <f t="shared" si="2"/>
        <v>63619929.91234991</v>
      </c>
    </row>
    <row r="162" spans="1:17" x14ac:dyDescent="0.3">
      <c r="A162" s="177" t="s">
        <v>162</v>
      </c>
      <c r="B162" s="177" t="s">
        <v>1941</v>
      </c>
      <c r="C162" s="78" t="s">
        <v>1942</v>
      </c>
      <c r="D162" s="78">
        <v>0</v>
      </c>
      <c r="E162" s="78">
        <v>930100.59036010003</v>
      </c>
      <c r="F162" s="78">
        <v>930100.59036010003</v>
      </c>
      <c r="G162" s="78">
        <v>930100.59036010003</v>
      </c>
      <c r="H162" s="78">
        <v>930100.59036010003</v>
      </c>
      <c r="I162" s="78">
        <v>930100.59036010003</v>
      </c>
      <c r="J162" s="78">
        <v>930100.59036010003</v>
      </c>
      <c r="K162" s="78">
        <v>930100.59036010003</v>
      </c>
      <c r="L162" s="78">
        <v>930100.59036010003</v>
      </c>
      <c r="M162" s="78">
        <v>930100.59036010003</v>
      </c>
      <c r="N162" s="78">
        <v>930100.59036010003</v>
      </c>
      <c r="O162" s="78">
        <v>930100.59036010003</v>
      </c>
      <c r="P162" s="78">
        <v>930100.59036010003</v>
      </c>
      <c r="Q162" s="78">
        <f t="shared" si="2"/>
        <v>11161207.084321201</v>
      </c>
    </row>
    <row r="163" spans="1:17" x14ac:dyDescent="0.3">
      <c r="A163" s="177" t="s">
        <v>162</v>
      </c>
      <c r="B163" s="177" t="s">
        <v>1943</v>
      </c>
      <c r="C163" s="78" t="s">
        <v>1944</v>
      </c>
      <c r="D163" s="78">
        <v>0</v>
      </c>
      <c r="E163" s="78">
        <v>4076096.0885556</v>
      </c>
      <c r="F163" s="78">
        <v>3775360.8472000002</v>
      </c>
      <c r="G163" s="78">
        <v>3675904.8104444002</v>
      </c>
      <c r="H163" s="78">
        <v>3616693.9268888999</v>
      </c>
      <c r="I163" s="78">
        <v>4802588.7253110996</v>
      </c>
      <c r="J163" s="78">
        <v>5875508.7912667003</v>
      </c>
      <c r="K163" s="78">
        <v>6301464.7081332998</v>
      </c>
      <c r="L163" s="78">
        <v>6353573.4360667001</v>
      </c>
      <c r="M163" s="78">
        <v>6087340.0491332998</v>
      </c>
      <c r="N163" s="78">
        <v>5086145.8831110997</v>
      </c>
      <c r="O163" s="78">
        <v>4111430.5531111001</v>
      </c>
      <c r="P163" s="78">
        <v>4471341.5275999997</v>
      </c>
      <c r="Q163" s="78">
        <f t="shared" si="2"/>
        <v>58233449.346822195</v>
      </c>
    </row>
    <row r="164" spans="1:17" x14ac:dyDescent="0.3">
      <c r="A164" s="177" t="s">
        <v>162</v>
      </c>
      <c r="B164" s="177" t="s">
        <v>1945</v>
      </c>
      <c r="C164" s="78" t="s">
        <v>1946</v>
      </c>
      <c r="D164" s="78">
        <v>0</v>
      </c>
      <c r="E164" s="78">
        <v>318823.77216970001</v>
      </c>
      <c r="F164" s="78">
        <v>296049.03242349997</v>
      </c>
      <c r="G164" s="78">
        <v>274610.29885710002</v>
      </c>
      <c r="H164" s="78">
        <v>280127.37219999998</v>
      </c>
      <c r="I164" s="78">
        <v>284989.37971110002</v>
      </c>
      <c r="J164" s="78">
        <v>291420.37311109999</v>
      </c>
      <c r="K164" s="78">
        <v>297767.46017779998</v>
      </c>
      <c r="L164" s="78">
        <v>303955.02395559999</v>
      </c>
      <c r="M164" s="78">
        <v>314116.98557780002</v>
      </c>
      <c r="N164" s="78">
        <v>320420.18348890002</v>
      </c>
      <c r="O164" s="78">
        <v>323972.2179778</v>
      </c>
      <c r="P164" s="78">
        <v>332017.74291109998</v>
      </c>
      <c r="Q164" s="78">
        <f t="shared" si="2"/>
        <v>3638269.8425614992</v>
      </c>
    </row>
    <row r="165" spans="1:17" x14ac:dyDescent="0.3">
      <c r="A165" s="177" t="s">
        <v>162</v>
      </c>
      <c r="B165" s="177" t="s">
        <v>1947</v>
      </c>
      <c r="C165" s="78" t="s">
        <v>1948</v>
      </c>
      <c r="D165" s="78">
        <v>0</v>
      </c>
      <c r="E165" s="78">
        <v>121289448.734596</v>
      </c>
      <c r="F165" s="78">
        <v>121339986.00490201</v>
      </c>
      <c r="G165" s="78">
        <v>121390544.332404</v>
      </c>
      <c r="H165" s="78">
        <v>121441123.725876</v>
      </c>
      <c r="I165" s="78">
        <v>121491724.194095</v>
      </c>
      <c r="J165" s="78">
        <v>121542345.74584299</v>
      </c>
      <c r="K165" s="78">
        <v>121592988.38990299</v>
      </c>
      <c r="L165" s="78">
        <v>121643652.135066</v>
      </c>
      <c r="M165" s="78">
        <v>121694336.99012201</v>
      </c>
      <c r="N165" s="78">
        <v>121745042.96386801</v>
      </c>
      <c r="O165" s="78">
        <v>121795770.06510299</v>
      </c>
      <c r="P165" s="78">
        <v>121846518.30263001</v>
      </c>
      <c r="Q165" s="78">
        <f t="shared" si="2"/>
        <v>1458813481.5844078</v>
      </c>
    </row>
    <row r="166" spans="1:17" x14ac:dyDescent="0.3">
      <c r="A166" s="177" t="s">
        <v>162</v>
      </c>
      <c r="B166" s="177" t="s">
        <v>1949</v>
      </c>
      <c r="C166" s="78" t="s">
        <v>1950</v>
      </c>
      <c r="D166" s="78">
        <v>0</v>
      </c>
      <c r="E166" s="78">
        <v>1115900.006543</v>
      </c>
      <c r="F166" s="78">
        <v>957045.31791049999</v>
      </c>
      <c r="G166" s="78">
        <v>-5151223.3268964998</v>
      </c>
      <c r="H166" s="78">
        <v>-11886492.298564499</v>
      </c>
      <c r="I166" s="78">
        <v>-7620360.9287249995</v>
      </c>
      <c r="J166" s="78">
        <v>-7954667.5154990004</v>
      </c>
      <c r="K166" s="78">
        <v>79158.694655500003</v>
      </c>
      <c r="L166" s="78">
        <v>8497238.6190249994</v>
      </c>
      <c r="M166" s="78">
        <v>6578478.9350774996</v>
      </c>
      <c r="N166" s="78">
        <v>9332083.1143650003</v>
      </c>
      <c r="O166" s="78">
        <v>7995181.3953135004</v>
      </c>
      <c r="P166" s="78">
        <v>0.22967499999999999</v>
      </c>
      <c r="Q166" s="78">
        <f t="shared" si="2"/>
        <v>1942342.2428800021</v>
      </c>
    </row>
    <row r="167" spans="1:17" x14ac:dyDescent="0.3">
      <c r="A167" s="177" t="s">
        <v>162</v>
      </c>
      <c r="B167" s="177" t="s">
        <v>1951</v>
      </c>
      <c r="C167" s="78" t="s">
        <v>1952</v>
      </c>
      <c r="D167" s="78">
        <v>0</v>
      </c>
      <c r="E167" s="78">
        <v>266545.63503329997</v>
      </c>
      <c r="F167" s="78">
        <v>179795.68328329999</v>
      </c>
      <c r="G167" s="78">
        <v>-1555821.8300167001</v>
      </c>
      <c r="H167" s="78">
        <v>-3337040.1192167001</v>
      </c>
      <c r="I167" s="78">
        <v>-2197414.4941667002</v>
      </c>
      <c r="J167" s="78">
        <v>-2204619.5247666999</v>
      </c>
      <c r="K167" s="78">
        <v>-20785.201216699999</v>
      </c>
      <c r="L167" s="78">
        <v>2269544.2308332999</v>
      </c>
      <c r="M167" s="78">
        <v>1823211.0805833</v>
      </c>
      <c r="N167" s="78">
        <v>2543642.9768333002</v>
      </c>
      <c r="O167" s="78">
        <v>2130399.7689832998</v>
      </c>
      <c r="P167" s="78">
        <v>0.46583330000000001</v>
      </c>
      <c r="Q167" s="78">
        <f t="shared" si="2"/>
        <v>-102541.32800040048</v>
      </c>
    </row>
    <row r="168" spans="1:17" x14ac:dyDescent="0.3">
      <c r="A168" s="177" t="s">
        <v>162</v>
      </c>
      <c r="B168" s="177" t="s">
        <v>1959</v>
      </c>
      <c r="C168" s="78" t="s">
        <v>1960</v>
      </c>
      <c r="D168" s="78">
        <v>0</v>
      </c>
      <c r="E168" s="78">
        <v>140486.8342104</v>
      </c>
      <c r="F168" s="78">
        <v>271197.12726719998</v>
      </c>
      <c r="G168" s="78">
        <v>397840.16692079999</v>
      </c>
      <c r="H168" s="78">
        <v>530918.3106648</v>
      </c>
      <c r="I168" s="78">
        <v>678115.02890879998</v>
      </c>
      <c r="J168" s="78">
        <v>848361.37269600003</v>
      </c>
      <c r="K168" s="78">
        <v>179310.00651119999</v>
      </c>
      <c r="L168" s="78">
        <v>357338.9212488</v>
      </c>
      <c r="M168" s="78">
        <v>539916.48010080005</v>
      </c>
      <c r="N168" s="78">
        <v>703442.03550480003</v>
      </c>
      <c r="O168" s="78">
        <v>843604.87355280004</v>
      </c>
      <c r="P168" s="78">
        <v>977184.62637840002</v>
      </c>
      <c r="Q168" s="78">
        <f t="shared" si="2"/>
        <v>6467715.7839648016</v>
      </c>
    </row>
    <row r="169" spans="1:17" x14ac:dyDescent="0.3">
      <c r="A169" s="177" t="s">
        <v>162</v>
      </c>
      <c r="B169" s="177" t="s">
        <v>1961</v>
      </c>
      <c r="C169" s="78" t="s">
        <v>1962</v>
      </c>
      <c r="D169" s="78">
        <v>0</v>
      </c>
      <c r="E169" s="78">
        <v>4711301.5182499997</v>
      </c>
      <c r="F169" s="78">
        <v>4371892.5765000004</v>
      </c>
      <c r="G169" s="78">
        <v>4229595.1500000004</v>
      </c>
      <c r="H169" s="78">
        <v>4451442.2507499997</v>
      </c>
      <c r="I169" s="78">
        <v>4942012.7847499996</v>
      </c>
      <c r="J169" s="78">
        <v>5741312.0990000004</v>
      </c>
      <c r="K169" s="78">
        <v>6056092.0512499996</v>
      </c>
      <c r="L169" s="78">
        <v>6011446.1835000003</v>
      </c>
      <c r="M169" s="78">
        <v>6170113.2525000004</v>
      </c>
      <c r="N169" s="78">
        <v>5507465.0062499996</v>
      </c>
      <c r="O169" s="78">
        <v>4696995.3497500001</v>
      </c>
      <c r="P169" s="78">
        <v>4467366.9000000004</v>
      </c>
      <c r="Q169" s="78">
        <f t="shared" si="2"/>
        <v>61357035.122499995</v>
      </c>
    </row>
    <row r="170" spans="1:17" x14ac:dyDescent="0.3">
      <c r="A170" s="177" t="s">
        <v>162</v>
      </c>
      <c r="B170" s="177" t="s">
        <v>1963</v>
      </c>
      <c r="C170" s="78" t="s">
        <v>1964</v>
      </c>
      <c r="D170" s="78">
        <v>0</v>
      </c>
      <c r="E170" s="78">
        <v>7567237</v>
      </c>
      <c r="F170" s="78">
        <v>15134474</v>
      </c>
      <c r="G170" s="78">
        <v>22701711</v>
      </c>
      <c r="H170" s="78">
        <v>30268948</v>
      </c>
      <c r="I170" s="78">
        <v>37836185</v>
      </c>
      <c r="J170" s="78">
        <v>45403422</v>
      </c>
      <c r="K170" s="78">
        <v>52970659</v>
      </c>
      <c r="L170" s="78">
        <v>60537896</v>
      </c>
      <c r="M170" s="78">
        <v>68105133</v>
      </c>
      <c r="N170" s="78">
        <v>75672370</v>
      </c>
      <c r="O170" s="78">
        <v>-7567237</v>
      </c>
      <c r="P170" s="78">
        <v>0</v>
      </c>
      <c r="Q170" s="78">
        <f t="shared" si="2"/>
        <v>408630798</v>
      </c>
    </row>
    <row r="171" spans="1:17" x14ac:dyDescent="0.3">
      <c r="A171" s="177" t="s">
        <v>162</v>
      </c>
      <c r="B171" s="177" t="s">
        <v>1965</v>
      </c>
      <c r="C171" s="78" t="s">
        <v>1966</v>
      </c>
      <c r="D171" s="78">
        <v>0</v>
      </c>
      <c r="E171" s="78">
        <v>4481459.5605683997</v>
      </c>
      <c r="F171" s="78">
        <v>4198459.2116328003</v>
      </c>
      <c r="G171" s="78">
        <v>4091325.9603840001</v>
      </c>
      <c r="H171" s="78">
        <v>4296593.9251164002</v>
      </c>
      <c r="I171" s="78">
        <v>4716576.5708892001</v>
      </c>
      <c r="J171" s="78">
        <v>5400089.8853328004</v>
      </c>
      <c r="K171" s="78">
        <v>5662819.773786</v>
      </c>
      <c r="L171" s="78">
        <v>5629526.3755991999</v>
      </c>
      <c r="M171" s="78">
        <v>5762219.7652200004</v>
      </c>
      <c r="N171" s="78">
        <v>5208692.4721619999</v>
      </c>
      <c r="O171" s="78">
        <v>4515596.8313771999</v>
      </c>
      <c r="P171" s="78">
        <v>4299450.8745600004</v>
      </c>
      <c r="Q171" s="78">
        <f t="shared" si="2"/>
        <v>58262811.206628002</v>
      </c>
    </row>
    <row r="172" spans="1:17" x14ac:dyDescent="0.3">
      <c r="A172" s="177" t="s">
        <v>162</v>
      </c>
      <c r="B172" s="177" t="s">
        <v>1967</v>
      </c>
      <c r="C172" s="78" t="s">
        <v>1968</v>
      </c>
      <c r="D172" s="78">
        <v>0</v>
      </c>
      <c r="E172" s="78">
        <v>1000</v>
      </c>
      <c r="F172" s="78">
        <v>0</v>
      </c>
      <c r="G172" s="78">
        <v>0</v>
      </c>
      <c r="H172" s="78">
        <v>0</v>
      </c>
      <c r="I172" s="78">
        <v>0</v>
      </c>
      <c r="J172" s="78">
        <v>0</v>
      </c>
      <c r="K172" s="78">
        <v>36000</v>
      </c>
      <c r="L172" s="78">
        <v>13000</v>
      </c>
      <c r="M172" s="78">
        <v>0</v>
      </c>
      <c r="N172" s="78">
        <v>0</v>
      </c>
      <c r="O172" s="78">
        <v>1000</v>
      </c>
      <c r="P172" s="78">
        <v>0</v>
      </c>
      <c r="Q172" s="78">
        <f t="shared" si="2"/>
        <v>51000</v>
      </c>
    </row>
    <row r="173" spans="1:17" x14ac:dyDescent="0.3">
      <c r="A173" s="177" t="s">
        <v>162</v>
      </c>
      <c r="B173" s="177" t="s">
        <v>1969</v>
      </c>
      <c r="C173" s="78" t="s">
        <v>1970</v>
      </c>
      <c r="D173" s="78">
        <v>0</v>
      </c>
      <c r="E173" s="78">
        <v>3133962.07</v>
      </c>
      <c r="F173" s="78">
        <v>3322004.07</v>
      </c>
      <c r="G173" s="78">
        <v>986042.07</v>
      </c>
      <c r="H173" s="78">
        <v>1174084.07</v>
      </c>
      <c r="I173" s="78">
        <v>1362126.07</v>
      </c>
      <c r="J173" s="78">
        <v>1686676.07</v>
      </c>
      <c r="K173" s="78">
        <v>1874718.07</v>
      </c>
      <c r="L173" s="78">
        <v>2062760.07</v>
      </c>
      <c r="M173" s="78">
        <v>2387310.0699999998</v>
      </c>
      <c r="N173" s="78">
        <v>2575352.0699999998</v>
      </c>
      <c r="O173" s="78">
        <v>2763394.07</v>
      </c>
      <c r="P173" s="78">
        <v>3087944.07</v>
      </c>
      <c r="Q173" s="78">
        <f t="shared" si="2"/>
        <v>26416372.84</v>
      </c>
    </row>
    <row r="174" spans="1:17" x14ac:dyDescent="0.3">
      <c r="A174" s="177" t="s">
        <v>162</v>
      </c>
      <c r="B174" s="177" t="s">
        <v>1971</v>
      </c>
      <c r="C174" s="78" t="s">
        <v>1972</v>
      </c>
      <c r="D174" s="78">
        <v>0</v>
      </c>
      <c r="E174" s="78">
        <v>17000</v>
      </c>
      <c r="F174" s="78">
        <v>19000</v>
      </c>
      <c r="G174" s="78">
        <v>17000</v>
      </c>
      <c r="H174" s="78">
        <v>17000</v>
      </c>
      <c r="I174" s="78">
        <v>17000</v>
      </c>
      <c r="J174" s="78">
        <v>17000</v>
      </c>
      <c r="K174" s="78">
        <v>17000</v>
      </c>
      <c r="L174" s="78">
        <v>17000</v>
      </c>
      <c r="M174" s="78">
        <v>29000</v>
      </c>
      <c r="N174" s="78">
        <v>17000</v>
      </c>
      <c r="O174" s="78">
        <v>17000</v>
      </c>
      <c r="P174" s="78">
        <v>17000</v>
      </c>
      <c r="Q174" s="78">
        <f t="shared" si="2"/>
        <v>218000</v>
      </c>
    </row>
    <row r="175" spans="1:17" x14ac:dyDescent="0.3">
      <c r="A175" s="177" t="s">
        <v>162</v>
      </c>
      <c r="B175" s="177" t="s">
        <v>1973</v>
      </c>
      <c r="C175" s="78" t="s">
        <v>1974</v>
      </c>
      <c r="D175" s="78">
        <v>0</v>
      </c>
      <c r="E175" s="78">
        <v>341196.5964251</v>
      </c>
      <c r="F175" s="78">
        <v>567726.14112829999</v>
      </c>
      <c r="G175" s="78">
        <v>794357.22801910003</v>
      </c>
      <c r="H175" s="78">
        <v>1021089.8994067</v>
      </c>
      <c r="I175" s="78">
        <v>1247924.1976181001</v>
      </c>
      <c r="J175" s="78">
        <v>1474860.1649976</v>
      </c>
      <c r="K175" s="78">
        <v>1701897.8439076</v>
      </c>
      <c r="L175" s="78">
        <v>1929037.2767276999</v>
      </c>
      <c r="M175" s="78">
        <v>2156278.5058555002</v>
      </c>
      <c r="N175" s="78">
        <v>2383621.5737060001</v>
      </c>
      <c r="O175" s="78">
        <v>2611066.5227120998</v>
      </c>
      <c r="P175" s="78">
        <v>115343.7112605</v>
      </c>
      <c r="Q175" s="78">
        <f t="shared" si="2"/>
        <v>16344399.661764299</v>
      </c>
    </row>
    <row r="176" spans="1:17" x14ac:dyDescent="0.3">
      <c r="A176" s="177" t="s">
        <v>162</v>
      </c>
      <c r="B176" s="177" t="s">
        <v>1975</v>
      </c>
      <c r="C176" s="78" t="s">
        <v>1976</v>
      </c>
      <c r="D176" s="78">
        <v>0</v>
      </c>
      <c r="E176" s="78">
        <v>241921.26757900001</v>
      </c>
      <c r="F176" s="78">
        <v>253806.51013050001</v>
      </c>
      <c r="G176" s="78">
        <v>198727.24062510001</v>
      </c>
      <c r="H176" s="78">
        <v>115251.6910933</v>
      </c>
      <c r="I176" s="78">
        <v>123259.6194118</v>
      </c>
      <c r="J176" s="78">
        <v>141278.9048823</v>
      </c>
      <c r="K176" s="78">
        <v>146321.7640963</v>
      </c>
      <c r="L176" s="78">
        <v>161453.6744088</v>
      </c>
      <c r="M176" s="78">
        <v>178881.43863660001</v>
      </c>
      <c r="N176" s="78">
        <v>154460.2084414</v>
      </c>
      <c r="O176" s="78">
        <v>174862.79725949999</v>
      </c>
      <c r="P176" s="78">
        <v>206199.0803156</v>
      </c>
      <c r="Q176" s="78">
        <f t="shared" si="2"/>
        <v>2096424.1968801999</v>
      </c>
    </row>
    <row r="177" spans="1:17" x14ac:dyDescent="0.3">
      <c r="A177" s="177" t="s">
        <v>162</v>
      </c>
      <c r="B177" s="177" t="s">
        <v>1977</v>
      </c>
      <c r="C177" s="78" t="s">
        <v>1978</v>
      </c>
      <c r="D177" s="78">
        <v>0</v>
      </c>
      <c r="E177" s="78">
        <v>33314062.326666702</v>
      </c>
      <c r="F177" s="78">
        <v>47740103.993333302</v>
      </c>
      <c r="G177" s="78">
        <v>38216145.659999996</v>
      </c>
      <c r="H177" s="78">
        <v>54683853.993333302</v>
      </c>
      <c r="I177" s="78">
        <v>43501562.326666698</v>
      </c>
      <c r="J177" s="78">
        <v>38663020.659999996</v>
      </c>
      <c r="K177" s="78">
        <v>47630728.993333399</v>
      </c>
      <c r="L177" s="78">
        <v>57948437.326666698</v>
      </c>
      <c r="M177" s="78">
        <v>50466145.659999996</v>
      </c>
      <c r="N177" s="78">
        <v>66933853.993333399</v>
      </c>
      <c r="O177" s="78">
        <v>43501562.326666698</v>
      </c>
      <c r="P177" s="78">
        <v>32513020.66</v>
      </c>
      <c r="Q177" s="78">
        <f t="shared" si="2"/>
        <v>555112497.9200002</v>
      </c>
    </row>
    <row r="178" spans="1:17" x14ac:dyDescent="0.3">
      <c r="A178" s="177" t="s">
        <v>162</v>
      </c>
      <c r="B178" s="177" t="s">
        <v>1981</v>
      </c>
      <c r="C178" s="78" t="s">
        <v>1982</v>
      </c>
      <c r="D178" s="78">
        <v>0</v>
      </c>
      <c r="E178" s="78">
        <v>1439170.4199218</v>
      </c>
      <c r="F178" s="78">
        <v>1460136.4014681</v>
      </c>
      <c r="G178" s="78">
        <v>1448525.9254441999</v>
      </c>
      <c r="H178" s="78">
        <v>1507107.9614255</v>
      </c>
      <c r="I178" s="78">
        <v>1595707.3256637</v>
      </c>
      <c r="J178" s="78">
        <v>1709368.3271729001</v>
      </c>
      <c r="K178" s="78">
        <v>1786147.4506894001</v>
      </c>
      <c r="L178" s="78">
        <v>1871781.2665122999</v>
      </c>
      <c r="M178" s="78">
        <v>1899242.0875146</v>
      </c>
      <c r="N178" s="78">
        <v>1756088.7987871</v>
      </c>
      <c r="O178" s="78">
        <v>1602750.3851574</v>
      </c>
      <c r="P178" s="78">
        <v>1654135.3943568999</v>
      </c>
      <c r="Q178" s="78">
        <f t="shared" si="2"/>
        <v>19730161.744113896</v>
      </c>
    </row>
    <row r="179" spans="1:17" x14ac:dyDescent="0.3">
      <c r="A179" s="177" t="s">
        <v>162</v>
      </c>
      <c r="B179" s="177" t="s">
        <v>1983</v>
      </c>
      <c r="C179" s="78" t="s">
        <v>1984</v>
      </c>
      <c r="D179" s="78">
        <v>0</v>
      </c>
      <c r="E179" s="78">
        <v>671243.2339164</v>
      </c>
      <c r="F179" s="78">
        <v>681021.97384919995</v>
      </c>
      <c r="G179" s="78">
        <v>675606.73367630003</v>
      </c>
      <c r="H179" s="78">
        <v>702929.9712424</v>
      </c>
      <c r="I179" s="78">
        <v>744253.58584069996</v>
      </c>
      <c r="J179" s="78">
        <v>797266.19447069999</v>
      </c>
      <c r="K179" s="78">
        <v>833076.73257869994</v>
      </c>
      <c r="L179" s="78">
        <v>873017.18623860006</v>
      </c>
      <c r="M179" s="78">
        <v>885825.18315149995</v>
      </c>
      <c r="N179" s="78">
        <v>819057.08179189998</v>
      </c>
      <c r="O179" s="78">
        <v>747538.53803659999</v>
      </c>
      <c r="P179" s="78">
        <v>771505.01154970005</v>
      </c>
      <c r="Q179" s="78">
        <f t="shared" si="2"/>
        <v>9202341.4263426997</v>
      </c>
    </row>
    <row r="180" spans="1:17" x14ac:dyDescent="0.3">
      <c r="A180" s="177" t="s">
        <v>162</v>
      </c>
      <c r="B180" s="177" t="s">
        <v>1985</v>
      </c>
      <c r="C180" s="78" t="s">
        <v>1986</v>
      </c>
      <c r="D180" s="78">
        <v>0</v>
      </c>
      <c r="E180" s="78">
        <v>1460566.8392673</v>
      </c>
      <c r="F180" s="78">
        <v>1481844.5260342001</v>
      </c>
      <c r="G180" s="78">
        <v>1470061.4348631001</v>
      </c>
      <c r="H180" s="78">
        <v>1529514.4210743001</v>
      </c>
      <c r="I180" s="78">
        <v>1619431.0088496001</v>
      </c>
      <c r="J180" s="78">
        <v>1734781.8300061999</v>
      </c>
      <c r="K180" s="78">
        <v>1812702.4433011001</v>
      </c>
      <c r="L180" s="78">
        <v>1899609.3932908</v>
      </c>
      <c r="M180" s="78">
        <v>1927478.4795225</v>
      </c>
      <c r="N180" s="78">
        <v>1782196.9037251</v>
      </c>
      <c r="O180" s="78">
        <v>1626578.7788434001</v>
      </c>
      <c r="P180" s="78">
        <v>1678727.7387117001</v>
      </c>
      <c r="Q180" s="78">
        <f t="shared" si="2"/>
        <v>20023493.7974893</v>
      </c>
    </row>
    <row r="181" spans="1:17" x14ac:dyDescent="0.3">
      <c r="A181" s="177" t="s">
        <v>162</v>
      </c>
      <c r="B181" s="177" t="s">
        <v>1987</v>
      </c>
      <c r="C181" s="78" t="s">
        <v>1988</v>
      </c>
      <c r="D181" s="78">
        <v>0</v>
      </c>
      <c r="E181" s="78">
        <v>226201.47684710001</v>
      </c>
      <c r="F181" s="78">
        <v>229496.80304589999</v>
      </c>
      <c r="G181" s="78">
        <v>227671.92755709999</v>
      </c>
      <c r="H181" s="78">
        <v>236879.55361189999</v>
      </c>
      <c r="I181" s="78">
        <v>250805.15044249999</v>
      </c>
      <c r="J181" s="78">
        <v>268669.80777940003</v>
      </c>
      <c r="K181" s="78">
        <v>280737.55937440001</v>
      </c>
      <c r="L181" s="78">
        <v>294197.0464087</v>
      </c>
      <c r="M181" s="78">
        <v>298513.19839470001</v>
      </c>
      <c r="N181" s="78">
        <v>276013.0935583</v>
      </c>
      <c r="O181" s="78">
        <v>251912.14266310001</v>
      </c>
      <c r="P181" s="78">
        <v>259988.576703</v>
      </c>
      <c r="Q181" s="78">
        <f t="shared" si="2"/>
        <v>3101086.3363860995</v>
      </c>
    </row>
    <row r="182" spans="1:17" x14ac:dyDescent="0.3">
      <c r="A182" s="177" t="s">
        <v>162</v>
      </c>
      <c r="B182" s="177" t="s">
        <v>1989</v>
      </c>
      <c r="C182" s="78" t="s">
        <v>1990</v>
      </c>
      <c r="D182" s="78">
        <v>0</v>
      </c>
      <c r="E182" s="78">
        <v>7180226.0300473003</v>
      </c>
      <c r="F182" s="78">
        <v>7284828.2956026997</v>
      </c>
      <c r="G182" s="78">
        <v>7226901.9784591999</v>
      </c>
      <c r="H182" s="78">
        <v>7519176.092646</v>
      </c>
      <c r="I182" s="78">
        <v>7961210.9292035</v>
      </c>
      <c r="J182" s="78">
        <v>8528281.8405708</v>
      </c>
      <c r="K182" s="78">
        <v>8911343.8140564002</v>
      </c>
      <c r="L182" s="78">
        <v>9338583.1075496003</v>
      </c>
      <c r="M182" s="78">
        <v>9475589.0514166001</v>
      </c>
      <c r="N182" s="78">
        <v>8761376.9221375994</v>
      </c>
      <c r="O182" s="78">
        <v>7996349.7552993996</v>
      </c>
      <c r="P182" s="78">
        <v>8252716.8786787</v>
      </c>
      <c r="Q182" s="78">
        <f t="shared" si="2"/>
        <v>98436584.695667803</v>
      </c>
    </row>
    <row r="183" spans="1:17" x14ac:dyDescent="0.3">
      <c r="A183" s="177" t="s">
        <v>162</v>
      </c>
      <c r="B183" s="177" t="s">
        <v>1991</v>
      </c>
      <c r="C183" s="78" t="s">
        <v>1992</v>
      </c>
      <c r="D183" s="78">
        <v>0</v>
      </c>
      <c r="E183" s="78">
        <v>600604.75</v>
      </c>
      <c r="F183" s="78">
        <v>600604.75</v>
      </c>
      <c r="G183" s="78">
        <v>600604.75</v>
      </c>
      <c r="H183" s="78">
        <v>600604.75</v>
      </c>
      <c r="I183" s="78">
        <v>600604.75</v>
      </c>
      <c r="J183" s="78">
        <v>600604.75</v>
      </c>
      <c r="K183" s="78">
        <v>600604.75</v>
      </c>
      <c r="L183" s="78">
        <v>600604.75</v>
      </c>
      <c r="M183" s="78">
        <v>600604.75</v>
      </c>
      <c r="N183" s="78">
        <v>600604.75</v>
      </c>
      <c r="O183" s="78">
        <v>600604.75</v>
      </c>
      <c r="P183" s="78">
        <v>600604.75</v>
      </c>
      <c r="Q183" s="78">
        <f t="shared" si="2"/>
        <v>7207257</v>
      </c>
    </row>
    <row r="184" spans="1:17" x14ac:dyDescent="0.3">
      <c r="A184" s="177" t="s">
        <v>162</v>
      </c>
      <c r="B184" s="177" t="s">
        <v>1993</v>
      </c>
      <c r="C184" s="78" t="s">
        <v>1994</v>
      </c>
      <c r="D184" s="78">
        <v>0</v>
      </c>
      <c r="E184" s="78">
        <v>1092727.3899999999</v>
      </c>
      <c r="F184" s="78">
        <v>1092727.3899999999</v>
      </c>
      <c r="G184" s="78">
        <v>1092727.3899999999</v>
      </c>
      <c r="H184" s="78">
        <v>1092727.3899999999</v>
      </c>
      <c r="I184" s="78">
        <v>1092727.3899999999</v>
      </c>
      <c r="J184" s="78">
        <v>1092727.3899999999</v>
      </c>
      <c r="K184" s="78">
        <v>1092727.3899999999</v>
      </c>
      <c r="L184" s="78">
        <v>1092727.3899999999</v>
      </c>
      <c r="M184" s="78">
        <v>1092727.3899999999</v>
      </c>
      <c r="N184" s="78">
        <v>1092727.3899999999</v>
      </c>
      <c r="O184" s="78">
        <v>1092727.3899999999</v>
      </c>
      <c r="P184" s="78">
        <v>1092727.3899999999</v>
      </c>
      <c r="Q184" s="78">
        <f t="shared" si="2"/>
        <v>13112728.680000002</v>
      </c>
    </row>
    <row r="185" spans="1:17" x14ac:dyDescent="0.3">
      <c r="A185" s="177" t="s">
        <v>162</v>
      </c>
      <c r="B185" s="177" t="s">
        <v>1995</v>
      </c>
      <c r="C185" s="78" t="s">
        <v>1996</v>
      </c>
      <c r="D185" s="78">
        <v>0</v>
      </c>
      <c r="E185" s="78">
        <v>31720.04</v>
      </c>
      <c r="F185" s="78">
        <v>31720.04</v>
      </c>
      <c r="G185" s="78">
        <v>31720.04</v>
      </c>
      <c r="H185" s="78">
        <v>31720.04</v>
      </c>
      <c r="I185" s="78">
        <v>31720.04</v>
      </c>
      <c r="J185" s="78">
        <v>31720.04</v>
      </c>
      <c r="K185" s="78">
        <v>31720.04</v>
      </c>
      <c r="L185" s="78">
        <v>31720.04</v>
      </c>
      <c r="M185" s="78">
        <v>31720.04</v>
      </c>
      <c r="N185" s="78">
        <v>31720.04</v>
      </c>
      <c r="O185" s="78">
        <v>31720.04</v>
      </c>
      <c r="P185" s="78">
        <v>31720.04</v>
      </c>
      <c r="Q185" s="78">
        <f t="shared" si="2"/>
        <v>380640.48</v>
      </c>
    </row>
    <row r="186" spans="1:17" x14ac:dyDescent="0.3">
      <c r="A186" s="177" t="s">
        <v>162</v>
      </c>
      <c r="B186" s="177" t="s">
        <v>1997</v>
      </c>
      <c r="C186" s="78" t="s">
        <v>1998</v>
      </c>
      <c r="D186" s="78">
        <v>0</v>
      </c>
      <c r="E186" s="78">
        <v>267972</v>
      </c>
      <c r="F186" s="78">
        <v>267972</v>
      </c>
      <c r="G186" s="78">
        <v>267972</v>
      </c>
      <c r="H186" s="78">
        <v>267972</v>
      </c>
      <c r="I186" s="78">
        <v>267972</v>
      </c>
      <c r="J186" s="78">
        <v>267972</v>
      </c>
      <c r="K186" s="78">
        <v>267972</v>
      </c>
      <c r="L186" s="78">
        <v>267972</v>
      </c>
      <c r="M186" s="78">
        <v>267972</v>
      </c>
      <c r="N186" s="78">
        <v>267972</v>
      </c>
      <c r="O186" s="78">
        <v>267972</v>
      </c>
      <c r="P186" s="78">
        <v>267972</v>
      </c>
      <c r="Q186" s="78">
        <f t="shared" si="2"/>
        <v>3215664</v>
      </c>
    </row>
    <row r="187" spans="1:17" x14ac:dyDescent="0.3">
      <c r="A187" s="177" t="s">
        <v>162</v>
      </c>
      <c r="B187" s="177" t="s">
        <v>2001</v>
      </c>
      <c r="C187" s="78" t="s">
        <v>2002</v>
      </c>
      <c r="D187" s="78">
        <v>0</v>
      </c>
      <c r="E187" s="78">
        <v>9910129</v>
      </c>
      <c r="F187" s="78">
        <v>9910129</v>
      </c>
      <c r="G187" s="78">
        <v>9910129</v>
      </c>
      <c r="H187" s="78">
        <v>9910129</v>
      </c>
      <c r="I187" s="78">
        <v>9910129</v>
      </c>
      <c r="J187" s="78">
        <v>9910129</v>
      </c>
      <c r="K187" s="78">
        <v>9910129</v>
      </c>
      <c r="L187" s="78">
        <v>9910129</v>
      </c>
      <c r="M187" s="78">
        <v>9910129</v>
      </c>
      <c r="N187" s="78">
        <v>9910129</v>
      </c>
      <c r="O187" s="78">
        <v>9910129</v>
      </c>
      <c r="P187" s="78">
        <v>9910129</v>
      </c>
      <c r="Q187" s="78">
        <f t="shared" si="2"/>
        <v>118921548</v>
      </c>
    </row>
    <row r="188" spans="1:17" x14ac:dyDescent="0.3">
      <c r="A188" s="177" t="s">
        <v>162</v>
      </c>
      <c r="B188" s="177" t="s">
        <v>2003</v>
      </c>
      <c r="C188" s="78" t="s">
        <v>2004</v>
      </c>
      <c r="D188" s="78">
        <v>0</v>
      </c>
      <c r="E188" s="78">
        <v>4748558.5733332997</v>
      </c>
      <c r="F188" s="78">
        <v>4748558.5733332997</v>
      </c>
      <c r="G188" s="78">
        <v>4275888.1911110999</v>
      </c>
      <c r="H188" s="78">
        <v>4275888.1911110999</v>
      </c>
      <c r="I188" s="78">
        <v>4275888.1911110999</v>
      </c>
      <c r="J188" s="78">
        <v>4844670.1911110999</v>
      </c>
      <c r="K188" s="78">
        <v>4844670.1911110999</v>
      </c>
      <c r="L188" s="78">
        <v>4844670.1911110999</v>
      </c>
      <c r="M188" s="78">
        <v>5413452.1911110999</v>
      </c>
      <c r="N188" s="78">
        <v>5413452.1911110999</v>
      </c>
      <c r="O188" s="78">
        <v>5413452.1911110999</v>
      </c>
      <c r="P188" s="78">
        <v>5982234.1911110999</v>
      </c>
      <c r="Q188" s="78">
        <f t="shared" si="2"/>
        <v>59081383.057777606</v>
      </c>
    </row>
    <row r="189" spans="1:17" x14ac:dyDescent="0.3">
      <c r="A189" s="177" t="s">
        <v>162</v>
      </c>
      <c r="B189" s="177" t="s">
        <v>2005</v>
      </c>
      <c r="C189" s="78" t="s">
        <v>2006</v>
      </c>
      <c r="D189" s="78">
        <v>0</v>
      </c>
      <c r="E189" s="78">
        <v>2799131.5359701999</v>
      </c>
      <c r="F189" s="78">
        <v>2799131.5359701999</v>
      </c>
      <c r="G189" s="78">
        <v>3017608.7747761002</v>
      </c>
      <c r="H189" s="78">
        <v>3017608.7747761002</v>
      </c>
      <c r="I189" s="78">
        <v>3017608.7747761002</v>
      </c>
      <c r="J189" s="78">
        <v>3236086.0135821002</v>
      </c>
      <c r="K189" s="78">
        <v>3236086.0135821002</v>
      </c>
      <c r="L189" s="78">
        <v>3236086.0135821002</v>
      </c>
      <c r="M189" s="78">
        <v>3454563.2523881001</v>
      </c>
      <c r="N189" s="78">
        <v>3454563.2523881001</v>
      </c>
      <c r="O189" s="78">
        <v>3454563.2523881001</v>
      </c>
      <c r="P189" s="78">
        <v>3673040.491194</v>
      </c>
      <c r="Q189" s="78">
        <f t="shared" si="2"/>
        <v>38396077.685373306</v>
      </c>
    </row>
    <row r="190" spans="1:17" x14ac:dyDescent="0.3">
      <c r="A190" s="177" t="s">
        <v>162</v>
      </c>
      <c r="B190" s="177" t="s">
        <v>2009</v>
      </c>
      <c r="C190" s="78" t="s">
        <v>2010</v>
      </c>
      <c r="D190" s="78">
        <v>0</v>
      </c>
      <c r="E190" s="78">
        <v>22956000</v>
      </c>
      <c r="F190" s="78">
        <v>23050000</v>
      </c>
      <c r="G190" s="78">
        <v>23130000</v>
      </c>
      <c r="H190" s="78">
        <v>23208000</v>
      </c>
      <c r="I190" s="78">
        <v>23263000</v>
      </c>
      <c r="J190" s="78">
        <v>23339000</v>
      </c>
      <c r="K190" s="78">
        <v>23350000</v>
      </c>
      <c r="L190" s="78">
        <v>23395000</v>
      </c>
      <c r="M190" s="78">
        <v>23440000</v>
      </c>
      <c r="N190" s="78">
        <v>23485000</v>
      </c>
      <c r="O190" s="78">
        <v>23530000</v>
      </c>
      <c r="P190" s="78">
        <v>23359000</v>
      </c>
      <c r="Q190" s="78">
        <f t="shared" si="2"/>
        <v>279505000</v>
      </c>
    </row>
    <row r="191" spans="1:17" x14ac:dyDescent="0.3">
      <c r="A191" s="177" t="s">
        <v>162</v>
      </c>
      <c r="B191" s="177" t="s">
        <v>2015</v>
      </c>
      <c r="C191" s="78" t="s">
        <v>2016</v>
      </c>
      <c r="D191" s="78">
        <v>0</v>
      </c>
      <c r="E191" s="78">
        <v>1136307.7800302999</v>
      </c>
      <c r="F191" s="78">
        <v>974881.03824589995</v>
      </c>
      <c r="G191" s="78">
        <v>812941.85311489995</v>
      </c>
      <c r="H191" s="78">
        <v>650488.59948860004</v>
      </c>
      <c r="I191" s="78">
        <v>487519.64707170002</v>
      </c>
      <c r="J191" s="78">
        <v>324033.36040549999</v>
      </c>
      <c r="K191" s="78">
        <v>160043.92529000001</v>
      </c>
      <c r="L191" s="78">
        <v>-4466.0717252000004</v>
      </c>
      <c r="M191" s="78">
        <v>-169498.2814676</v>
      </c>
      <c r="N191" s="78">
        <v>-167769.10999259999</v>
      </c>
      <c r="O191" s="78">
        <v>-166032.94388770001</v>
      </c>
      <c r="P191" s="78">
        <v>-164230.2767746</v>
      </c>
      <c r="Q191" s="78">
        <f t="shared" si="2"/>
        <v>3874219.5197991994</v>
      </c>
    </row>
    <row r="192" spans="1:17" x14ac:dyDescent="0.3">
      <c r="A192" s="177" t="s">
        <v>162</v>
      </c>
      <c r="B192" s="177" t="s">
        <v>2017</v>
      </c>
      <c r="C192" s="78" t="s">
        <v>2018</v>
      </c>
      <c r="D192" s="78">
        <v>0</v>
      </c>
      <c r="E192" s="78">
        <v>536199.16551990004</v>
      </c>
      <c r="F192" s="78">
        <v>538262.21928840003</v>
      </c>
      <c r="G192" s="78">
        <v>540328.17821539997</v>
      </c>
      <c r="H192" s="78">
        <v>542397.04631939996</v>
      </c>
      <c r="I192" s="78">
        <v>544481.02936809999</v>
      </c>
      <c r="J192" s="78">
        <v>546567.94699880003</v>
      </c>
      <c r="K192" s="78">
        <v>548657.80331949994</v>
      </c>
      <c r="L192" s="78">
        <v>550750.60246850003</v>
      </c>
      <c r="M192" s="78">
        <v>552846.34858959995</v>
      </c>
      <c r="N192" s="78">
        <v>554945.04583269998</v>
      </c>
      <c r="O192" s="78">
        <v>557046.69835329999</v>
      </c>
      <c r="P192" s="78">
        <v>559151.31031299999</v>
      </c>
      <c r="Q192" s="78">
        <f t="shared" si="2"/>
        <v>6571633.3945866004</v>
      </c>
    </row>
    <row r="193" spans="1:17" x14ac:dyDescent="0.3">
      <c r="A193" s="177" t="s">
        <v>162</v>
      </c>
      <c r="B193" s="177" t="s">
        <v>2021</v>
      </c>
      <c r="C193" s="78" t="s">
        <v>2022</v>
      </c>
      <c r="D193" s="78">
        <v>0</v>
      </c>
      <c r="E193" s="78">
        <v>41587771.472478397</v>
      </c>
      <c r="F193" s="78">
        <v>43406569.5516482</v>
      </c>
      <c r="G193" s="78">
        <v>42797117.909999497</v>
      </c>
      <c r="H193" s="78">
        <v>41129866.865865096</v>
      </c>
      <c r="I193" s="78">
        <v>42132487.8317414</v>
      </c>
      <c r="J193" s="78">
        <v>36663712.731967397</v>
      </c>
      <c r="K193" s="78">
        <v>33618934.1192405</v>
      </c>
      <c r="L193" s="78">
        <v>29885921.856643301</v>
      </c>
      <c r="M193" s="78">
        <v>19774585.9283216</v>
      </c>
      <c r="N193" s="78">
        <v>12355667.9641608</v>
      </c>
      <c r="O193" s="78">
        <v>7800000</v>
      </c>
      <c r="P193" s="78">
        <v>8000000</v>
      </c>
      <c r="Q193" s="78">
        <f t="shared" si="2"/>
        <v>359152636.23206621</v>
      </c>
    </row>
    <row r="194" spans="1:17" x14ac:dyDescent="0.3">
      <c r="A194" s="177" t="s">
        <v>162</v>
      </c>
      <c r="B194" s="177" t="s">
        <v>2027</v>
      </c>
      <c r="C194" s="78" t="s">
        <v>2028</v>
      </c>
      <c r="D194" s="78">
        <v>0</v>
      </c>
      <c r="E194" s="78">
        <v>468074.81129789999</v>
      </c>
      <c r="F194" s="78">
        <v>476980.17205709999</v>
      </c>
      <c r="G194" s="78">
        <v>485891.64296219999</v>
      </c>
      <c r="H194" s="78">
        <v>419727.71738400002</v>
      </c>
      <c r="I194" s="78">
        <v>428379.6593005</v>
      </c>
      <c r="J194" s="78">
        <v>437353.66423709999</v>
      </c>
      <c r="K194" s="78">
        <v>436122.17612379999</v>
      </c>
      <c r="L194" s="78">
        <v>439964.50908430002</v>
      </c>
      <c r="M194" s="78">
        <v>373847.48447740002</v>
      </c>
      <c r="N194" s="78">
        <v>382523.2097219</v>
      </c>
      <c r="O194" s="78">
        <v>391419.8932926</v>
      </c>
      <c r="P194" s="78">
        <v>400239.3590386</v>
      </c>
      <c r="Q194" s="78">
        <f t="shared" si="2"/>
        <v>5140524.2989773992</v>
      </c>
    </row>
    <row r="195" spans="1:17" x14ac:dyDescent="0.3">
      <c r="A195" s="177" t="s">
        <v>162</v>
      </c>
      <c r="B195" s="177" t="s">
        <v>2031</v>
      </c>
      <c r="C195" s="78" t="s">
        <v>2032</v>
      </c>
      <c r="D195" s="78">
        <v>0</v>
      </c>
      <c r="E195" s="78">
        <v>5560659.2866666997</v>
      </c>
      <c r="F195" s="78">
        <v>5560659.2866666997</v>
      </c>
      <c r="G195" s="78">
        <v>2991117.0955555998</v>
      </c>
      <c r="H195" s="78">
        <v>2991117.0955555998</v>
      </c>
      <c r="I195" s="78">
        <v>2991117.0955555998</v>
      </c>
      <c r="J195" s="78">
        <v>4128681.0955555998</v>
      </c>
      <c r="K195" s="78">
        <v>4128681.0955555998</v>
      </c>
      <c r="L195" s="78">
        <v>4128681.0955555998</v>
      </c>
      <c r="M195" s="78">
        <v>5266245.0955555998</v>
      </c>
      <c r="N195" s="78">
        <v>5266245.0955555998</v>
      </c>
      <c r="O195" s="78">
        <v>5266245.0955555998</v>
      </c>
      <c r="P195" s="78">
        <v>6403809.0955555998</v>
      </c>
      <c r="Q195" s="78">
        <f t="shared" si="2"/>
        <v>54683257.528889403</v>
      </c>
    </row>
    <row r="196" spans="1:17" x14ac:dyDescent="0.3">
      <c r="A196" s="177" t="s">
        <v>162</v>
      </c>
      <c r="B196" s="177" t="s">
        <v>2033</v>
      </c>
      <c r="C196" s="78" t="s">
        <v>2034</v>
      </c>
      <c r="D196" s="78">
        <v>0</v>
      </c>
      <c r="E196" s="78">
        <v>1116983.1030580001</v>
      </c>
      <c r="F196" s="78">
        <v>1153255.0684497</v>
      </c>
      <c r="G196" s="78">
        <v>1185735.7306577</v>
      </c>
      <c r="H196" s="78">
        <v>1097824.4999378</v>
      </c>
      <c r="I196" s="78">
        <v>922842.60299589997</v>
      </c>
      <c r="J196" s="78">
        <v>1418567.4040614001</v>
      </c>
      <c r="K196" s="78">
        <v>1243585.5071195001</v>
      </c>
      <c r="L196" s="78">
        <v>1068603.6101774999</v>
      </c>
      <c r="M196" s="78">
        <v>1149435.6142355001</v>
      </c>
      <c r="N196" s="78">
        <v>1263424.5148028</v>
      </c>
      <c r="O196" s="78">
        <v>1088442.6178607999</v>
      </c>
      <c r="P196" s="78">
        <v>974362.41296680004</v>
      </c>
      <c r="Q196" s="78">
        <f t="shared" si="2"/>
        <v>13683062.686323402</v>
      </c>
    </row>
    <row r="197" spans="1:17" x14ac:dyDescent="0.3">
      <c r="A197" s="177" t="s">
        <v>162</v>
      </c>
      <c r="B197" s="177" t="s">
        <v>2035</v>
      </c>
      <c r="C197" s="78" t="s">
        <v>2036</v>
      </c>
      <c r="D197" s="78">
        <v>0</v>
      </c>
      <c r="E197" s="78">
        <v>25642083.1680541</v>
      </c>
      <c r="F197" s="78">
        <v>23946257.2760804</v>
      </c>
      <c r="G197" s="78">
        <v>20915462.719441202</v>
      </c>
      <c r="H197" s="78">
        <v>19458747.597768798</v>
      </c>
      <c r="I197" s="78">
        <v>20005751.838235602</v>
      </c>
      <c r="J197" s="78">
        <v>24356989.019944798</v>
      </c>
      <c r="K197" s="78">
        <v>27026425.5144687</v>
      </c>
      <c r="L197" s="78">
        <v>28425771.786352899</v>
      </c>
      <c r="M197" s="78">
        <v>37118443.598728001</v>
      </c>
      <c r="N197" s="78">
        <v>40323969.258173198</v>
      </c>
      <c r="O197" s="78">
        <v>43460812.576344103</v>
      </c>
      <c r="P197" s="78">
        <v>36786330.692260697</v>
      </c>
      <c r="Q197" s="78">
        <f t="shared" si="2"/>
        <v>347467045.04585248</v>
      </c>
    </row>
    <row r="198" spans="1:17" x14ac:dyDescent="0.3">
      <c r="A198" s="177" t="s">
        <v>162</v>
      </c>
      <c r="B198" s="177" t="s">
        <v>2037</v>
      </c>
      <c r="C198" s="78" t="s">
        <v>2038</v>
      </c>
      <c r="D198" s="78">
        <v>0</v>
      </c>
      <c r="E198" s="78">
        <v>932611</v>
      </c>
      <c r="F198" s="78">
        <v>850940</v>
      </c>
      <c r="G198" s="78">
        <v>769012</v>
      </c>
      <c r="H198" s="78">
        <v>686729</v>
      </c>
      <c r="I198" s="78">
        <v>604119</v>
      </c>
      <c r="J198" s="78">
        <v>521269</v>
      </c>
      <c r="K198" s="78">
        <v>438133</v>
      </c>
      <c r="L198" s="78">
        <v>354729</v>
      </c>
      <c r="M198" s="78">
        <v>271097</v>
      </c>
      <c r="N198" s="78">
        <v>187216</v>
      </c>
      <c r="O198" s="78">
        <v>103098</v>
      </c>
      <c r="P198" s="78">
        <v>18762</v>
      </c>
      <c r="Q198" s="78">
        <f t="shared" si="2"/>
        <v>5737715</v>
      </c>
    </row>
    <row r="199" spans="1:17" x14ac:dyDescent="0.3">
      <c r="A199" s="177" t="s">
        <v>162</v>
      </c>
      <c r="B199" s="177" t="s">
        <v>2039</v>
      </c>
      <c r="C199" s="78" t="s">
        <v>2040</v>
      </c>
      <c r="D199" s="78">
        <v>0</v>
      </c>
      <c r="E199" s="78">
        <v>7368503</v>
      </c>
      <c r="F199" s="78">
        <v>6704756</v>
      </c>
      <c r="G199" s="78">
        <v>6034573</v>
      </c>
      <c r="H199" s="78">
        <v>5413409</v>
      </c>
      <c r="I199" s="78">
        <v>4951812</v>
      </c>
      <c r="J199" s="78">
        <v>4723122</v>
      </c>
      <c r="K199" s="78">
        <v>4594918</v>
      </c>
      <c r="L199" s="78">
        <v>4475900</v>
      </c>
      <c r="M199" s="78">
        <v>4391455</v>
      </c>
      <c r="N199" s="78">
        <v>4126876</v>
      </c>
      <c r="O199" s="78">
        <v>3636625</v>
      </c>
      <c r="P199" s="78">
        <v>3079809</v>
      </c>
      <c r="Q199" s="78">
        <f t="shared" si="2"/>
        <v>59501758</v>
      </c>
    </row>
    <row r="200" spans="1:17" x14ac:dyDescent="0.3">
      <c r="A200" s="177" t="s">
        <v>162</v>
      </c>
      <c r="B200" s="177" t="s">
        <v>2041</v>
      </c>
      <c r="C200" s="78" t="s">
        <v>2042</v>
      </c>
      <c r="D200" s="78">
        <v>0</v>
      </c>
      <c r="E200" s="78">
        <v>850074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8">
        <v>0</v>
      </c>
      <c r="L200" s="78">
        <v>0</v>
      </c>
      <c r="M200" s="78">
        <v>0</v>
      </c>
      <c r="N200" s="78">
        <v>0</v>
      </c>
      <c r="O200" s="78">
        <v>0</v>
      </c>
      <c r="P200" s="78">
        <v>0</v>
      </c>
      <c r="Q200" s="78">
        <f t="shared" si="2"/>
        <v>850074</v>
      </c>
    </row>
    <row r="201" spans="1:17" x14ac:dyDescent="0.3">
      <c r="A201" s="177" t="s">
        <v>162</v>
      </c>
      <c r="B201" s="177" t="s">
        <v>3348</v>
      </c>
      <c r="C201" s="78" t="s">
        <v>3349</v>
      </c>
      <c r="D201" s="78">
        <v>0</v>
      </c>
      <c r="E201" s="78">
        <v>0</v>
      </c>
      <c r="F201" s="78">
        <v>0</v>
      </c>
      <c r="G201" s="78">
        <v>0</v>
      </c>
      <c r="H201" s="78">
        <v>528000</v>
      </c>
      <c r="I201" s="78">
        <v>528000</v>
      </c>
      <c r="J201" s="78">
        <v>528000</v>
      </c>
      <c r="K201" s="78">
        <v>528000</v>
      </c>
      <c r="L201" s="78">
        <v>528000</v>
      </c>
      <c r="M201" s="78">
        <v>528000</v>
      </c>
      <c r="N201" s="78">
        <v>528000</v>
      </c>
      <c r="O201" s="78">
        <v>528000</v>
      </c>
      <c r="P201" s="78">
        <v>528000</v>
      </c>
      <c r="Q201" s="78">
        <f t="shared" si="2"/>
        <v>4752000</v>
      </c>
    </row>
    <row r="202" spans="1:17" x14ac:dyDescent="0.3">
      <c r="A202" s="177" t="s">
        <v>162</v>
      </c>
      <c r="B202" s="177" t="s">
        <v>2043</v>
      </c>
      <c r="C202" s="78" t="s">
        <v>2044</v>
      </c>
      <c r="D202" s="78">
        <v>0</v>
      </c>
      <c r="E202" s="78">
        <v>2360.88</v>
      </c>
      <c r="F202" s="78">
        <v>1775.16</v>
      </c>
      <c r="G202" s="78">
        <v>1479.3</v>
      </c>
      <c r="H202" s="78">
        <v>1183.44</v>
      </c>
      <c r="I202" s="78">
        <v>887.58</v>
      </c>
      <c r="J202" s="78">
        <v>591.72</v>
      </c>
      <c r="K202" s="78">
        <v>295.86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78">
        <f t="shared" si="2"/>
        <v>8573.94</v>
      </c>
    </row>
    <row r="203" spans="1:17" x14ac:dyDescent="0.3">
      <c r="A203" s="177" t="s">
        <v>162</v>
      </c>
      <c r="B203" s="177" t="s">
        <v>2045</v>
      </c>
      <c r="C203" s="78" t="s">
        <v>2046</v>
      </c>
      <c r="D203" s="78">
        <v>0</v>
      </c>
      <c r="E203" s="78">
        <v>528000</v>
      </c>
      <c r="F203" s="78">
        <v>528000</v>
      </c>
      <c r="G203" s="78">
        <v>528000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78">
        <f t="shared" si="2"/>
        <v>1584000</v>
      </c>
    </row>
    <row r="204" spans="1:17" x14ac:dyDescent="0.3">
      <c r="A204" s="177" t="s">
        <v>162</v>
      </c>
      <c r="B204" s="177" t="s">
        <v>2047</v>
      </c>
      <c r="C204" s="78" t="s">
        <v>2048</v>
      </c>
      <c r="D204" s="78">
        <v>0</v>
      </c>
      <c r="E204" s="78">
        <v>60401</v>
      </c>
      <c r="F204" s="78">
        <v>60203</v>
      </c>
      <c r="G204" s="78">
        <v>60005</v>
      </c>
      <c r="H204" s="78">
        <v>59807</v>
      </c>
      <c r="I204" s="78">
        <v>59609</v>
      </c>
      <c r="J204" s="78">
        <v>59411</v>
      </c>
      <c r="K204" s="78">
        <v>59213</v>
      </c>
      <c r="L204" s="78">
        <v>59015</v>
      </c>
      <c r="M204" s="78">
        <v>58817</v>
      </c>
      <c r="N204" s="78">
        <v>58619</v>
      </c>
      <c r="O204" s="78">
        <v>58421</v>
      </c>
      <c r="P204" s="78">
        <v>58223</v>
      </c>
      <c r="Q204" s="78">
        <f t="shared" si="2"/>
        <v>711744</v>
      </c>
    </row>
    <row r="205" spans="1:17" x14ac:dyDescent="0.3">
      <c r="A205" s="177" t="s">
        <v>162</v>
      </c>
      <c r="B205" s="177" t="s">
        <v>2049</v>
      </c>
      <c r="C205" s="78" t="s">
        <v>2050</v>
      </c>
      <c r="D205" s="78">
        <v>0</v>
      </c>
      <c r="E205" s="78">
        <v>5311167.01</v>
      </c>
      <c r="F205" s="78">
        <v>5328267.83</v>
      </c>
      <c r="G205" s="78">
        <v>5345410.84</v>
      </c>
      <c r="H205" s="78">
        <v>5361925.29</v>
      </c>
      <c r="I205" s="78">
        <v>5377877.54</v>
      </c>
      <c r="J205" s="78">
        <v>5393922.4400000004</v>
      </c>
      <c r="K205" s="78">
        <v>5409547.75</v>
      </c>
      <c r="L205" s="78">
        <v>5424783.5</v>
      </c>
      <c r="M205" s="78">
        <v>5440066.1600000001</v>
      </c>
      <c r="N205" s="78">
        <v>5454920.5800000001</v>
      </c>
      <c r="O205" s="78">
        <v>5469274.6399999997</v>
      </c>
      <c r="P205" s="78">
        <v>5483649.3466667002</v>
      </c>
      <c r="Q205" s="78">
        <f t="shared" si="2"/>
        <v>64800812.926666699</v>
      </c>
    </row>
    <row r="206" spans="1:17" x14ac:dyDescent="0.3">
      <c r="A206" s="177" t="s">
        <v>162</v>
      </c>
      <c r="B206" s="177" t="s">
        <v>2051</v>
      </c>
      <c r="C206" s="78" t="s">
        <v>2052</v>
      </c>
      <c r="D206" s="78">
        <v>0</v>
      </c>
      <c r="E206" s="78">
        <v>34121</v>
      </c>
      <c r="F206" s="78">
        <v>34121</v>
      </c>
      <c r="G206" s="78">
        <v>34121</v>
      </c>
      <c r="H206" s="78">
        <v>34116</v>
      </c>
      <c r="I206" s="78">
        <v>34116</v>
      </c>
      <c r="J206" s="78">
        <v>34116</v>
      </c>
      <c r="K206" s="78">
        <v>34111</v>
      </c>
      <c r="L206" s="78">
        <v>34111</v>
      </c>
      <c r="M206" s="78">
        <v>34111</v>
      </c>
      <c r="N206" s="78">
        <v>34106</v>
      </c>
      <c r="O206" s="78">
        <v>34106</v>
      </c>
      <c r="P206" s="78">
        <v>34106</v>
      </c>
      <c r="Q206" s="78">
        <f t="shared" si="2"/>
        <v>409362</v>
      </c>
    </row>
    <row r="207" spans="1:17" x14ac:dyDescent="0.3">
      <c r="A207" s="177" t="s">
        <v>162</v>
      </c>
      <c r="B207" s="177" t="s">
        <v>2053</v>
      </c>
      <c r="C207" s="78" t="s">
        <v>2054</v>
      </c>
      <c r="D207" s="78">
        <v>0</v>
      </c>
      <c r="E207" s="78">
        <v>437080478.91000003</v>
      </c>
      <c r="F207" s="78">
        <v>438133012.32999998</v>
      </c>
      <c r="G207" s="78">
        <v>440690197.31</v>
      </c>
      <c r="H207" s="78">
        <v>444642195.54000002</v>
      </c>
      <c r="I207" s="78">
        <v>441319708.37</v>
      </c>
      <c r="J207" s="78">
        <v>437814467.25</v>
      </c>
      <c r="K207" s="78">
        <v>434491980.13</v>
      </c>
      <c r="L207" s="78">
        <v>431169492.88999999</v>
      </c>
      <c r="M207" s="78">
        <v>414317539.58999997</v>
      </c>
      <c r="N207" s="78">
        <v>410995052.31999999</v>
      </c>
      <c r="O207" s="78">
        <v>407672565.20999998</v>
      </c>
      <c r="P207" s="78">
        <v>412649033.60000002</v>
      </c>
      <c r="Q207" s="78">
        <f t="shared" ref="Q207:Q270" si="3">SUM(D207:P207)</f>
        <v>5150975723.4500008</v>
      </c>
    </row>
    <row r="208" spans="1:17" x14ac:dyDescent="0.3">
      <c r="A208" s="177" t="s">
        <v>162</v>
      </c>
      <c r="B208" s="177" t="s">
        <v>2055</v>
      </c>
      <c r="C208" s="78" t="s">
        <v>2056</v>
      </c>
      <c r="D208" s="78">
        <v>0</v>
      </c>
      <c r="E208" s="78">
        <v>54766861.046900198</v>
      </c>
      <c r="F208" s="78">
        <v>54306635.3238004</v>
      </c>
      <c r="G208" s="78">
        <v>53846409.600700602</v>
      </c>
      <c r="H208" s="78">
        <v>53386183.877600797</v>
      </c>
      <c r="I208" s="78">
        <v>52925958.154500999</v>
      </c>
      <c r="J208" s="78">
        <v>52465732.431401297</v>
      </c>
      <c r="K208" s="78">
        <v>52005506.708301499</v>
      </c>
      <c r="L208" s="78">
        <v>51545280.985201702</v>
      </c>
      <c r="M208" s="78">
        <v>51085055.262101904</v>
      </c>
      <c r="N208" s="78">
        <v>50624829.539002098</v>
      </c>
      <c r="O208" s="78">
        <v>50164603.8159023</v>
      </c>
      <c r="P208" s="78">
        <v>49704378.092802502</v>
      </c>
      <c r="Q208" s="78">
        <f t="shared" si="3"/>
        <v>626827434.83821642</v>
      </c>
    </row>
    <row r="209" spans="1:17" x14ac:dyDescent="0.3">
      <c r="A209" s="177" t="s">
        <v>162</v>
      </c>
      <c r="B209" s="177" t="s">
        <v>2057</v>
      </c>
      <c r="C209" s="78" t="s">
        <v>389</v>
      </c>
      <c r="D209" s="78">
        <v>0</v>
      </c>
      <c r="E209" s="78">
        <v>233862229.47</v>
      </c>
      <c r="F209" s="78">
        <v>248251487.19999999</v>
      </c>
      <c r="G209" s="78">
        <v>247301272.97</v>
      </c>
      <c r="H209" s="78">
        <v>271998127.74000001</v>
      </c>
      <c r="I209" s="78">
        <v>270834186.82999998</v>
      </c>
      <c r="J209" s="78">
        <v>269670245.94999999</v>
      </c>
      <c r="K209" s="78">
        <v>268506305.06999999</v>
      </c>
      <c r="L209" s="78">
        <v>267342364.16</v>
      </c>
      <c r="M209" s="78">
        <v>266178423.28</v>
      </c>
      <c r="N209" s="78">
        <v>265014482.40000001</v>
      </c>
      <c r="O209" s="78">
        <v>263850541.49000001</v>
      </c>
      <c r="P209" s="78">
        <v>264130953.81</v>
      </c>
      <c r="Q209" s="78">
        <f t="shared" si="3"/>
        <v>3136940620.3700004</v>
      </c>
    </row>
    <row r="210" spans="1:17" x14ac:dyDescent="0.3">
      <c r="A210" s="177" t="s">
        <v>162</v>
      </c>
      <c r="B210" s="177" t="s">
        <v>2058</v>
      </c>
      <c r="C210" s="78" t="s">
        <v>2059</v>
      </c>
      <c r="D210" s="78">
        <v>0</v>
      </c>
      <c r="E210" s="78">
        <v>-79.44</v>
      </c>
      <c r="F210" s="78">
        <v>-1007.35</v>
      </c>
      <c r="G210" s="78">
        <v>-1935.27</v>
      </c>
      <c r="H210" s="78">
        <v>-2863.19</v>
      </c>
      <c r="I210" s="78">
        <v>-3791.1</v>
      </c>
      <c r="J210" s="78">
        <v>-4719.0200000000004</v>
      </c>
      <c r="K210" s="78">
        <v>-5646.94</v>
      </c>
      <c r="L210" s="78">
        <v>-6574.85</v>
      </c>
      <c r="M210" s="78">
        <v>-7502.77</v>
      </c>
      <c r="N210" s="78">
        <v>-8430.69</v>
      </c>
      <c r="O210" s="78">
        <v>-9358.6</v>
      </c>
      <c r="P210" s="78">
        <v>-10286.52</v>
      </c>
      <c r="Q210" s="78">
        <f t="shared" si="3"/>
        <v>-62195.740000000005</v>
      </c>
    </row>
    <row r="211" spans="1:17" x14ac:dyDescent="0.3">
      <c r="A211" s="177" t="s">
        <v>162</v>
      </c>
      <c r="B211" s="177" t="s">
        <v>2060</v>
      </c>
      <c r="C211" s="78" t="s">
        <v>2061</v>
      </c>
      <c r="D211" s="78">
        <v>0</v>
      </c>
      <c r="E211" s="78">
        <v>-7876.12</v>
      </c>
      <c r="F211" s="78">
        <v>-7876.12</v>
      </c>
      <c r="G211" s="78">
        <v>-7876.12</v>
      </c>
      <c r="H211" s="78">
        <v>-7876.12</v>
      </c>
      <c r="I211" s="78">
        <v>-7876.12</v>
      </c>
      <c r="J211" s="78">
        <v>-7876.12</v>
      </c>
      <c r="K211" s="78">
        <v>-7876.12</v>
      </c>
      <c r="L211" s="78">
        <v>-7876.12</v>
      </c>
      <c r="M211" s="78">
        <v>-7876.12</v>
      </c>
      <c r="N211" s="78">
        <v>-7876.12</v>
      </c>
      <c r="O211" s="78">
        <v>-7876.12</v>
      </c>
      <c r="P211" s="78">
        <v>-7876.12</v>
      </c>
      <c r="Q211" s="78">
        <f t="shared" si="3"/>
        <v>-94513.439999999988</v>
      </c>
    </row>
    <row r="212" spans="1:17" x14ac:dyDescent="0.3">
      <c r="A212" s="177" t="s">
        <v>162</v>
      </c>
      <c r="B212" s="177" t="s">
        <v>2062</v>
      </c>
      <c r="C212" s="78" t="s">
        <v>2063</v>
      </c>
      <c r="D212" s="78">
        <v>0</v>
      </c>
      <c r="E212" s="78">
        <v>45530976.159999996</v>
      </c>
      <c r="F212" s="78">
        <v>45381420.210000001</v>
      </c>
      <c r="G212" s="78">
        <v>45231864.25</v>
      </c>
      <c r="H212" s="78">
        <v>45082308.299999997</v>
      </c>
      <c r="I212" s="78">
        <v>44932752.340000004</v>
      </c>
      <c r="J212" s="78">
        <v>44783196.390000001</v>
      </c>
      <c r="K212" s="78">
        <v>44633640.43</v>
      </c>
      <c r="L212" s="78">
        <v>44484084.479999997</v>
      </c>
      <c r="M212" s="78">
        <v>44334528.520000003</v>
      </c>
      <c r="N212" s="78">
        <v>44184972.57</v>
      </c>
      <c r="O212" s="78">
        <v>44035416.609999999</v>
      </c>
      <c r="P212" s="78">
        <v>43885860.659999996</v>
      </c>
      <c r="Q212" s="78">
        <f t="shared" si="3"/>
        <v>536501020.92000008</v>
      </c>
    </row>
    <row r="213" spans="1:17" x14ac:dyDescent="0.3">
      <c r="A213" s="177" t="s">
        <v>162</v>
      </c>
      <c r="B213" s="177" t="s">
        <v>2064</v>
      </c>
      <c r="C213" s="78" t="s">
        <v>2065</v>
      </c>
      <c r="D213" s="78">
        <v>0</v>
      </c>
      <c r="E213" s="78">
        <v>7391993.8700000001</v>
      </c>
      <c r="F213" s="78">
        <v>7336648.6699999999</v>
      </c>
      <c r="G213" s="78">
        <v>7281303.4699999997</v>
      </c>
      <c r="H213" s="78">
        <v>7225958.2800000003</v>
      </c>
      <c r="I213" s="78">
        <v>7170613.0800000001</v>
      </c>
      <c r="J213" s="78">
        <v>7115267.8799999999</v>
      </c>
      <c r="K213" s="78">
        <v>7059922.6799999997</v>
      </c>
      <c r="L213" s="78">
        <v>7004577.4800000004</v>
      </c>
      <c r="M213" s="78">
        <v>6949232.2800000003</v>
      </c>
      <c r="N213" s="78">
        <v>6893887.0899999999</v>
      </c>
      <c r="O213" s="78">
        <v>6838541.8899999997</v>
      </c>
      <c r="P213" s="78">
        <v>6783196.6900000004</v>
      </c>
      <c r="Q213" s="78">
        <f t="shared" si="3"/>
        <v>85051143.359999999</v>
      </c>
    </row>
    <row r="214" spans="1:17" x14ac:dyDescent="0.3">
      <c r="A214" s="177" t="s">
        <v>162</v>
      </c>
      <c r="B214" s="177" t="s">
        <v>2066</v>
      </c>
      <c r="C214" s="78" t="s">
        <v>2067</v>
      </c>
      <c r="D214" s="78">
        <v>0</v>
      </c>
      <c r="E214" s="78">
        <v>1483187233.27</v>
      </c>
      <c r="F214" s="78">
        <v>1485678828.98</v>
      </c>
      <c r="G214" s="78">
        <v>1488184458.01</v>
      </c>
      <c r="H214" s="78">
        <v>1490754243.51</v>
      </c>
      <c r="I214" s="78">
        <v>1493314415.0599999</v>
      </c>
      <c r="J214" s="78">
        <v>1495859711.2</v>
      </c>
      <c r="K214" s="78">
        <v>1498379689.01</v>
      </c>
      <c r="L214" s="78">
        <v>1500939582.4300001</v>
      </c>
      <c r="M214" s="78">
        <v>1503457750.79</v>
      </c>
      <c r="N214" s="78">
        <v>1506045234.52</v>
      </c>
      <c r="O214" s="78">
        <v>1508526052.6099999</v>
      </c>
      <c r="P214" s="78">
        <v>1510989037.9400001</v>
      </c>
      <c r="Q214" s="78">
        <f t="shared" si="3"/>
        <v>17965316237.330002</v>
      </c>
    </row>
    <row r="215" spans="1:17" x14ac:dyDescent="0.3">
      <c r="A215" s="177" t="s">
        <v>162</v>
      </c>
      <c r="B215" s="177" t="s">
        <v>2068</v>
      </c>
      <c r="C215" s="78" t="s">
        <v>2069</v>
      </c>
      <c r="D215" s="78">
        <v>0</v>
      </c>
      <c r="E215" s="78">
        <v>293839585.56999999</v>
      </c>
      <c r="F215" s="78">
        <v>295444340.75999999</v>
      </c>
      <c r="G215" s="78">
        <v>297056411.98000002</v>
      </c>
      <c r="H215" s="78">
        <v>298682832.16000003</v>
      </c>
      <c r="I215" s="78">
        <v>300308792.42000002</v>
      </c>
      <c r="J215" s="78">
        <v>301928332.86000001</v>
      </c>
      <c r="K215" s="78">
        <v>303543140.41000003</v>
      </c>
      <c r="L215" s="78">
        <v>305166822.33999997</v>
      </c>
      <c r="M215" s="78">
        <v>306785165.60000002</v>
      </c>
      <c r="N215" s="78">
        <v>308416500.44</v>
      </c>
      <c r="O215" s="78">
        <v>310020443.76999998</v>
      </c>
      <c r="P215" s="78">
        <v>311620929.81999999</v>
      </c>
      <c r="Q215" s="78">
        <f t="shared" si="3"/>
        <v>3632813298.1300001</v>
      </c>
    </row>
    <row r="216" spans="1:17" x14ac:dyDescent="0.3">
      <c r="A216" s="177" t="s">
        <v>162</v>
      </c>
      <c r="B216" s="177" t="s">
        <v>2070</v>
      </c>
      <c r="C216" s="78" t="s">
        <v>2071</v>
      </c>
      <c r="D216" s="78">
        <v>0</v>
      </c>
      <c r="E216" s="78">
        <v>-188415545.75999999</v>
      </c>
      <c r="F216" s="78">
        <v>-183668566.44999999</v>
      </c>
      <c r="G216" s="78">
        <v>-185154513.24000001</v>
      </c>
      <c r="H216" s="78">
        <v>-179053219.88</v>
      </c>
      <c r="I216" s="78">
        <v>-176368497.61000001</v>
      </c>
      <c r="J216" s="78">
        <v>-173756963.78999999</v>
      </c>
      <c r="K216" s="78">
        <v>-171357292.75</v>
      </c>
      <c r="L216" s="78">
        <v>-168897298.12</v>
      </c>
      <c r="M216" s="78">
        <v>-156296468.78</v>
      </c>
      <c r="N216" s="78">
        <v>-153776603.58000001</v>
      </c>
      <c r="O216" s="78">
        <v>-151241762.66</v>
      </c>
      <c r="P216" s="78">
        <v>-154508520.56999999</v>
      </c>
      <c r="Q216" s="78">
        <f t="shared" si="3"/>
        <v>-2042495253.1899998</v>
      </c>
    </row>
    <row r="217" spans="1:17" x14ac:dyDescent="0.3">
      <c r="A217" s="177" t="s">
        <v>162</v>
      </c>
      <c r="B217" s="177" t="s">
        <v>2072</v>
      </c>
      <c r="C217" s="78" t="s">
        <v>2073</v>
      </c>
      <c r="D217" s="78">
        <v>0</v>
      </c>
      <c r="E217" s="78">
        <v>17089576.039999999</v>
      </c>
      <c r="F217" s="78">
        <v>17953865.940000001</v>
      </c>
      <c r="G217" s="78">
        <v>28811388.800000001</v>
      </c>
      <c r="H217" s="78">
        <v>29910606.219999999</v>
      </c>
      <c r="I217" s="78">
        <v>30619656.260000002</v>
      </c>
      <c r="J217" s="78">
        <v>30036596.859999999</v>
      </c>
      <c r="K217" s="78">
        <v>30354377.18</v>
      </c>
      <c r="L217" s="78">
        <v>30666481.649999999</v>
      </c>
      <c r="M217" s="78">
        <v>20206888.809999999</v>
      </c>
      <c r="N217" s="78">
        <v>20740306.079999998</v>
      </c>
      <c r="O217" s="78">
        <v>21735736.899999999</v>
      </c>
      <c r="P217" s="78">
        <v>28045393.699999999</v>
      </c>
      <c r="Q217" s="78">
        <f t="shared" si="3"/>
        <v>306170874.44</v>
      </c>
    </row>
    <row r="218" spans="1:17" x14ac:dyDescent="0.3">
      <c r="A218" s="177" t="s">
        <v>162</v>
      </c>
      <c r="B218" s="177" t="s">
        <v>2074</v>
      </c>
      <c r="C218" s="78" t="s">
        <v>2075</v>
      </c>
      <c r="D218" s="78">
        <v>0</v>
      </c>
      <c r="E218" s="78">
        <v>79139928.760000005</v>
      </c>
      <c r="F218" s="78">
        <v>79139928.760000005</v>
      </c>
      <c r="G218" s="78">
        <v>79139928.760000005</v>
      </c>
      <c r="H218" s="78">
        <v>79139928.760000005</v>
      </c>
      <c r="I218" s="78">
        <v>79139928.760000005</v>
      </c>
      <c r="J218" s="78">
        <v>79139928.760000005</v>
      </c>
      <c r="K218" s="78">
        <v>79139928.760000005</v>
      </c>
      <c r="L218" s="78">
        <v>79139928.760000005</v>
      </c>
      <c r="M218" s="78">
        <v>79139928.760000005</v>
      </c>
      <c r="N218" s="78">
        <v>79139928.760000005</v>
      </c>
      <c r="O218" s="78">
        <v>79139928.760000005</v>
      </c>
      <c r="P218" s="78">
        <v>79139928.760000005</v>
      </c>
      <c r="Q218" s="78">
        <f t="shared" si="3"/>
        <v>949679145.12</v>
      </c>
    </row>
    <row r="219" spans="1:17" x14ac:dyDescent="0.3">
      <c r="A219" s="177" t="s">
        <v>162</v>
      </c>
      <c r="B219" s="177" t="s">
        <v>2076</v>
      </c>
      <c r="C219" s="78" t="s">
        <v>2077</v>
      </c>
      <c r="D219" s="78">
        <v>0</v>
      </c>
      <c r="E219" s="78">
        <v>1926508.04</v>
      </c>
      <c r="F219" s="78">
        <v>1926508.04</v>
      </c>
      <c r="G219" s="78">
        <v>1926508.04</v>
      </c>
      <c r="H219" s="78">
        <v>1926508.04</v>
      </c>
      <c r="I219" s="78">
        <v>1926508.04</v>
      </c>
      <c r="J219" s="78">
        <v>1926508.04</v>
      </c>
      <c r="K219" s="78">
        <v>1926508.04</v>
      </c>
      <c r="L219" s="78">
        <v>1926508.04</v>
      </c>
      <c r="M219" s="78">
        <v>1926508.04</v>
      </c>
      <c r="N219" s="78">
        <v>1926508.04</v>
      </c>
      <c r="O219" s="78">
        <v>1926508.04</v>
      </c>
      <c r="P219" s="78">
        <v>1926508.04</v>
      </c>
      <c r="Q219" s="78">
        <f t="shared" si="3"/>
        <v>23118096.479999993</v>
      </c>
    </row>
    <row r="220" spans="1:17" x14ac:dyDescent="0.3">
      <c r="A220" s="177" t="s">
        <v>162</v>
      </c>
      <c r="B220" s="177" t="s">
        <v>2078</v>
      </c>
      <c r="C220" s="78" t="s">
        <v>2079</v>
      </c>
      <c r="D220" s="78">
        <v>0</v>
      </c>
      <c r="E220" s="78">
        <v>2422898.98</v>
      </c>
      <c r="F220" s="78">
        <v>2683773.33</v>
      </c>
      <c r="G220" s="78">
        <v>4506731.37</v>
      </c>
      <c r="H220" s="78">
        <v>4832720.57</v>
      </c>
      <c r="I220" s="78">
        <v>5048371.1100000003</v>
      </c>
      <c r="J220" s="78">
        <v>4946026.0199999996</v>
      </c>
      <c r="K220" s="78">
        <v>5053250.0599999996</v>
      </c>
      <c r="L220" s="78">
        <v>5161089.2</v>
      </c>
      <c r="M220" s="78">
        <v>5076660.72</v>
      </c>
      <c r="N220" s="78">
        <v>5245829.95</v>
      </c>
      <c r="O220" s="78">
        <v>5540874.5599999996</v>
      </c>
      <c r="P220" s="78">
        <v>5674237.2599999998</v>
      </c>
      <c r="Q220" s="78">
        <f t="shared" si="3"/>
        <v>56192463.130000003</v>
      </c>
    </row>
    <row r="221" spans="1:17" x14ac:dyDescent="0.3">
      <c r="A221" s="177" t="s">
        <v>162</v>
      </c>
      <c r="B221" s="177" t="s">
        <v>2080</v>
      </c>
      <c r="C221" s="78" t="s">
        <v>2081</v>
      </c>
      <c r="D221" s="78">
        <v>0</v>
      </c>
      <c r="E221" s="78">
        <v>12997895.699999999</v>
      </c>
      <c r="F221" s="78">
        <v>12997895.699999999</v>
      </c>
      <c r="G221" s="78">
        <v>12997895.699999999</v>
      </c>
      <c r="H221" s="78">
        <v>12997895.699999999</v>
      </c>
      <c r="I221" s="78">
        <v>12997895.699999999</v>
      </c>
      <c r="J221" s="78">
        <v>12997895.699999999</v>
      </c>
      <c r="K221" s="78">
        <v>12997895.699999999</v>
      </c>
      <c r="L221" s="78">
        <v>12997895.699999999</v>
      </c>
      <c r="M221" s="78">
        <v>12997895.699999999</v>
      </c>
      <c r="N221" s="78">
        <v>12997895.699999999</v>
      </c>
      <c r="O221" s="78">
        <v>12997895.699999999</v>
      </c>
      <c r="P221" s="78">
        <v>12997895.699999999</v>
      </c>
      <c r="Q221" s="78">
        <f t="shared" si="3"/>
        <v>155974748.40000001</v>
      </c>
    </row>
    <row r="222" spans="1:17" x14ac:dyDescent="0.3">
      <c r="A222" s="177" t="s">
        <v>162</v>
      </c>
      <c r="B222" s="177" t="s">
        <v>2082</v>
      </c>
      <c r="C222" s="78" t="s">
        <v>2083</v>
      </c>
      <c r="D222" s="78">
        <v>0</v>
      </c>
      <c r="E222" s="78">
        <v>0.2</v>
      </c>
      <c r="F222" s="78">
        <v>0.2</v>
      </c>
      <c r="G222" s="78">
        <v>0.2</v>
      </c>
      <c r="H222" s="78">
        <v>0.2</v>
      </c>
      <c r="I222" s="78">
        <v>0.2</v>
      </c>
      <c r="J222" s="78">
        <v>0.2</v>
      </c>
      <c r="K222" s="78">
        <v>0.2</v>
      </c>
      <c r="L222" s="78">
        <v>0.2</v>
      </c>
      <c r="M222" s="78">
        <v>0.2</v>
      </c>
      <c r="N222" s="78">
        <v>0.2</v>
      </c>
      <c r="O222" s="78">
        <v>0.2</v>
      </c>
      <c r="P222" s="78">
        <v>0.2</v>
      </c>
      <c r="Q222" s="78">
        <f t="shared" si="3"/>
        <v>2.4</v>
      </c>
    </row>
    <row r="223" spans="1:17" x14ac:dyDescent="0.3">
      <c r="A223" s="177" t="s">
        <v>162</v>
      </c>
      <c r="B223" s="177" t="s">
        <v>2084</v>
      </c>
      <c r="C223" s="78" t="s">
        <v>2085</v>
      </c>
      <c r="D223" s="78">
        <v>0</v>
      </c>
      <c r="E223" s="78">
        <v>-64212930.780000001</v>
      </c>
      <c r="F223" s="78">
        <v>-62597479.780000001</v>
      </c>
      <c r="G223" s="78">
        <v>-63098076.060000002</v>
      </c>
      <c r="H223" s="78">
        <v>-61022842.170000002</v>
      </c>
      <c r="I223" s="78">
        <v>-60107517.240000002</v>
      </c>
      <c r="J223" s="78">
        <v>-59217039.219999999</v>
      </c>
      <c r="K223" s="78">
        <v>-58398487.729999997</v>
      </c>
      <c r="L223" s="78">
        <v>-57559456.579999998</v>
      </c>
      <c r="M223" s="78">
        <v>-53277662.700000003</v>
      </c>
      <c r="N223" s="78">
        <v>-52418305.719999999</v>
      </c>
      <c r="O223" s="78">
        <v>-51553864.719999999</v>
      </c>
      <c r="P223" s="78">
        <v>-52659037.530000001</v>
      </c>
      <c r="Q223" s="78">
        <f t="shared" si="3"/>
        <v>-696122700.23000002</v>
      </c>
    </row>
    <row r="224" spans="1:17" x14ac:dyDescent="0.3">
      <c r="A224" s="177" t="s">
        <v>162</v>
      </c>
      <c r="B224" s="177" t="s">
        <v>2086</v>
      </c>
      <c r="C224" s="78" t="s">
        <v>2087</v>
      </c>
      <c r="D224" s="78">
        <v>0</v>
      </c>
      <c r="E224" s="78">
        <v>243480.63</v>
      </c>
      <c r="F224" s="78">
        <v>243480.63</v>
      </c>
      <c r="G224" s="78">
        <v>243480.63</v>
      </c>
      <c r="H224" s="78">
        <v>243480.63</v>
      </c>
      <c r="I224" s="78">
        <v>243480.63</v>
      </c>
      <c r="J224" s="78">
        <v>243480.63</v>
      </c>
      <c r="K224" s="78">
        <v>243480.63</v>
      </c>
      <c r="L224" s="78">
        <v>243480.63</v>
      </c>
      <c r="M224" s="78">
        <v>243480.63</v>
      </c>
      <c r="N224" s="78">
        <v>243480.63</v>
      </c>
      <c r="O224" s="78">
        <v>243480.63</v>
      </c>
      <c r="P224" s="78">
        <v>243480.63</v>
      </c>
      <c r="Q224" s="78">
        <f t="shared" si="3"/>
        <v>2921767.5599999991</v>
      </c>
    </row>
    <row r="225" spans="1:17" x14ac:dyDescent="0.3">
      <c r="A225" s="177" t="s">
        <v>162</v>
      </c>
      <c r="B225" s="177" t="s">
        <v>2088</v>
      </c>
      <c r="C225" s="78" t="s">
        <v>2089</v>
      </c>
      <c r="D225" s="78">
        <v>0</v>
      </c>
      <c r="E225" s="78">
        <v>1821528.62</v>
      </c>
      <c r="F225" s="78">
        <v>1821528.62</v>
      </c>
      <c r="G225" s="78">
        <v>1821528.62</v>
      </c>
      <c r="H225" s="78">
        <v>1821528.62</v>
      </c>
      <c r="I225" s="78">
        <v>1821528.62</v>
      </c>
      <c r="J225" s="78">
        <v>1821528.62</v>
      </c>
      <c r="K225" s="78">
        <v>1821528.62</v>
      </c>
      <c r="L225" s="78">
        <v>1821528.62</v>
      </c>
      <c r="M225" s="78">
        <v>1821528.62</v>
      </c>
      <c r="N225" s="78">
        <v>1821528.62</v>
      </c>
      <c r="O225" s="78">
        <v>1821528.62</v>
      </c>
      <c r="P225" s="78">
        <v>1821528.53</v>
      </c>
      <c r="Q225" s="78">
        <f t="shared" si="3"/>
        <v>21858343.350000009</v>
      </c>
    </row>
    <row r="226" spans="1:17" x14ac:dyDescent="0.3">
      <c r="A226" s="177" t="s">
        <v>162</v>
      </c>
      <c r="B226" s="177" t="s">
        <v>2090</v>
      </c>
      <c r="C226" s="78" t="s">
        <v>2091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8">
        <v>-228487.07380020001</v>
      </c>
      <c r="J226" s="78">
        <v>-4025579.0150425001</v>
      </c>
      <c r="K226" s="78">
        <v>-2335848.3278573002</v>
      </c>
      <c r="L226" s="78">
        <v>-1062221.1052176</v>
      </c>
      <c r="M226" s="78">
        <v>-8341688.6457083998</v>
      </c>
      <c r="N226" s="78">
        <v>-2841294.4927785001</v>
      </c>
      <c r="O226" s="78">
        <v>-2767917.1515043001</v>
      </c>
      <c r="P226" s="78">
        <v>0</v>
      </c>
      <c r="Q226" s="78">
        <f t="shared" si="3"/>
        <v>-21603035.8119088</v>
      </c>
    </row>
    <row r="227" spans="1:17" x14ac:dyDescent="0.3">
      <c r="A227" s="177" t="s">
        <v>162</v>
      </c>
      <c r="B227" s="177" t="s">
        <v>2092</v>
      </c>
      <c r="C227" s="78" t="s">
        <v>2093</v>
      </c>
      <c r="D227" s="78">
        <v>0</v>
      </c>
      <c r="E227" s="78">
        <v>260983.16666670001</v>
      </c>
      <c r="F227" s="78">
        <v>260983.16666670001</v>
      </c>
      <c r="G227" s="78">
        <v>260983.16666670001</v>
      </c>
      <c r="H227" s="78">
        <v>260983.16666670001</v>
      </c>
      <c r="I227" s="78">
        <v>260983.16666670001</v>
      </c>
      <c r="J227" s="78">
        <v>260983.16666670001</v>
      </c>
      <c r="K227" s="78">
        <v>260983.16666670001</v>
      </c>
      <c r="L227" s="78">
        <v>260983.16666670001</v>
      </c>
      <c r="M227" s="78">
        <v>260983.16666670001</v>
      </c>
      <c r="N227" s="78">
        <v>260983.16666670001</v>
      </c>
      <c r="O227" s="78">
        <v>260983.16666670001</v>
      </c>
      <c r="P227" s="78">
        <v>260983.16666670001</v>
      </c>
      <c r="Q227" s="78">
        <f t="shared" si="3"/>
        <v>3131798.0000004</v>
      </c>
    </row>
    <row r="228" spans="1:17" x14ac:dyDescent="0.3">
      <c r="A228" s="177" t="s">
        <v>162</v>
      </c>
      <c r="B228" s="177" t="s">
        <v>2096</v>
      </c>
      <c r="C228" s="78" t="s">
        <v>2097</v>
      </c>
      <c r="D228" s="78">
        <v>0</v>
      </c>
      <c r="E228" s="78">
        <v>0</v>
      </c>
      <c r="F228" s="78">
        <v>0</v>
      </c>
      <c r="G228" s="78">
        <v>-283304.04480109998</v>
      </c>
      <c r="H228" s="78">
        <v>0</v>
      </c>
      <c r="I228" s="78">
        <v>-325104.7982586</v>
      </c>
      <c r="J228" s="78">
        <v>-372810.73998050002</v>
      </c>
      <c r="K228" s="78">
        <v>-390588.20020919997</v>
      </c>
      <c r="L228" s="78">
        <v>-389032.92001090001</v>
      </c>
      <c r="M228" s="78">
        <v>-394539.27543500002</v>
      </c>
      <c r="N228" s="78">
        <v>-359696.10251950001</v>
      </c>
      <c r="O228" s="78">
        <v>-310161.25760790001</v>
      </c>
      <c r="P228" s="78">
        <v>-294732.6269419</v>
      </c>
      <c r="Q228" s="78">
        <f t="shared" si="3"/>
        <v>-3119969.9657645999</v>
      </c>
    </row>
    <row r="229" spans="1:17" x14ac:dyDescent="0.3">
      <c r="A229" s="177" t="s">
        <v>162</v>
      </c>
      <c r="B229" s="177" t="s">
        <v>2098</v>
      </c>
      <c r="C229" s="78" t="s">
        <v>2099</v>
      </c>
      <c r="D229" s="78">
        <v>0</v>
      </c>
      <c r="E229" s="78">
        <v>19569.916666699999</v>
      </c>
      <c r="F229" s="78">
        <v>19569.916666699999</v>
      </c>
      <c r="G229" s="78">
        <v>19569.916666699999</v>
      </c>
      <c r="H229" s="78">
        <v>19569.916666699999</v>
      </c>
      <c r="I229" s="78">
        <v>19569.916666699999</v>
      </c>
      <c r="J229" s="78">
        <v>19569.916666699999</v>
      </c>
      <c r="K229" s="78">
        <v>19569.916666699999</v>
      </c>
      <c r="L229" s="78">
        <v>19569.916666699999</v>
      </c>
      <c r="M229" s="78">
        <v>19569.916666699999</v>
      </c>
      <c r="N229" s="78">
        <v>19569.916666699999</v>
      </c>
      <c r="O229" s="78">
        <v>19569.916666699999</v>
      </c>
      <c r="P229" s="78">
        <v>19569.916666699999</v>
      </c>
      <c r="Q229" s="78">
        <f t="shared" si="3"/>
        <v>234839.00000040003</v>
      </c>
    </row>
    <row r="230" spans="1:17" x14ac:dyDescent="0.3">
      <c r="A230" s="177" t="s">
        <v>162</v>
      </c>
      <c r="B230" s="177" t="s">
        <v>2100</v>
      </c>
      <c r="C230" s="78" t="s">
        <v>2101</v>
      </c>
      <c r="D230" s="78">
        <v>0</v>
      </c>
      <c r="E230" s="78">
        <v>-0.66650960000000004</v>
      </c>
      <c r="F230" s="78">
        <v>0</v>
      </c>
      <c r="G230" s="78">
        <v>-1.286E-2</v>
      </c>
      <c r="H230" s="78">
        <v>-0.18720239999999999</v>
      </c>
      <c r="I230" s="78">
        <v>-2.6716E-2</v>
      </c>
      <c r="J230" s="78">
        <v>-1.0554471999999999</v>
      </c>
      <c r="K230" s="78">
        <v>0</v>
      </c>
      <c r="L230" s="78">
        <v>0</v>
      </c>
      <c r="M230" s="78">
        <v>-0.51394240000000002</v>
      </c>
      <c r="N230" s="78">
        <v>-0.20576800000000001</v>
      </c>
      <c r="O230" s="78">
        <v>0</v>
      </c>
      <c r="P230" s="78">
        <v>0</v>
      </c>
      <c r="Q230" s="78">
        <f t="shared" si="3"/>
        <v>-2.6684455999999996</v>
      </c>
    </row>
    <row r="231" spans="1:17" x14ac:dyDescent="0.3">
      <c r="A231" s="177" t="s">
        <v>162</v>
      </c>
      <c r="B231" s="177" t="s">
        <v>2102</v>
      </c>
      <c r="C231" s="78" t="s">
        <v>2103</v>
      </c>
      <c r="D231" s="78">
        <v>0</v>
      </c>
      <c r="E231" s="78">
        <v>-42058</v>
      </c>
      <c r="F231" s="78">
        <v>0</v>
      </c>
      <c r="G231" s="78">
        <v>0</v>
      </c>
      <c r="H231" s="78">
        <v>-25212</v>
      </c>
      <c r="I231" s="78">
        <v>-187043</v>
      </c>
      <c r="J231" s="78">
        <v>-420956</v>
      </c>
      <c r="K231" s="78">
        <v>-522381</v>
      </c>
      <c r="L231" s="78">
        <v>-532278</v>
      </c>
      <c r="M231" s="78">
        <v>-567130</v>
      </c>
      <c r="N231" s="78">
        <v>-387815</v>
      </c>
      <c r="O231" s="78">
        <v>-163498</v>
      </c>
      <c r="P231" s="78">
        <v>-98284</v>
      </c>
      <c r="Q231" s="78">
        <f t="shared" si="3"/>
        <v>-2946655</v>
      </c>
    </row>
    <row r="232" spans="1:17" x14ac:dyDescent="0.3">
      <c r="A232" s="177" t="s">
        <v>162</v>
      </c>
      <c r="B232" s="177" t="s">
        <v>2104</v>
      </c>
      <c r="C232" s="78" t="s">
        <v>2105</v>
      </c>
      <c r="D232" s="78">
        <v>0</v>
      </c>
      <c r="E232" s="78">
        <v>0</v>
      </c>
      <c r="F232" s="78">
        <v>0</v>
      </c>
      <c r="G232" s="78">
        <v>0</v>
      </c>
      <c r="H232" s="78">
        <v>0</v>
      </c>
      <c r="I232" s="78">
        <v>0</v>
      </c>
      <c r="J232" s="78">
        <v>-596869</v>
      </c>
      <c r="K232" s="78">
        <v>-1064155</v>
      </c>
      <c r="L232" s="78">
        <v>-881133</v>
      </c>
      <c r="M232" s="78">
        <v>-992225</v>
      </c>
      <c r="N232" s="78">
        <v>0</v>
      </c>
      <c r="O232" s="78">
        <v>0</v>
      </c>
      <c r="P232" s="78">
        <v>0</v>
      </c>
      <c r="Q232" s="78">
        <f t="shared" si="3"/>
        <v>-3534382</v>
      </c>
    </row>
    <row r="233" spans="1:17" x14ac:dyDescent="0.3">
      <c r="A233" s="177" t="s">
        <v>162</v>
      </c>
      <c r="B233" s="177" t="s">
        <v>2108</v>
      </c>
      <c r="C233" s="78" t="s">
        <v>2109</v>
      </c>
      <c r="D233" s="78">
        <v>0</v>
      </c>
      <c r="E233" s="78">
        <v>0</v>
      </c>
      <c r="F233" s="78">
        <v>0</v>
      </c>
      <c r="G233" s="78">
        <v>4892.8886595000004</v>
      </c>
      <c r="H233" s="78">
        <v>0</v>
      </c>
      <c r="I233" s="78">
        <v>0</v>
      </c>
      <c r="J233" s="78">
        <v>4892.8886595000004</v>
      </c>
      <c r="K233" s="78">
        <v>0</v>
      </c>
      <c r="L233" s="78">
        <v>0</v>
      </c>
      <c r="M233" s="78">
        <v>4892.8886595000004</v>
      </c>
      <c r="N233" s="78">
        <v>0</v>
      </c>
      <c r="O233" s="78">
        <v>0</v>
      </c>
      <c r="P233" s="78">
        <v>4892.8886595000004</v>
      </c>
      <c r="Q233" s="78">
        <f t="shared" si="3"/>
        <v>19571.554638000001</v>
      </c>
    </row>
    <row r="234" spans="1:17" x14ac:dyDescent="0.3">
      <c r="A234" s="177" t="s">
        <v>162</v>
      </c>
      <c r="B234" s="177" t="s">
        <v>2110</v>
      </c>
      <c r="C234" s="78" t="s">
        <v>2111</v>
      </c>
      <c r="D234" s="78">
        <v>0</v>
      </c>
      <c r="E234" s="78">
        <v>-460225.7230998</v>
      </c>
      <c r="F234" s="78">
        <v>-460225.7230998</v>
      </c>
      <c r="G234" s="78">
        <v>-460225.7230998</v>
      </c>
      <c r="H234" s="78">
        <v>-460225.7230998</v>
      </c>
      <c r="I234" s="78">
        <v>-460225.7230998</v>
      </c>
      <c r="J234" s="78">
        <v>-460225.7230998</v>
      </c>
      <c r="K234" s="78">
        <v>-460225.7230998</v>
      </c>
      <c r="L234" s="78">
        <v>-460225.7230998</v>
      </c>
      <c r="M234" s="78">
        <v>-460225.7230998</v>
      </c>
      <c r="N234" s="78">
        <v>-460225.7230998</v>
      </c>
      <c r="O234" s="78">
        <v>-460225.7230998</v>
      </c>
      <c r="P234" s="78">
        <v>-460225.7230998</v>
      </c>
      <c r="Q234" s="78">
        <f t="shared" si="3"/>
        <v>-5522708.6771975989</v>
      </c>
    </row>
    <row r="235" spans="1:17" x14ac:dyDescent="0.3">
      <c r="A235" s="177" t="s">
        <v>162</v>
      </c>
      <c r="B235" s="177" t="s">
        <v>2112</v>
      </c>
      <c r="C235" s="78" t="s">
        <v>2113</v>
      </c>
      <c r="D235" s="78">
        <v>0</v>
      </c>
      <c r="E235" s="78">
        <v>-129839</v>
      </c>
      <c r="F235" s="78">
        <v>-129824</v>
      </c>
      <c r="G235" s="78">
        <v>-129812</v>
      </c>
      <c r="H235" s="78">
        <v>-129824</v>
      </c>
      <c r="I235" s="78">
        <v>-129855</v>
      </c>
      <c r="J235" s="78">
        <v>-129901</v>
      </c>
      <c r="K235" s="78">
        <v>-129920</v>
      </c>
      <c r="L235" s="78">
        <v>-129919</v>
      </c>
      <c r="M235" s="78">
        <v>-129924</v>
      </c>
      <c r="N235" s="78">
        <v>-129889</v>
      </c>
      <c r="O235" s="78">
        <v>-129840</v>
      </c>
      <c r="P235" s="78">
        <v>-129819</v>
      </c>
      <c r="Q235" s="78">
        <f t="shared" si="3"/>
        <v>-1558366</v>
      </c>
    </row>
    <row r="236" spans="1:17" x14ac:dyDescent="0.3">
      <c r="A236" s="177" t="s">
        <v>162</v>
      </c>
      <c r="B236" s="177" t="s">
        <v>2114</v>
      </c>
      <c r="C236" s="78" t="s">
        <v>2115</v>
      </c>
      <c r="D236" s="78">
        <v>0</v>
      </c>
      <c r="E236" s="78">
        <v>-4873129.7902177004</v>
      </c>
      <c r="F236" s="78">
        <v>-2035281.7586405</v>
      </c>
      <c r="G236" s="78">
        <v>-3362770.7233059001</v>
      </c>
      <c r="H236" s="78">
        <v>-1778974.2883391001</v>
      </c>
      <c r="I236" s="78">
        <v>0</v>
      </c>
      <c r="J236" s="78">
        <v>0</v>
      </c>
      <c r="K236" s="78">
        <v>0</v>
      </c>
      <c r="L236" s="78">
        <v>0</v>
      </c>
      <c r="M236" s="78">
        <v>0</v>
      </c>
      <c r="N236" s="78">
        <v>0</v>
      </c>
      <c r="O236" s="78">
        <v>0</v>
      </c>
      <c r="P236" s="78">
        <v>-7038850.0507501001</v>
      </c>
      <c r="Q236" s="78">
        <f t="shared" si="3"/>
        <v>-19089006.611253303</v>
      </c>
    </row>
    <row r="237" spans="1:17" x14ac:dyDescent="0.3">
      <c r="A237" s="177" t="s">
        <v>162</v>
      </c>
      <c r="B237" s="177" t="s">
        <v>2116</v>
      </c>
      <c r="C237" s="78" t="s">
        <v>2117</v>
      </c>
      <c r="D237" s="78">
        <v>0</v>
      </c>
      <c r="E237" s="78">
        <v>-1755041.8780545001</v>
      </c>
      <c r="F237" s="78">
        <v>-1570435.8117022</v>
      </c>
      <c r="G237" s="78">
        <v>0</v>
      </c>
      <c r="H237" s="78">
        <v>-1171481.4675572</v>
      </c>
      <c r="I237" s="78">
        <v>0</v>
      </c>
      <c r="J237" s="78">
        <v>0</v>
      </c>
      <c r="K237" s="78">
        <v>0</v>
      </c>
      <c r="L237" s="78">
        <v>0</v>
      </c>
      <c r="M237" s="78">
        <v>0</v>
      </c>
      <c r="N237" s="78">
        <v>0</v>
      </c>
      <c r="O237" s="78">
        <v>0</v>
      </c>
      <c r="P237" s="78">
        <v>0</v>
      </c>
      <c r="Q237" s="78">
        <f t="shared" si="3"/>
        <v>-4496959.1573139001</v>
      </c>
    </row>
    <row r="238" spans="1:17" x14ac:dyDescent="0.3">
      <c r="A238" s="177" t="s">
        <v>162</v>
      </c>
      <c r="B238" s="177" t="s">
        <v>2120</v>
      </c>
      <c r="C238" s="78" t="s">
        <v>2121</v>
      </c>
      <c r="D238" s="78">
        <v>0</v>
      </c>
      <c r="E238" s="78">
        <v>0</v>
      </c>
      <c r="F238" s="78">
        <v>-0.90973680000000001</v>
      </c>
      <c r="G238" s="78">
        <v>0</v>
      </c>
      <c r="H238" s="78">
        <v>0</v>
      </c>
      <c r="I238" s="78">
        <v>0</v>
      </c>
      <c r="J238" s="78">
        <v>0</v>
      </c>
      <c r="K238" s="78">
        <v>-0.48228159999999998</v>
      </c>
      <c r="L238" s="78">
        <v>-0.68557279999999998</v>
      </c>
      <c r="M238" s="78">
        <v>0</v>
      </c>
      <c r="N238" s="78">
        <v>0</v>
      </c>
      <c r="O238" s="78">
        <v>-0.25517679999999998</v>
      </c>
      <c r="P238" s="78">
        <v>-0.30532720000000002</v>
      </c>
      <c r="Q238" s="78">
        <f t="shared" si="3"/>
        <v>-2.6380952000000004</v>
      </c>
    </row>
    <row r="239" spans="1:17" x14ac:dyDescent="0.3">
      <c r="A239" s="177" t="s">
        <v>162</v>
      </c>
      <c r="B239" s="177" t="s">
        <v>2122</v>
      </c>
      <c r="C239" s="78" t="s">
        <v>2123</v>
      </c>
      <c r="D239" s="78">
        <v>0</v>
      </c>
      <c r="E239" s="78">
        <v>84492</v>
      </c>
      <c r="F239" s="78">
        <v>84492</v>
      </c>
      <c r="G239" s="78">
        <v>84492</v>
      </c>
      <c r="H239" s="78">
        <v>84492</v>
      </c>
      <c r="I239" s="78">
        <v>84492</v>
      </c>
      <c r="J239" s="78">
        <v>84492</v>
      </c>
      <c r="K239" s="78">
        <v>84492</v>
      </c>
      <c r="L239" s="78">
        <v>84492</v>
      </c>
      <c r="M239" s="78">
        <v>84492</v>
      </c>
      <c r="N239" s="78">
        <v>84492</v>
      </c>
      <c r="O239" s="78">
        <v>84492</v>
      </c>
      <c r="P239" s="78">
        <v>84493</v>
      </c>
      <c r="Q239" s="78">
        <f t="shared" si="3"/>
        <v>1013905</v>
      </c>
    </row>
    <row r="240" spans="1:17" x14ac:dyDescent="0.3">
      <c r="A240" s="177" t="s">
        <v>162</v>
      </c>
      <c r="B240" s="177" t="s">
        <v>2124</v>
      </c>
      <c r="C240" s="78" t="s">
        <v>2125</v>
      </c>
      <c r="D240" s="78">
        <v>0</v>
      </c>
      <c r="E240" s="78">
        <v>0</v>
      </c>
      <c r="F240" s="78">
        <v>-22267</v>
      </c>
      <c r="G240" s="78">
        <v>-26592</v>
      </c>
      <c r="H240" s="78">
        <v>0</v>
      </c>
      <c r="I240" s="78">
        <v>0</v>
      </c>
      <c r="J240" s="78">
        <v>0</v>
      </c>
      <c r="K240" s="78">
        <v>0</v>
      </c>
      <c r="L240" s="78">
        <v>0</v>
      </c>
      <c r="M240" s="78">
        <v>0</v>
      </c>
      <c r="N240" s="78">
        <v>0</v>
      </c>
      <c r="O240" s="78">
        <v>0</v>
      </c>
      <c r="P240" s="78">
        <v>0</v>
      </c>
      <c r="Q240" s="78">
        <f t="shared" si="3"/>
        <v>-48859</v>
      </c>
    </row>
    <row r="241" spans="1:17" x14ac:dyDescent="0.3">
      <c r="A241" s="177" t="s">
        <v>162</v>
      </c>
      <c r="B241" s="177" t="s">
        <v>2126</v>
      </c>
      <c r="C241" s="78" t="s">
        <v>2127</v>
      </c>
      <c r="D241" s="78">
        <v>0</v>
      </c>
      <c r="E241" s="78">
        <v>663751</v>
      </c>
      <c r="F241" s="78">
        <v>663751</v>
      </c>
      <c r="G241" s="78">
        <v>663751</v>
      </c>
      <c r="H241" s="78">
        <v>663751</v>
      </c>
      <c r="I241" s="78">
        <v>663751</v>
      </c>
      <c r="J241" s="78">
        <v>663751</v>
      </c>
      <c r="K241" s="78">
        <v>663751</v>
      </c>
      <c r="L241" s="78">
        <v>663751</v>
      </c>
      <c r="M241" s="78">
        <v>663751</v>
      </c>
      <c r="N241" s="78">
        <v>663751</v>
      </c>
      <c r="O241" s="78">
        <v>663751</v>
      </c>
      <c r="P241" s="78">
        <v>663753</v>
      </c>
      <c r="Q241" s="78">
        <f t="shared" si="3"/>
        <v>7965014</v>
      </c>
    </row>
    <row r="242" spans="1:17" x14ac:dyDescent="0.3">
      <c r="A242" s="177" t="s">
        <v>162</v>
      </c>
      <c r="B242" s="177" t="s">
        <v>2128</v>
      </c>
      <c r="C242" s="78" t="s">
        <v>2129</v>
      </c>
      <c r="D242" s="78">
        <v>0</v>
      </c>
      <c r="E242" s="78">
        <v>-701808</v>
      </c>
      <c r="F242" s="78">
        <v>-1405652</v>
      </c>
      <c r="G242" s="78">
        <v>-1908027</v>
      </c>
      <c r="H242" s="78">
        <v>-1701177</v>
      </c>
      <c r="I242" s="78">
        <v>-849062</v>
      </c>
      <c r="J242" s="78">
        <v>0</v>
      </c>
      <c r="K242" s="78">
        <v>0</v>
      </c>
      <c r="L242" s="78">
        <v>0</v>
      </c>
      <c r="M242" s="78">
        <v>0</v>
      </c>
      <c r="N242" s="78">
        <v>-381117</v>
      </c>
      <c r="O242" s="78">
        <v>-2072175</v>
      </c>
      <c r="P242" s="78">
        <v>-2679501</v>
      </c>
      <c r="Q242" s="78">
        <f t="shared" si="3"/>
        <v>-11698519</v>
      </c>
    </row>
    <row r="243" spans="1:17" x14ac:dyDescent="0.3">
      <c r="A243" s="177" t="s">
        <v>162</v>
      </c>
      <c r="B243" s="177" t="s">
        <v>2130</v>
      </c>
      <c r="C243" s="78" t="s">
        <v>2131</v>
      </c>
      <c r="D243" s="78">
        <v>0</v>
      </c>
      <c r="E243" s="78">
        <v>140701</v>
      </c>
      <c r="F243" s="78">
        <v>140701</v>
      </c>
      <c r="G243" s="78">
        <v>140701</v>
      </c>
      <c r="H243" s="78">
        <v>140701</v>
      </c>
      <c r="I243" s="78">
        <v>140701</v>
      </c>
      <c r="J243" s="78">
        <v>140701</v>
      </c>
      <c r="K243" s="78">
        <v>140701</v>
      </c>
      <c r="L243" s="78">
        <v>140701</v>
      </c>
      <c r="M243" s="78">
        <v>140701</v>
      </c>
      <c r="N243" s="78">
        <v>140701</v>
      </c>
      <c r="O243" s="78">
        <v>140701</v>
      </c>
      <c r="P243" s="78">
        <v>140703</v>
      </c>
      <c r="Q243" s="78">
        <f t="shared" si="3"/>
        <v>1688414</v>
      </c>
    </row>
    <row r="244" spans="1:17" x14ac:dyDescent="0.3">
      <c r="A244" s="177" t="s">
        <v>162</v>
      </c>
      <c r="B244" s="177" t="s">
        <v>2132</v>
      </c>
      <c r="C244" s="78" t="s">
        <v>2133</v>
      </c>
      <c r="D244" s="78">
        <v>0</v>
      </c>
      <c r="E244" s="78">
        <v>-198</v>
      </c>
      <c r="F244" s="78">
        <v>-198</v>
      </c>
      <c r="G244" s="78">
        <v>-198</v>
      </c>
      <c r="H244" s="78">
        <v>-198</v>
      </c>
      <c r="I244" s="78">
        <v>-198</v>
      </c>
      <c r="J244" s="78">
        <v>-198</v>
      </c>
      <c r="K244" s="78">
        <v>-198</v>
      </c>
      <c r="L244" s="78">
        <v>-198</v>
      </c>
      <c r="M244" s="78">
        <v>-198</v>
      </c>
      <c r="N244" s="78">
        <v>-198</v>
      </c>
      <c r="O244" s="78">
        <v>-198</v>
      </c>
      <c r="P244" s="78">
        <v>-198</v>
      </c>
      <c r="Q244" s="78">
        <f t="shared" si="3"/>
        <v>-2376</v>
      </c>
    </row>
    <row r="245" spans="1:17" x14ac:dyDescent="0.3">
      <c r="A245" s="177" t="s">
        <v>162</v>
      </c>
      <c r="B245" s="177" t="s">
        <v>3350</v>
      </c>
      <c r="C245" s="78" t="s">
        <v>3351</v>
      </c>
      <c r="D245" s="78">
        <v>0</v>
      </c>
      <c r="E245" s="78">
        <v>129560</v>
      </c>
      <c r="F245" s="78">
        <v>129560</v>
      </c>
      <c r="G245" s="78">
        <v>129560</v>
      </c>
      <c r="H245" s="78">
        <v>129560</v>
      </c>
      <c r="I245" s="78">
        <v>129560</v>
      </c>
      <c r="J245" s="78">
        <v>129560</v>
      </c>
      <c r="K245" s="78">
        <v>129560</v>
      </c>
      <c r="L245" s="78">
        <v>129560</v>
      </c>
      <c r="M245" s="78">
        <v>129560</v>
      </c>
      <c r="N245" s="78">
        <v>129560</v>
      </c>
      <c r="O245" s="78">
        <v>129560</v>
      </c>
      <c r="P245" s="78">
        <v>129555.3633333</v>
      </c>
      <c r="Q245" s="78">
        <f t="shared" si="3"/>
        <v>1554715.3633333</v>
      </c>
    </row>
    <row r="246" spans="1:17" x14ac:dyDescent="0.3">
      <c r="A246" s="177" t="s">
        <v>162</v>
      </c>
      <c r="B246" s="177" t="s">
        <v>2134</v>
      </c>
      <c r="C246" s="78" t="s">
        <v>2135</v>
      </c>
      <c r="D246" s="78">
        <v>0</v>
      </c>
      <c r="E246" s="78">
        <v>303440</v>
      </c>
      <c r="F246" s="78">
        <v>283864</v>
      </c>
      <c r="G246" s="78">
        <v>303440</v>
      </c>
      <c r="H246" s="78">
        <v>293652</v>
      </c>
      <c r="I246" s="78">
        <v>303440</v>
      </c>
      <c r="J246" s="78">
        <v>293652</v>
      </c>
      <c r="K246" s="78">
        <v>303440</v>
      </c>
      <c r="L246" s="78">
        <v>303440</v>
      </c>
      <c r="M246" s="78">
        <v>293652</v>
      </c>
      <c r="N246" s="78">
        <v>303440</v>
      </c>
      <c r="O246" s="78">
        <v>293652</v>
      </c>
      <c r="P246" s="78">
        <v>303442</v>
      </c>
      <c r="Q246" s="78">
        <f t="shared" si="3"/>
        <v>3582554</v>
      </c>
    </row>
    <row r="247" spans="1:17" x14ac:dyDescent="0.3">
      <c r="A247" s="177" t="s">
        <v>162</v>
      </c>
      <c r="B247" s="177" t="s">
        <v>2136</v>
      </c>
      <c r="C247" s="78" t="s">
        <v>2137</v>
      </c>
      <c r="D247" s="78">
        <v>0</v>
      </c>
      <c r="E247" s="78">
        <v>71587230</v>
      </c>
      <c r="F247" s="78">
        <v>65234419</v>
      </c>
      <c r="G247" s="78">
        <v>61476650</v>
      </c>
      <c r="H247" s="78">
        <v>64799481</v>
      </c>
      <c r="I247" s="78">
        <v>73528378</v>
      </c>
      <c r="J247" s="78">
        <v>88199800</v>
      </c>
      <c r="K247" s="78">
        <v>93817366</v>
      </c>
      <c r="L247" s="78">
        <v>92601010</v>
      </c>
      <c r="M247" s="78">
        <v>96103580</v>
      </c>
      <c r="N247" s="78">
        <v>83382128</v>
      </c>
      <c r="O247" s="78">
        <v>68929709</v>
      </c>
      <c r="P247" s="78">
        <v>66203171</v>
      </c>
      <c r="Q247" s="78">
        <f t="shared" si="3"/>
        <v>925862922</v>
      </c>
    </row>
    <row r="248" spans="1:17" x14ac:dyDescent="0.3">
      <c r="A248" s="177" t="s">
        <v>162</v>
      </c>
      <c r="B248" s="177" t="s">
        <v>2138</v>
      </c>
      <c r="C248" s="78" t="s">
        <v>2139</v>
      </c>
      <c r="D248" s="78">
        <v>0</v>
      </c>
      <c r="E248" s="78">
        <v>26257164</v>
      </c>
      <c r="F248" s="78">
        <v>23562772</v>
      </c>
      <c r="G248" s="78">
        <v>21762286</v>
      </c>
      <c r="H248" s="78">
        <v>23233103</v>
      </c>
      <c r="I248" s="78">
        <v>27777692</v>
      </c>
      <c r="J248" s="78">
        <v>35157449</v>
      </c>
      <c r="K248" s="78">
        <v>37986456</v>
      </c>
      <c r="L248" s="78">
        <v>37632497</v>
      </c>
      <c r="M248" s="78">
        <v>38941957</v>
      </c>
      <c r="N248" s="78">
        <v>32740202</v>
      </c>
      <c r="O248" s="78">
        <v>25479360</v>
      </c>
      <c r="P248" s="78">
        <v>23410601</v>
      </c>
      <c r="Q248" s="78">
        <f t="shared" si="3"/>
        <v>353941539</v>
      </c>
    </row>
    <row r="249" spans="1:17" x14ac:dyDescent="0.3">
      <c r="A249" s="177" t="s">
        <v>162</v>
      </c>
      <c r="B249" s="177" t="s">
        <v>2140</v>
      </c>
      <c r="C249" s="78" t="s">
        <v>2141</v>
      </c>
      <c r="D249" s="78">
        <v>0</v>
      </c>
      <c r="E249" s="78">
        <v>162972</v>
      </c>
      <c r="F249" s="78">
        <v>148111</v>
      </c>
      <c r="G249" s="78">
        <v>137714</v>
      </c>
      <c r="H249" s="78">
        <v>145530</v>
      </c>
      <c r="I249" s="78">
        <v>170554</v>
      </c>
      <c r="J249" s="78">
        <v>210805</v>
      </c>
      <c r="K249" s="78">
        <v>226109</v>
      </c>
      <c r="L249" s="78">
        <v>224514</v>
      </c>
      <c r="M249" s="78">
        <v>230963</v>
      </c>
      <c r="N249" s="78">
        <v>198288</v>
      </c>
      <c r="O249" s="78">
        <v>158631</v>
      </c>
      <c r="P249" s="78">
        <v>147410</v>
      </c>
      <c r="Q249" s="78">
        <f t="shared" si="3"/>
        <v>2161601</v>
      </c>
    </row>
    <row r="250" spans="1:17" x14ac:dyDescent="0.3">
      <c r="A250" s="177" t="s">
        <v>162</v>
      </c>
      <c r="B250" s="177" t="s">
        <v>2142</v>
      </c>
      <c r="C250" s="78" t="s">
        <v>2143</v>
      </c>
      <c r="D250" s="78">
        <v>0</v>
      </c>
      <c r="E250" s="78">
        <v>2803168</v>
      </c>
      <c r="F250" s="78">
        <v>2547692</v>
      </c>
      <c r="G250" s="78">
        <v>2368973</v>
      </c>
      <c r="H250" s="78">
        <v>2503303</v>
      </c>
      <c r="I250" s="78">
        <v>2933445</v>
      </c>
      <c r="J250" s="78">
        <v>3625371</v>
      </c>
      <c r="K250" s="78">
        <v>3888461</v>
      </c>
      <c r="L250" s="78">
        <v>3861034</v>
      </c>
      <c r="M250" s="78">
        <v>3971918</v>
      </c>
      <c r="N250" s="78">
        <v>3410215</v>
      </c>
      <c r="O250" s="78">
        <v>2728530</v>
      </c>
      <c r="P250" s="78">
        <v>2535676</v>
      </c>
      <c r="Q250" s="78">
        <f t="shared" si="3"/>
        <v>37177786</v>
      </c>
    </row>
    <row r="251" spans="1:17" x14ac:dyDescent="0.3">
      <c r="A251" s="177" t="s">
        <v>162</v>
      </c>
      <c r="B251" s="177" t="s">
        <v>2144</v>
      </c>
      <c r="C251" s="78" t="s">
        <v>2145</v>
      </c>
      <c r="D251" s="78">
        <v>0</v>
      </c>
      <c r="E251" s="78">
        <v>690930</v>
      </c>
      <c r="F251" s="78">
        <v>627915</v>
      </c>
      <c r="G251" s="78">
        <v>583884</v>
      </c>
      <c r="H251" s="78">
        <v>617004</v>
      </c>
      <c r="I251" s="78">
        <v>723040</v>
      </c>
      <c r="J251" s="78">
        <v>893645</v>
      </c>
      <c r="K251" s="78">
        <v>958513</v>
      </c>
      <c r="L251" s="78">
        <v>951763</v>
      </c>
      <c r="M251" s="78">
        <v>979098</v>
      </c>
      <c r="N251" s="78">
        <v>840603</v>
      </c>
      <c r="O251" s="78">
        <v>672533</v>
      </c>
      <c r="P251" s="78">
        <v>624967</v>
      </c>
      <c r="Q251" s="78">
        <f t="shared" si="3"/>
        <v>9163895</v>
      </c>
    </row>
    <row r="252" spans="1:17" x14ac:dyDescent="0.3">
      <c r="A252" s="177" t="s">
        <v>162</v>
      </c>
      <c r="B252" s="177" t="s">
        <v>2146</v>
      </c>
      <c r="C252" s="78" t="s">
        <v>2147</v>
      </c>
      <c r="D252" s="78">
        <v>0</v>
      </c>
      <c r="E252" s="78">
        <v>2278153.7799999998</v>
      </c>
      <c r="F252" s="78">
        <v>2070759.19</v>
      </c>
      <c r="G252" s="78">
        <v>1935298.29</v>
      </c>
      <c r="H252" s="78">
        <v>2043813.11</v>
      </c>
      <c r="I252" s="78">
        <v>2365297.63</v>
      </c>
      <c r="J252" s="78">
        <v>2899561.89</v>
      </c>
      <c r="K252" s="78">
        <v>3100257.31</v>
      </c>
      <c r="L252" s="78">
        <v>3067146.05</v>
      </c>
      <c r="M252" s="78">
        <v>3176994.89</v>
      </c>
      <c r="N252" s="78">
        <v>2732432.19</v>
      </c>
      <c r="O252" s="78">
        <v>2211540.39</v>
      </c>
      <c r="P252" s="78">
        <v>2084139.94</v>
      </c>
      <c r="Q252" s="78">
        <f t="shared" si="3"/>
        <v>29965394.660000004</v>
      </c>
    </row>
    <row r="253" spans="1:17" x14ac:dyDescent="0.3">
      <c r="A253" s="177" t="s">
        <v>162</v>
      </c>
      <c r="B253" s="177" t="s">
        <v>2148</v>
      </c>
      <c r="C253" s="78" t="s">
        <v>2149</v>
      </c>
      <c r="D253" s="78">
        <v>0</v>
      </c>
      <c r="E253" s="78">
        <v>2780278.9</v>
      </c>
      <c r="F253" s="78">
        <v>2518590.09</v>
      </c>
      <c r="G253" s="78">
        <v>2355294.48</v>
      </c>
      <c r="H253" s="78">
        <v>2493819.6</v>
      </c>
      <c r="I253" s="78">
        <v>2884168.53</v>
      </c>
      <c r="J253" s="78">
        <v>3530032.78</v>
      </c>
      <c r="K253" s="78">
        <v>3777200.49</v>
      </c>
      <c r="L253" s="78">
        <v>3733750.05</v>
      </c>
      <c r="M253" s="78">
        <v>3870032.09</v>
      </c>
      <c r="N253" s="78">
        <v>3319509.47</v>
      </c>
      <c r="O253" s="78">
        <v>2683509.64</v>
      </c>
      <c r="P253" s="78">
        <v>2538142.56</v>
      </c>
      <c r="Q253" s="78">
        <f t="shared" si="3"/>
        <v>36484328.68</v>
      </c>
    </row>
    <row r="254" spans="1:17" x14ac:dyDescent="0.3">
      <c r="A254" s="177" t="s">
        <v>162</v>
      </c>
      <c r="B254" s="177" t="s">
        <v>2150</v>
      </c>
      <c r="C254" s="78" t="s">
        <v>2151</v>
      </c>
      <c r="D254" s="78">
        <v>0</v>
      </c>
      <c r="E254" s="78">
        <v>5831200.6200000001</v>
      </c>
      <c r="F254" s="78">
        <v>5301750.33</v>
      </c>
      <c r="G254" s="78">
        <v>4931563.0599999996</v>
      </c>
      <c r="H254" s="78">
        <v>5209549.8899999997</v>
      </c>
      <c r="I254" s="78">
        <v>6100352.4100000001</v>
      </c>
      <c r="J254" s="78">
        <v>7533837.8399999999</v>
      </c>
      <c r="K254" s="78">
        <v>8078881.9100000001</v>
      </c>
      <c r="L254" s="78">
        <v>8022165.4000000004</v>
      </c>
      <c r="M254" s="78">
        <v>8252085.8700000001</v>
      </c>
      <c r="N254" s="78">
        <v>7088238.5700000003</v>
      </c>
      <c r="O254" s="78">
        <v>5676353.3700000001</v>
      </c>
      <c r="P254" s="78">
        <v>5277369.62</v>
      </c>
      <c r="Q254" s="78">
        <f t="shared" si="3"/>
        <v>77303348.890000001</v>
      </c>
    </row>
    <row r="255" spans="1:17" x14ac:dyDescent="0.3">
      <c r="A255" s="177" t="s">
        <v>162</v>
      </c>
      <c r="B255" s="177" t="s">
        <v>2152</v>
      </c>
      <c r="C255" s="78" t="s">
        <v>2153</v>
      </c>
      <c r="D255" s="78">
        <v>0</v>
      </c>
      <c r="E255" s="78">
        <v>3244033</v>
      </c>
      <c r="F255" s="78">
        <v>2948169</v>
      </c>
      <c r="G255" s="78">
        <v>2741228</v>
      </c>
      <c r="H255" s="78">
        <v>2896816</v>
      </c>
      <c r="I255" s="78">
        <v>3394954</v>
      </c>
      <c r="J255" s="78">
        <v>4196244</v>
      </c>
      <c r="K255" s="78">
        <v>4500918</v>
      </c>
      <c r="L255" s="78">
        <v>4469158</v>
      </c>
      <c r="M255" s="78">
        <v>4597548</v>
      </c>
      <c r="N255" s="78">
        <v>3947076</v>
      </c>
      <c r="O255" s="78">
        <v>3157621</v>
      </c>
      <c r="P255" s="78">
        <v>2934225</v>
      </c>
      <c r="Q255" s="78">
        <f t="shared" si="3"/>
        <v>43027990</v>
      </c>
    </row>
    <row r="256" spans="1:17" x14ac:dyDescent="0.3">
      <c r="A256" s="177" t="s">
        <v>162</v>
      </c>
      <c r="B256" s="177" t="s">
        <v>2176</v>
      </c>
      <c r="C256" s="78" t="s">
        <v>2177</v>
      </c>
      <c r="D256" s="78">
        <v>0</v>
      </c>
      <c r="E256" s="78">
        <v>28422258</v>
      </c>
      <c r="F256" s="78">
        <v>27446197</v>
      </c>
      <c r="G256" s="78">
        <v>27567302</v>
      </c>
      <c r="H256" s="78">
        <v>28703151</v>
      </c>
      <c r="I256" s="78">
        <v>29889952</v>
      </c>
      <c r="J256" s="78">
        <v>31978173</v>
      </c>
      <c r="K256" s="78">
        <v>32880713</v>
      </c>
      <c r="L256" s="78">
        <v>32783059</v>
      </c>
      <c r="M256" s="78">
        <v>32966714</v>
      </c>
      <c r="N256" s="78">
        <v>31675150</v>
      </c>
      <c r="O256" s="78">
        <v>29465788</v>
      </c>
      <c r="P256" s="78">
        <v>28430009</v>
      </c>
      <c r="Q256" s="78">
        <f t="shared" si="3"/>
        <v>362208466</v>
      </c>
    </row>
    <row r="257" spans="1:17" x14ac:dyDescent="0.3">
      <c r="A257" s="177" t="s">
        <v>162</v>
      </c>
      <c r="B257" s="177" t="s">
        <v>2178</v>
      </c>
      <c r="C257" s="78" t="s">
        <v>2179</v>
      </c>
      <c r="D257" s="78">
        <v>0</v>
      </c>
      <c r="E257" s="78">
        <v>16590292</v>
      </c>
      <c r="F257" s="78">
        <v>15261015</v>
      </c>
      <c r="G257" s="78">
        <v>15551083</v>
      </c>
      <c r="H257" s="78">
        <v>16560778</v>
      </c>
      <c r="I257" s="78">
        <v>17675219</v>
      </c>
      <c r="J257" s="78">
        <v>19683654</v>
      </c>
      <c r="K257" s="78">
        <v>20570092</v>
      </c>
      <c r="L257" s="78">
        <v>20613033</v>
      </c>
      <c r="M257" s="78">
        <v>21150146</v>
      </c>
      <c r="N257" s="78">
        <v>19337887</v>
      </c>
      <c r="O257" s="78">
        <v>17628345</v>
      </c>
      <c r="P257" s="78">
        <v>16448456</v>
      </c>
      <c r="Q257" s="78">
        <f t="shared" si="3"/>
        <v>217070000</v>
      </c>
    </row>
    <row r="258" spans="1:17" x14ac:dyDescent="0.3">
      <c r="A258" s="177" t="s">
        <v>162</v>
      </c>
      <c r="B258" s="177" t="s">
        <v>2180</v>
      </c>
      <c r="C258" s="78" t="s">
        <v>2181</v>
      </c>
      <c r="D258" s="78">
        <v>0</v>
      </c>
      <c r="E258" s="78">
        <v>81169</v>
      </c>
      <c r="F258" s="78">
        <v>79883</v>
      </c>
      <c r="G258" s="78">
        <v>80055</v>
      </c>
      <c r="H258" s="78">
        <v>83182</v>
      </c>
      <c r="I258" s="78">
        <v>86867</v>
      </c>
      <c r="J258" s="78">
        <v>92759</v>
      </c>
      <c r="K258" s="78">
        <v>95394</v>
      </c>
      <c r="L258" s="78">
        <v>94988</v>
      </c>
      <c r="M258" s="78">
        <v>94155</v>
      </c>
      <c r="N258" s="78">
        <v>91914</v>
      </c>
      <c r="O258" s="78">
        <v>84794</v>
      </c>
      <c r="P258" s="78">
        <v>81502</v>
      </c>
      <c r="Q258" s="78">
        <f t="shared" si="3"/>
        <v>1046662</v>
      </c>
    </row>
    <row r="259" spans="1:17" x14ac:dyDescent="0.3">
      <c r="A259" s="177" t="s">
        <v>162</v>
      </c>
      <c r="B259" s="177" t="s">
        <v>2182</v>
      </c>
      <c r="C259" s="78" t="s">
        <v>2183</v>
      </c>
      <c r="D259" s="78">
        <v>0</v>
      </c>
      <c r="E259" s="78">
        <v>1370800</v>
      </c>
      <c r="F259" s="78">
        <v>1346630</v>
      </c>
      <c r="G259" s="78">
        <v>1350198</v>
      </c>
      <c r="H259" s="78">
        <v>1403266</v>
      </c>
      <c r="I259" s="78">
        <v>1465938</v>
      </c>
      <c r="J259" s="78">
        <v>1567275</v>
      </c>
      <c r="K259" s="78">
        <v>1612025</v>
      </c>
      <c r="L259" s="78">
        <v>1605462</v>
      </c>
      <c r="M259" s="78">
        <v>1593506</v>
      </c>
      <c r="N259" s="78">
        <v>1552529</v>
      </c>
      <c r="O259" s="78">
        <v>1432637</v>
      </c>
      <c r="P259" s="78">
        <v>1376109</v>
      </c>
      <c r="Q259" s="78">
        <f t="shared" si="3"/>
        <v>17676375</v>
      </c>
    </row>
    <row r="260" spans="1:17" x14ac:dyDescent="0.3">
      <c r="A260" s="177" t="s">
        <v>162</v>
      </c>
      <c r="B260" s="177" t="s">
        <v>2184</v>
      </c>
      <c r="C260" s="78" t="s">
        <v>2185</v>
      </c>
      <c r="D260" s="78">
        <v>0</v>
      </c>
      <c r="E260" s="78">
        <v>390449</v>
      </c>
      <c r="F260" s="78">
        <v>359175</v>
      </c>
      <c r="G260" s="78">
        <v>365998</v>
      </c>
      <c r="H260" s="78">
        <v>389768</v>
      </c>
      <c r="I260" s="78">
        <v>415990</v>
      </c>
      <c r="J260" s="78">
        <v>463237</v>
      </c>
      <c r="K260" s="78">
        <v>484093</v>
      </c>
      <c r="L260" s="78">
        <v>485103</v>
      </c>
      <c r="M260" s="78">
        <v>497732</v>
      </c>
      <c r="N260" s="78">
        <v>455103</v>
      </c>
      <c r="O260" s="78">
        <v>414875</v>
      </c>
      <c r="P260" s="78">
        <v>387099</v>
      </c>
      <c r="Q260" s="78">
        <f t="shared" si="3"/>
        <v>5108622</v>
      </c>
    </row>
    <row r="261" spans="1:17" x14ac:dyDescent="0.3">
      <c r="A261" s="177" t="s">
        <v>162</v>
      </c>
      <c r="B261" s="177" t="s">
        <v>2186</v>
      </c>
      <c r="C261" s="78" t="s">
        <v>2187</v>
      </c>
      <c r="D261" s="78">
        <v>0</v>
      </c>
      <c r="E261" s="78">
        <v>1558402.77</v>
      </c>
      <c r="F261" s="78">
        <v>1481767.51</v>
      </c>
      <c r="G261" s="78">
        <v>1495439.23</v>
      </c>
      <c r="H261" s="78">
        <v>1569114.04</v>
      </c>
      <c r="I261" s="78">
        <v>1648684.14</v>
      </c>
      <c r="J261" s="78">
        <v>1789505.48</v>
      </c>
      <c r="K261" s="78">
        <v>1851114.54</v>
      </c>
      <c r="L261" s="78">
        <v>1848901.37</v>
      </c>
      <c r="M261" s="78">
        <v>1871381.26</v>
      </c>
      <c r="N261" s="78">
        <v>1767308.22</v>
      </c>
      <c r="O261" s="78">
        <v>1630925.83</v>
      </c>
      <c r="P261" s="78">
        <v>1554585.23</v>
      </c>
      <c r="Q261" s="78">
        <f t="shared" si="3"/>
        <v>20067129.620000001</v>
      </c>
    </row>
    <row r="262" spans="1:17" x14ac:dyDescent="0.3">
      <c r="A262" s="177" t="s">
        <v>162</v>
      </c>
      <c r="B262" s="177" t="s">
        <v>2188</v>
      </c>
      <c r="C262" s="78" t="s">
        <v>2189</v>
      </c>
      <c r="D262" s="78">
        <v>0</v>
      </c>
      <c r="E262" s="78">
        <v>1271637.29</v>
      </c>
      <c r="F262" s="78">
        <v>1209106.29</v>
      </c>
      <c r="G262" s="78">
        <v>1220260.79</v>
      </c>
      <c r="H262" s="78">
        <v>1280378.03</v>
      </c>
      <c r="I262" s="78">
        <v>1345305.38</v>
      </c>
      <c r="J262" s="78">
        <v>1460211.55</v>
      </c>
      <c r="K262" s="78">
        <v>1510485.9</v>
      </c>
      <c r="L262" s="78">
        <v>1508680.5</v>
      </c>
      <c r="M262" s="78">
        <v>1527023.58</v>
      </c>
      <c r="N262" s="78">
        <v>1442101.97</v>
      </c>
      <c r="O262" s="78">
        <v>1330818.5</v>
      </c>
      <c r="P262" s="78">
        <v>1268522.77</v>
      </c>
      <c r="Q262" s="78">
        <f t="shared" si="3"/>
        <v>16374532.550000001</v>
      </c>
    </row>
    <row r="263" spans="1:17" x14ac:dyDescent="0.3">
      <c r="A263" s="177" t="s">
        <v>162</v>
      </c>
      <c r="B263" s="177" t="s">
        <v>2192</v>
      </c>
      <c r="C263" s="78" t="s">
        <v>2193</v>
      </c>
      <c r="D263" s="78">
        <v>0</v>
      </c>
      <c r="E263" s="78">
        <v>1565830.46</v>
      </c>
      <c r="F263" s="78">
        <v>1517712.89</v>
      </c>
      <c r="G263" s="78">
        <v>1526733.73</v>
      </c>
      <c r="H263" s="78">
        <v>1588012.12</v>
      </c>
      <c r="I263" s="78">
        <v>1658989.6</v>
      </c>
      <c r="J263" s="78">
        <v>1780854.74</v>
      </c>
      <c r="K263" s="78">
        <v>1835182.97</v>
      </c>
      <c r="L263" s="78">
        <v>1831875.77</v>
      </c>
      <c r="M263" s="78">
        <v>1837959.52</v>
      </c>
      <c r="N263" s="78">
        <v>1762687.55</v>
      </c>
      <c r="O263" s="78">
        <v>1636704.97</v>
      </c>
      <c r="P263" s="78">
        <v>1571439.51</v>
      </c>
      <c r="Q263" s="78">
        <f t="shared" si="3"/>
        <v>20113983.830000002</v>
      </c>
    </row>
    <row r="264" spans="1:17" x14ac:dyDescent="0.3">
      <c r="A264" s="177" t="s">
        <v>162</v>
      </c>
      <c r="B264" s="177" t="s">
        <v>2194</v>
      </c>
      <c r="C264" s="78" t="s">
        <v>2195</v>
      </c>
      <c r="D264" s="78">
        <v>0</v>
      </c>
      <c r="E264" s="78">
        <v>1443547</v>
      </c>
      <c r="F264" s="78">
        <v>1415014</v>
      </c>
      <c r="G264" s="78">
        <v>1419280</v>
      </c>
      <c r="H264" s="78">
        <v>1477063</v>
      </c>
      <c r="I264" s="78">
        <v>1544429</v>
      </c>
      <c r="J264" s="78">
        <v>1652773</v>
      </c>
      <c r="K264" s="78">
        <v>1701921</v>
      </c>
      <c r="L264" s="78">
        <v>1695487</v>
      </c>
      <c r="M264" s="78">
        <v>1684172</v>
      </c>
      <c r="N264" s="78">
        <v>1637162</v>
      </c>
      <c r="O264" s="78">
        <v>1509224</v>
      </c>
      <c r="P264" s="78">
        <v>1448213</v>
      </c>
      <c r="Q264" s="78">
        <f t="shared" si="3"/>
        <v>18628285</v>
      </c>
    </row>
    <row r="265" spans="1:17" x14ac:dyDescent="0.3">
      <c r="A265" s="177" t="s">
        <v>162</v>
      </c>
      <c r="B265" s="177" t="s">
        <v>2216</v>
      </c>
      <c r="C265" s="78" t="s">
        <v>2217</v>
      </c>
      <c r="D265" s="78">
        <v>0</v>
      </c>
      <c r="E265" s="78">
        <v>1732134</v>
      </c>
      <c r="F265" s="78">
        <v>1755917</v>
      </c>
      <c r="G265" s="78">
        <v>1804689</v>
      </c>
      <c r="H265" s="78">
        <v>1763324</v>
      </c>
      <c r="I265" s="78">
        <v>1709703</v>
      </c>
      <c r="J265" s="78">
        <v>1658898</v>
      </c>
      <c r="K265" s="78">
        <v>1764953</v>
      </c>
      <c r="L265" s="78">
        <v>1752170</v>
      </c>
      <c r="M265" s="78">
        <v>1684512</v>
      </c>
      <c r="N265" s="78">
        <v>1740848</v>
      </c>
      <c r="O265" s="78">
        <v>1775338</v>
      </c>
      <c r="P265" s="78">
        <v>1747270</v>
      </c>
      <c r="Q265" s="78">
        <f t="shared" si="3"/>
        <v>20889756</v>
      </c>
    </row>
    <row r="266" spans="1:17" x14ac:dyDescent="0.3">
      <c r="A266" s="177" t="s">
        <v>162</v>
      </c>
      <c r="B266" s="177" t="s">
        <v>2218</v>
      </c>
      <c r="C266" s="78" t="s">
        <v>2219</v>
      </c>
      <c r="D266" s="78">
        <v>0</v>
      </c>
      <c r="E266" s="78">
        <v>1852136</v>
      </c>
      <c r="F266" s="78">
        <v>1673058</v>
      </c>
      <c r="G266" s="78">
        <v>1852446</v>
      </c>
      <c r="H266" s="78">
        <v>1793104</v>
      </c>
      <c r="I266" s="78">
        <v>1852558</v>
      </c>
      <c r="J266" s="78">
        <v>1793258</v>
      </c>
      <c r="K266" s="78">
        <v>1852937</v>
      </c>
      <c r="L266" s="78">
        <v>1852901</v>
      </c>
      <c r="M266" s="78">
        <v>1792783</v>
      </c>
      <c r="N266" s="78">
        <v>1852789</v>
      </c>
      <c r="O266" s="78">
        <v>1792444</v>
      </c>
      <c r="P266" s="78">
        <v>1852456</v>
      </c>
      <c r="Q266" s="78">
        <f t="shared" si="3"/>
        <v>21812870</v>
      </c>
    </row>
    <row r="267" spans="1:17" x14ac:dyDescent="0.3">
      <c r="A267" s="177" t="s">
        <v>162</v>
      </c>
      <c r="B267" s="177" t="s">
        <v>2220</v>
      </c>
      <c r="C267" s="78" t="s">
        <v>2221</v>
      </c>
      <c r="D267" s="78">
        <v>0</v>
      </c>
      <c r="E267" s="78">
        <v>6912</v>
      </c>
      <c r="F267" s="78">
        <v>7249</v>
      </c>
      <c r="G267" s="78">
        <v>7172</v>
      </c>
      <c r="H267" s="78">
        <v>7140</v>
      </c>
      <c r="I267" s="78">
        <v>6675</v>
      </c>
      <c r="J267" s="78">
        <v>6738</v>
      </c>
      <c r="K267" s="78">
        <v>7042</v>
      </c>
      <c r="L267" s="78">
        <v>6908</v>
      </c>
      <c r="M267" s="78">
        <v>6797</v>
      </c>
      <c r="N267" s="78">
        <v>6830</v>
      </c>
      <c r="O267" s="78">
        <v>7114</v>
      </c>
      <c r="P267" s="78">
        <v>7016</v>
      </c>
      <c r="Q267" s="78">
        <f t="shared" si="3"/>
        <v>83593</v>
      </c>
    </row>
    <row r="268" spans="1:17" x14ac:dyDescent="0.3">
      <c r="A268" s="177" t="s">
        <v>162</v>
      </c>
      <c r="B268" s="177" t="s">
        <v>2222</v>
      </c>
      <c r="C268" s="78" t="s">
        <v>2223</v>
      </c>
      <c r="D268" s="78">
        <v>0</v>
      </c>
      <c r="E268" s="78">
        <v>109617</v>
      </c>
      <c r="F268" s="78">
        <v>114962</v>
      </c>
      <c r="G268" s="78">
        <v>113733</v>
      </c>
      <c r="H268" s="78">
        <v>113229</v>
      </c>
      <c r="I268" s="78">
        <v>105872</v>
      </c>
      <c r="J268" s="78">
        <v>106861</v>
      </c>
      <c r="K268" s="78">
        <v>111683</v>
      </c>
      <c r="L268" s="78">
        <v>109562</v>
      </c>
      <c r="M268" s="78">
        <v>107797</v>
      </c>
      <c r="N268" s="78">
        <v>108321</v>
      </c>
      <c r="O268" s="78">
        <v>112810</v>
      </c>
      <c r="P268" s="78">
        <v>111259</v>
      </c>
      <c r="Q268" s="78">
        <f t="shared" si="3"/>
        <v>1325706</v>
      </c>
    </row>
    <row r="269" spans="1:17" x14ac:dyDescent="0.3">
      <c r="A269" s="177" t="s">
        <v>162</v>
      </c>
      <c r="B269" s="177" t="s">
        <v>2224</v>
      </c>
      <c r="C269" s="78" t="s">
        <v>2225</v>
      </c>
      <c r="D269" s="78">
        <v>0</v>
      </c>
      <c r="E269" s="78">
        <v>40868</v>
      </c>
      <c r="F269" s="78">
        <v>36913</v>
      </c>
      <c r="G269" s="78">
        <v>40868</v>
      </c>
      <c r="H269" s="78">
        <v>39550</v>
      </c>
      <c r="I269" s="78">
        <v>40868</v>
      </c>
      <c r="J269" s="78">
        <v>39550</v>
      </c>
      <c r="K269" s="78">
        <v>40868</v>
      </c>
      <c r="L269" s="78">
        <v>40868</v>
      </c>
      <c r="M269" s="78">
        <v>39550</v>
      </c>
      <c r="N269" s="78">
        <v>40868</v>
      </c>
      <c r="O269" s="78">
        <v>39550</v>
      </c>
      <c r="P269" s="78">
        <v>40868</v>
      </c>
      <c r="Q269" s="78">
        <f t="shared" si="3"/>
        <v>481189</v>
      </c>
    </row>
    <row r="270" spans="1:17" x14ac:dyDescent="0.3">
      <c r="A270" s="177" t="s">
        <v>162</v>
      </c>
      <c r="B270" s="177" t="s">
        <v>2226</v>
      </c>
      <c r="C270" s="78" t="s">
        <v>2227</v>
      </c>
      <c r="D270" s="78">
        <v>0</v>
      </c>
      <c r="E270" s="78">
        <v>100166.78</v>
      </c>
      <c r="F270" s="78">
        <v>96904.16</v>
      </c>
      <c r="G270" s="78">
        <v>102494.85</v>
      </c>
      <c r="H270" s="78">
        <v>99709.74</v>
      </c>
      <c r="I270" s="78">
        <v>99442</v>
      </c>
      <c r="J270" s="78">
        <v>95840.87</v>
      </c>
      <c r="K270" s="78">
        <v>101017.09</v>
      </c>
      <c r="L270" s="78">
        <v>100697.46</v>
      </c>
      <c r="M270" s="78">
        <v>97003.1</v>
      </c>
      <c r="N270" s="78">
        <v>100371.48</v>
      </c>
      <c r="O270" s="78">
        <v>100344.23</v>
      </c>
      <c r="P270" s="78">
        <v>100435.83</v>
      </c>
      <c r="Q270" s="78">
        <f t="shared" si="3"/>
        <v>1194427.5900000001</v>
      </c>
    </row>
    <row r="271" spans="1:17" x14ac:dyDescent="0.3">
      <c r="A271" s="177" t="s">
        <v>162</v>
      </c>
      <c r="B271" s="177" t="s">
        <v>2230</v>
      </c>
      <c r="C271" s="78" t="s">
        <v>2231</v>
      </c>
      <c r="D271" s="78">
        <v>0</v>
      </c>
      <c r="E271" s="78">
        <v>31275.25</v>
      </c>
      <c r="F271" s="78">
        <v>36403.31</v>
      </c>
      <c r="G271" s="78">
        <v>33793.730000000003</v>
      </c>
      <c r="H271" s="78">
        <v>32733.29</v>
      </c>
      <c r="I271" s="78">
        <v>31096.48</v>
      </c>
      <c r="J271" s="78">
        <v>24914.59</v>
      </c>
      <c r="K271" s="78">
        <v>30615.67</v>
      </c>
      <c r="L271" s="78">
        <v>31200.21</v>
      </c>
      <c r="M271" s="78">
        <v>28872.28</v>
      </c>
      <c r="N271" s="78">
        <v>31307.7</v>
      </c>
      <c r="O271" s="78">
        <v>35450.129999999997</v>
      </c>
      <c r="P271" s="78">
        <v>29809.47</v>
      </c>
      <c r="Q271" s="78">
        <f t="shared" ref="Q271:Q334" si="4">SUM(D271:P271)</f>
        <v>377472.11</v>
      </c>
    </row>
    <row r="272" spans="1:17" x14ac:dyDescent="0.3">
      <c r="A272" s="177" t="s">
        <v>162</v>
      </c>
      <c r="B272" s="177" t="s">
        <v>2232</v>
      </c>
      <c r="C272" s="78" t="s">
        <v>2233</v>
      </c>
      <c r="D272" s="78">
        <v>0</v>
      </c>
      <c r="E272" s="78">
        <v>133566</v>
      </c>
      <c r="F272" s="78">
        <v>154763</v>
      </c>
      <c r="G272" s="78">
        <v>144601</v>
      </c>
      <c r="H272" s="78">
        <v>139604</v>
      </c>
      <c r="I272" s="78">
        <v>131469</v>
      </c>
      <c r="J272" s="78">
        <v>107578</v>
      </c>
      <c r="K272" s="78">
        <v>131572</v>
      </c>
      <c r="L272" s="78">
        <v>133596</v>
      </c>
      <c r="M272" s="78">
        <v>122814</v>
      </c>
      <c r="N272" s="78">
        <v>133528</v>
      </c>
      <c r="O272" s="78">
        <v>150724</v>
      </c>
      <c r="P272" s="78">
        <v>128323</v>
      </c>
      <c r="Q272" s="78">
        <f t="shared" si="4"/>
        <v>1612138</v>
      </c>
    </row>
    <row r="273" spans="1:17" x14ac:dyDescent="0.3">
      <c r="A273" s="177" t="s">
        <v>162</v>
      </c>
      <c r="B273" s="177" t="s">
        <v>2256</v>
      </c>
      <c r="C273" s="78" t="s">
        <v>2257</v>
      </c>
      <c r="D273" s="78">
        <v>0</v>
      </c>
      <c r="E273" s="78">
        <v>3769577</v>
      </c>
      <c r="F273" s="78">
        <v>3762172</v>
      </c>
      <c r="G273" s="78">
        <v>3864574</v>
      </c>
      <c r="H273" s="78">
        <v>4080293</v>
      </c>
      <c r="I273" s="78">
        <v>4195675</v>
      </c>
      <c r="J273" s="78">
        <v>4179724</v>
      </c>
      <c r="K273" s="78">
        <v>4207103</v>
      </c>
      <c r="L273" s="78">
        <v>4182398</v>
      </c>
      <c r="M273" s="78">
        <v>4113012</v>
      </c>
      <c r="N273" s="78">
        <v>4100125</v>
      </c>
      <c r="O273" s="78">
        <v>3879692</v>
      </c>
      <c r="P273" s="78">
        <v>3833047</v>
      </c>
      <c r="Q273" s="78">
        <f t="shared" si="4"/>
        <v>48167392</v>
      </c>
    </row>
    <row r="274" spans="1:17" x14ac:dyDescent="0.3">
      <c r="A274" s="177" t="s">
        <v>162</v>
      </c>
      <c r="B274" s="177" t="s">
        <v>2258</v>
      </c>
      <c r="C274" s="78" t="s">
        <v>2259</v>
      </c>
      <c r="D274" s="78">
        <v>0</v>
      </c>
      <c r="E274" s="78">
        <v>3209634</v>
      </c>
      <c r="F274" s="78">
        <v>3081820</v>
      </c>
      <c r="G274" s="78">
        <v>3243162</v>
      </c>
      <c r="H274" s="78">
        <v>3431023</v>
      </c>
      <c r="I274" s="78">
        <v>3519126</v>
      </c>
      <c r="J274" s="78">
        <v>3532399</v>
      </c>
      <c r="K274" s="78">
        <v>3581423</v>
      </c>
      <c r="L274" s="78">
        <v>3534912</v>
      </c>
      <c r="M274" s="78">
        <v>3554777</v>
      </c>
      <c r="N274" s="78">
        <v>3402763</v>
      </c>
      <c r="O274" s="78">
        <v>3243090</v>
      </c>
      <c r="P274" s="78">
        <v>3240551</v>
      </c>
      <c r="Q274" s="78">
        <f t="shared" si="4"/>
        <v>40574680</v>
      </c>
    </row>
    <row r="275" spans="1:17" x14ac:dyDescent="0.3">
      <c r="A275" s="177" t="s">
        <v>162</v>
      </c>
      <c r="B275" s="177" t="s">
        <v>2260</v>
      </c>
      <c r="C275" s="78" t="s">
        <v>2261</v>
      </c>
      <c r="D275" s="78">
        <v>0</v>
      </c>
      <c r="E275" s="78">
        <v>13680</v>
      </c>
      <c r="F275" s="78">
        <v>13948</v>
      </c>
      <c r="G275" s="78">
        <v>14234</v>
      </c>
      <c r="H275" s="78">
        <v>14421</v>
      </c>
      <c r="I275" s="78">
        <v>15257</v>
      </c>
      <c r="J275" s="78">
        <v>15314</v>
      </c>
      <c r="K275" s="78">
        <v>15504</v>
      </c>
      <c r="L275" s="78">
        <v>15586</v>
      </c>
      <c r="M275" s="78">
        <v>15084</v>
      </c>
      <c r="N275" s="78">
        <v>15266</v>
      </c>
      <c r="O275" s="78">
        <v>14430</v>
      </c>
      <c r="P275" s="78">
        <v>14134</v>
      </c>
      <c r="Q275" s="78">
        <f t="shared" si="4"/>
        <v>176858</v>
      </c>
    </row>
    <row r="276" spans="1:17" x14ac:dyDescent="0.3">
      <c r="A276" s="177" t="s">
        <v>162</v>
      </c>
      <c r="B276" s="177" t="s">
        <v>2262</v>
      </c>
      <c r="C276" s="78" t="s">
        <v>2263</v>
      </c>
      <c r="D276" s="78">
        <v>0</v>
      </c>
      <c r="E276" s="78">
        <v>226658</v>
      </c>
      <c r="F276" s="78">
        <v>231161</v>
      </c>
      <c r="G276" s="78">
        <v>235898</v>
      </c>
      <c r="H276" s="78">
        <v>239064</v>
      </c>
      <c r="I276" s="78">
        <v>252930</v>
      </c>
      <c r="J276" s="78">
        <v>253701</v>
      </c>
      <c r="K276" s="78">
        <v>256699</v>
      </c>
      <c r="L276" s="78">
        <v>258004</v>
      </c>
      <c r="M276" s="78">
        <v>249927</v>
      </c>
      <c r="N276" s="78">
        <v>252755</v>
      </c>
      <c r="O276" s="78">
        <v>239050</v>
      </c>
      <c r="P276" s="78">
        <v>234300</v>
      </c>
      <c r="Q276" s="78">
        <f t="shared" si="4"/>
        <v>2930147</v>
      </c>
    </row>
    <row r="277" spans="1:17" x14ac:dyDescent="0.3">
      <c r="A277" s="177" t="s">
        <v>162</v>
      </c>
      <c r="B277" s="177" t="s">
        <v>2264</v>
      </c>
      <c r="C277" s="78" t="s">
        <v>2265</v>
      </c>
      <c r="D277" s="78">
        <v>0</v>
      </c>
      <c r="E277" s="78">
        <v>73493</v>
      </c>
      <c r="F277" s="78">
        <v>70681</v>
      </c>
      <c r="G277" s="78">
        <v>74190</v>
      </c>
      <c r="H277" s="78">
        <v>78554</v>
      </c>
      <c r="I277" s="78">
        <v>80612</v>
      </c>
      <c r="J277" s="78">
        <v>81090</v>
      </c>
      <c r="K277" s="78">
        <v>82213</v>
      </c>
      <c r="L277" s="78">
        <v>81143</v>
      </c>
      <c r="M277" s="78">
        <v>81713</v>
      </c>
      <c r="N277" s="78">
        <v>78062</v>
      </c>
      <c r="O277" s="78">
        <v>74467</v>
      </c>
      <c r="P277" s="78">
        <v>74264</v>
      </c>
      <c r="Q277" s="78">
        <f t="shared" si="4"/>
        <v>930482</v>
      </c>
    </row>
    <row r="278" spans="1:17" x14ac:dyDescent="0.3">
      <c r="A278" s="177" t="s">
        <v>162</v>
      </c>
      <c r="B278" s="177" t="s">
        <v>2266</v>
      </c>
      <c r="C278" s="78" t="s">
        <v>2267</v>
      </c>
      <c r="D278" s="78">
        <v>0</v>
      </c>
      <c r="E278" s="78">
        <v>321092.90999999997</v>
      </c>
      <c r="F278" s="78">
        <v>315650.31</v>
      </c>
      <c r="G278" s="78">
        <v>327268.36</v>
      </c>
      <c r="H278" s="78">
        <v>345031.21</v>
      </c>
      <c r="I278" s="78">
        <v>355492.83</v>
      </c>
      <c r="J278" s="78">
        <v>355551.29</v>
      </c>
      <c r="K278" s="78">
        <v>359125.22</v>
      </c>
      <c r="L278" s="78">
        <v>356193.8</v>
      </c>
      <c r="M278" s="78">
        <v>353336.96</v>
      </c>
      <c r="N278" s="78">
        <v>346377.84</v>
      </c>
      <c r="O278" s="78">
        <v>328773.86</v>
      </c>
      <c r="P278" s="78">
        <v>326057.21999999997</v>
      </c>
      <c r="Q278" s="78">
        <f t="shared" si="4"/>
        <v>4089951.8099999996</v>
      </c>
    </row>
    <row r="279" spans="1:17" x14ac:dyDescent="0.3">
      <c r="A279" s="177" t="s">
        <v>162</v>
      </c>
      <c r="B279" s="177" t="s">
        <v>2268</v>
      </c>
      <c r="C279" s="78" t="s">
        <v>2269</v>
      </c>
      <c r="D279" s="78">
        <v>0</v>
      </c>
      <c r="E279" s="78">
        <v>195425.74</v>
      </c>
      <c r="F279" s="78">
        <v>192015.15</v>
      </c>
      <c r="G279" s="78">
        <v>199091.33</v>
      </c>
      <c r="H279" s="78">
        <v>209959.48</v>
      </c>
      <c r="I279" s="78">
        <v>216565.52</v>
      </c>
      <c r="J279" s="78">
        <v>216492.73</v>
      </c>
      <c r="K279" s="78">
        <v>218643.65</v>
      </c>
      <c r="L279" s="78">
        <v>216859.61</v>
      </c>
      <c r="M279" s="78">
        <v>215125.1</v>
      </c>
      <c r="N279" s="78">
        <v>210890.49</v>
      </c>
      <c r="O279" s="78">
        <v>200287.29</v>
      </c>
      <c r="P279" s="78">
        <v>198567.61</v>
      </c>
      <c r="Q279" s="78">
        <f t="shared" si="4"/>
        <v>2489923.6999999997</v>
      </c>
    </row>
    <row r="280" spans="1:17" x14ac:dyDescent="0.3">
      <c r="A280" s="177" t="s">
        <v>162</v>
      </c>
      <c r="B280" s="177" t="s">
        <v>2272</v>
      </c>
      <c r="C280" s="78" t="s">
        <v>2273</v>
      </c>
      <c r="D280" s="78">
        <v>0</v>
      </c>
      <c r="E280" s="78">
        <v>166773.26999999999</v>
      </c>
      <c r="F280" s="78">
        <v>166943.44</v>
      </c>
      <c r="G280" s="78">
        <v>167817.13</v>
      </c>
      <c r="H280" s="78">
        <v>173502.85</v>
      </c>
      <c r="I280" s="78">
        <v>188864.46</v>
      </c>
      <c r="J280" s="78">
        <v>188872.48</v>
      </c>
      <c r="K280" s="78">
        <v>190199.62</v>
      </c>
      <c r="L280" s="78">
        <v>190635.74</v>
      </c>
      <c r="M280" s="78">
        <v>187132.85</v>
      </c>
      <c r="N280" s="78">
        <v>186363.39</v>
      </c>
      <c r="O280" s="78">
        <v>179945.60000000001</v>
      </c>
      <c r="P280" s="78">
        <v>174681.04</v>
      </c>
      <c r="Q280" s="78">
        <f t="shared" si="4"/>
        <v>2161731.87</v>
      </c>
    </row>
    <row r="281" spans="1:17" x14ac:dyDescent="0.3">
      <c r="A281" s="177" t="s">
        <v>162</v>
      </c>
      <c r="B281" s="177" t="s">
        <v>2274</v>
      </c>
      <c r="C281" s="78" t="s">
        <v>2275</v>
      </c>
      <c r="D281" s="78">
        <v>0</v>
      </c>
      <c r="E281" s="78">
        <v>224543</v>
      </c>
      <c r="F281" s="78">
        <v>224620</v>
      </c>
      <c r="G281" s="78">
        <v>227441</v>
      </c>
      <c r="H281" s="78">
        <v>234316</v>
      </c>
      <c r="I281" s="78">
        <v>256346</v>
      </c>
      <c r="J281" s="78">
        <v>254871</v>
      </c>
      <c r="K281" s="78">
        <v>256718</v>
      </c>
      <c r="L281" s="78">
        <v>257601</v>
      </c>
      <c r="M281" s="78">
        <v>250988</v>
      </c>
      <c r="N281" s="78">
        <v>252151</v>
      </c>
      <c r="O281" s="78">
        <v>243284</v>
      </c>
      <c r="P281" s="78">
        <v>235915</v>
      </c>
      <c r="Q281" s="78">
        <f t="shared" si="4"/>
        <v>2918794</v>
      </c>
    </row>
    <row r="282" spans="1:17" x14ac:dyDescent="0.3">
      <c r="A282" s="177" t="s">
        <v>162</v>
      </c>
      <c r="B282" s="177" t="s">
        <v>2298</v>
      </c>
      <c r="C282" s="78" t="s">
        <v>2299</v>
      </c>
      <c r="D282" s="78">
        <v>0</v>
      </c>
      <c r="E282" s="78">
        <v>9780457</v>
      </c>
      <c r="F282" s="78">
        <v>9847378</v>
      </c>
      <c r="G282" s="78">
        <v>9788372</v>
      </c>
      <c r="H282" s="78">
        <v>9954964</v>
      </c>
      <c r="I282" s="78">
        <v>10264794</v>
      </c>
      <c r="J282" s="78">
        <v>10710913</v>
      </c>
      <c r="K282" s="78">
        <v>10667334</v>
      </c>
      <c r="L282" s="78">
        <v>10783096</v>
      </c>
      <c r="M282" s="78">
        <v>10958952</v>
      </c>
      <c r="N282" s="78">
        <v>10810181</v>
      </c>
      <c r="O282" s="78">
        <v>10123754</v>
      </c>
      <c r="P282" s="78">
        <v>9906765</v>
      </c>
      <c r="Q282" s="78">
        <f t="shared" si="4"/>
        <v>123596960</v>
      </c>
    </row>
    <row r="283" spans="1:17" x14ac:dyDescent="0.3">
      <c r="A283" s="177" t="s">
        <v>162</v>
      </c>
      <c r="B283" s="177" t="s">
        <v>2300</v>
      </c>
      <c r="C283" s="78" t="s">
        <v>2301</v>
      </c>
      <c r="D283" s="78">
        <v>0</v>
      </c>
      <c r="E283" s="78">
        <v>5144269</v>
      </c>
      <c r="F283" s="78">
        <v>5027975</v>
      </c>
      <c r="G283" s="78">
        <v>5111195</v>
      </c>
      <c r="H283" s="78">
        <v>5311885</v>
      </c>
      <c r="I283" s="78">
        <v>5660683</v>
      </c>
      <c r="J283" s="78">
        <v>6104851</v>
      </c>
      <c r="K283" s="78">
        <v>6309069</v>
      </c>
      <c r="L283" s="78">
        <v>6321500</v>
      </c>
      <c r="M283" s="78">
        <v>6364732</v>
      </c>
      <c r="N283" s="78">
        <v>6071993</v>
      </c>
      <c r="O283" s="78">
        <v>5531784</v>
      </c>
      <c r="P283" s="78">
        <v>5209352</v>
      </c>
      <c r="Q283" s="78">
        <f t="shared" si="4"/>
        <v>68169288</v>
      </c>
    </row>
    <row r="284" spans="1:17" x14ac:dyDescent="0.3">
      <c r="A284" s="177" t="s">
        <v>162</v>
      </c>
      <c r="B284" s="177" t="s">
        <v>2302</v>
      </c>
      <c r="C284" s="78" t="s">
        <v>2303</v>
      </c>
      <c r="D284" s="78">
        <v>0</v>
      </c>
      <c r="E284" s="78">
        <v>23588</v>
      </c>
      <c r="F284" s="78">
        <v>23998</v>
      </c>
      <c r="G284" s="78">
        <v>23636</v>
      </c>
      <c r="H284" s="78">
        <v>24148</v>
      </c>
      <c r="I284" s="78">
        <v>25291</v>
      </c>
      <c r="J284" s="78">
        <v>26767</v>
      </c>
      <c r="K284" s="78">
        <v>26124</v>
      </c>
      <c r="L284" s="78">
        <v>26621</v>
      </c>
      <c r="M284" s="78">
        <v>27128</v>
      </c>
      <c r="N284" s="78">
        <v>26961</v>
      </c>
      <c r="O284" s="78">
        <v>24719</v>
      </c>
      <c r="P284" s="78">
        <v>24187</v>
      </c>
      <c r="Q284" s="78">
        <f t="shared" si="4"/>
        <v>303168</v>
      </c>
    </row>
    <row r="285" spans="1:17" x14ac:dyDescent="0.3">
      <c r="A285" s="177" t="s">
        <v>162</v>
      </c>
      <c r="B285" s="177" t="s">
        <v>2304</v>
      </c>
      <c r="C285" s="78" t="s">
        <v>2305</v>
      </c>
      <c r="D285" s="78">
        <v>0</v>
      </c>
      <c r="E285" s="78">
        <v>406985</v>
      </c>
      <c r="F285" s="78">
        <v>413860</v>
      </c>
      <c r="G285" s="78">
        <v>407916</v>
      </c>
      <c r="H285" s="78">
        <v>416337</v>
      </c>
      <c r="I285" s="78">
        <v>435458</v>
      </c>
      <c r="J285" s="78">
        <v>460589</v>
      </c>
      <c r="K285" s="78">
        <v>450247</v>
      </c>
      <c r="L285" s="78">
        <v>458196</v>
      </c>
      <c r="M285" s="78">
        <v>466526</v>
      </c>
      <c r="N285" s="78">
        <v>463533</v>
      </c>
      <c r="O285" s="78">
        <v>426479</v>
      </c>
      <c r="P285" s="78">
        <v>417399</v>
      </c>
      <c r="Q285" s="78">
        <f t="shared" si="4"/>
        <v>5223525</v>
      </c>
    </row>
    <row r="286" spans="1:17" x14ac:dyDescent="0.3">
      <c r="A286" s="177" t="s">
        <v>162</v>
      </c>
      <c r="B286" s="177" t="s">
        <v>2306</v>
      </c>
      <c r="C286" s="78" t="s">
        <v>2307</v>
      </c>
      <c r="D286" s="78">
        <v>0</v>
      </c>
      <c r="E286" s="78">
        <v>115839</v>
      </c>
      <c r="F286" s="78">
        <v>113138</v>
      </c>
      <c r="G286" s="78">
        <v>115028</v>
      </c>
      <c r="H286" s="78">
        <v>119671</v>
      </c>
      <c r="I286" s="78">
        <v>127760</v>
      </c>
      <c r="J286" s="78">
        <v>138081</v>
      </c>
      <c r="K286" s="78">
        <v>142824</v>
      </c>
      <c r="L286" s="78">
        <v>143104</v>
      </c>
      <c r="M286" s="78">
        <v>144115</v>
      </c>
      <c r="N286" s="78">
        <v>137311</v>
      </c>
      <c r="O286" s="78">
        <v>124766</v>
      </c>
      <c r="P286" s="78">
        <v>117305</v>
      </c>
      <c r="Q286" s="78">
        <f t="shared" si="4"/>
        <v>1538942</v>
      </c>
    </row>
    <row r="287" spans="1:17" x14ac:dyDescent="0.3">
      <c r="A287" s="177" t="s">
        <v>162</v>
      </c>
      <c r="B287" s="177" t="s">
        <v>2308</v>
      </c>
      <c r="C287" s="78" t="s">
        <v>2309</v>
      </c>
      <c r="D287" s="78">
        <v>0</v>
      </c>
      <c r="E287" s="78">
        <v>442046.12</v>
      </c>
      <c r="F287" s="78">
        <v>441028.71</v>
      </c>
      <c r="G287" s="78">
        <v>441248.81</v>
      </c>
      <c r="H287" s="78">
        <v>451988.7</v>
      </c>
      <c r="I287" s="78">
        <v>471546.41</v>
      </c>
      <c r="J287" s="78">
        <v>497981.02</v>
      </c>
      <c r="K287" s="78">
        <v>501745.16</v>
      </c>
      <c r="L287" s="78">
        <v>505826.25</v>
      </c>
      <c r="M287" s="78">
        <v>512560.61</v>
      </c>
      <c r="N287" s="78">
        <v>500006.43</v>
      </c>
      <c r="O287" s="78">
        <v>463477.72</v>
      </c>
      <c r="P287" s="78">
        <v>448107.02</v>
      </c>
      <c r="Q287" s="78">
        <f t="shared" si="4"/>
        <v>5677562.959999999</v>
      </c>
    </row>
    <row r="288" spans="1:17" x14ac:dyDescent="0.3">
      <c r="A288" s="177" t="s">
        <v>162</v>
      </c>
      <c r="B288" s="177" t="s">
        <v>2310</v>
      </c>
      <c r="C288" s="78" t="s">
        <v>2311</v>
      </c>
      <c r="D288" s="78">
        <v>0</v>
      </c>
      <c r="E288" s="78">
        <v>248798.68</v>
      </c>
      <c r="F288" s="78">
        <v>247544.52</v>
      </c>
      <c r="G288" s="78">
        <v>247470.38</v>
      </c>
      <c r="H288" s="78">
        <v>257324.91</v>
      </c>
      <c r="I288" s="78">
        <v>275504.12</v>
      </c>
      <c r="J288" s="78">
        <v>300168.01</v>
      </c>
      <c r="K288" s="78">
        <v>303437.11</v>
      </c>
      <c r="L288" s="78">
        <v>307005.06</v>
      </c>
      <c r="M288" s="78">
        <v>313070.96999999997</v>
      </c>
      <c r="N288" s="78">
        <v>300936.67</v>
      </c>
      <c r="O288" s="78">
        <v>266165.59999999998</v>
      </c>
      <c r="P288" s="78">
        <v>251374.32</v>
      </c>
      <c r="Q288" s="78">
        <f t="shared" si="4"/>
        <v>3318800.3499999996</v>
      </c>
    </row>
    <row r="289" spans="1:17" x14ac:dyDescent="0.3">
      <c r="A289" s="177" t="s">
        <v>162</v>
      </c>
      <c r="B289" s="177" t="s">
        <v>2314</v>
      </c>
      <c r="C289" s="78" t="s">
        <v>2315</v>
      </c>
      <c r="D289" s="78">
        <v>0</v>
      </c>
      <c r="E289" s="78">
        <v>502537.37</v>
      </c>
      <c r="F289" s="78">
        <v>504043.2</v>
      </c>
      <c r="G289" s="78">
        <v>498530.15</v>
      </c>
      <c r="H289" s="78">
        <v>504130.48</v>
      </c>
      <c r="I289" s="78">
        <v>517962.1</v>
      </c>
      <c r="J289" s="78">
        <v>539010.59</v>
      </c>
      <c r="K289" s="78">
        <v>533413.03</v>
      </c>
      <c r="L289" s="78">
        <v>538588.85</v>
      </c>
      <c r="M289" s="78">
        <v>548364.47</v>
      </c>
      <c r="N289" s="78">
        <v>541588.29</v>
      </c>
      <c r="O289" s="78">
        <v>513435.21</v>
      </c>
      <c r="P289" s="78">
        <v>512294.36</v>
      </c>
      <c r="Q289" s="78">
        <f t="shared" si="4"/>
        <v>6253898.1000000006</v>
      </c>
    </row>
    <row r="290" spans="1:17" x14ac:dyDescent="0.3">
      <c r="A290" s="177" t="s">
        <v>162</v>
      </c>
      <c r="B290" s="177" t="s">
        <v>2316</v>
      </c>
      <c r="C290" s="78" t="s">
        <v>2317</v>
      </c>
      <c r="D290" s="78">
        <v>0</v>
      </c>
      <c r="E290" s="78">
        <v>394192</v>
      </c>
      <c r="F290" s="78">
        <v>399593</v>
      </c>
      <c r="G290" s="78">
        <v>393479</v>
      </c>
      <c r="H290" s="78">
        <v>402431</v>
      </c>
      <c r="I290" s="78">
        <v>421719</v>
      </c>
      <c r="J290" s="78">
        <v>446486</v>
      </c>
      <c r="K290" s="78">
        <v>436352</v>
      </c>
      <c r="L290" s="78">
        <v>444603</v>
      </c>
      <c r="M290" s="78">
        <v>453689</v>
      </c>
      <c r="N290" s="78">
        <v>449957</v>
      </c>
      <c r="O290" s="78">
        <v>411527</v>
      </c>
      <c r="P290" s="78">
        <v>403348</v>
      </c>
      <c r="Q290" s="78">
        <f t="shared" si="4"/>
        <v>5057376</v>
      </c>
    </row>
    <row r="291" spans="1:17" x14ac:dyDescent="0.3">
      <c r="A291" s="177" t="s">
        <v>162</v>
      </c>
      <c r="B291" s="177" t="s">
        <v>2320</v>
      </c>
      <c r="C291" s="78" t="s">
        <v>2321</v>
      </c>
      <c r="D291" s="78">
        <v>0</v>
      </c>
      <c r="E291" s="78">
        <v>200978.9999996</v>
      </c>
      <c r="F291" s="78">
        <v>213795.8</v>
      </c>
      <c r="G291" s="78">
        <v>182819.4</v>
      </c>
      <c r="H291" s="78">
        <v>131641</v>
      </c>
      <c r="I291" s="78">
        <v>155757.5999996</v>
      </c>
      <c r="J291" s="78">
        <v>126387</v>
      </c>
      <c r="K291" s="78">
        <v>139951.20000000001</v>
      </c>
      <c r="L291" s="78">
        <v>144472.6</v>
      </c>
      <c r="M291" s="78">
        <v>183685.2</v>
      </c>
      <c r="N291" s="78">
        <v>151051.20000000001</v>
      </c>
      <c r="O291" s="78">
        <v>190323</v>
      </c>
      <c r="P291" s="78">
        <v>161242</v>
      </c>
      <c r="Q291" s="78">
        <f t="shared" si="4"/>
        <v>1982104.9999992</v>
      </c>
    </row>
    <row r="292" spans="1:17" x14ac:dyDescent="0.3">
      <c r="A292" s="177" t="s">
        <v>162</v>
      </c>
      <c r="B292" s="177" t="s">
        <v>2324</v>
      </c>
      <c r="C292" s="78" t="s">
        <v>2325</v>
      </c>
      <c r="D292" s="78">
        <v>0</v>
      </c>
      <c r="E292" s="78">
        <v>4682</v>
      </c>
      <c r="F292" s="78">
        <v>5056</v>
      </c>
      <c r="G292" s="78">
        <v>4153</v>
      </c>
      <c r="H292" s="78">
        <v>2662</v>
      </c>
      <c r="I292" s="78">
        <v>3365</v>
      </c>
      <c r="J292" s="78">
        <v>2509</v>
      </c>
      <c r="K292" s="78">
        <v>2904</v>
      </c>
      <c r="L292" s="78">
        <v>3036</v>
      </c>
      <c r="M292" s="78">
        <v>4178</v>
      </c>
      <c r="N292" s="78">
        <v>3228</v>
      </c>
      <c r="O292" s="78">
        <v>4372</v>
      </c>
      <c r="P292" s="78">
        <v>3525</v>
      </c>
      <c r="Q292" s="78">
        <f t="shared" si="4"/>
        <v>43670</v>
      </c>
    </row>
    <row r="293" spans="1:17" x14ac:dyDescent="0.3">
      <c r="A293" s="177" t="s">
        <v>162</v>
      </c>
      <c r="B293" s="177" t="s">
        <v>2330</v>
      </c>
      <c r="C293" s="78" t="s">
        <v>2331</v>
      </c>
      <c r="D293" s="78">
        <v>0</v>
      </c>
      <c r="E293" s="78">
        <v>583.33333330000005</v>
      </c>
      <c r="F293" s="78">
        <v>583.33333330000005</v>
      </c>
      <c r="G293" s="78">
        <v>583.33333330000005</v>
      </c>
      <c r="H293" s="78">
        <v>583.33333330000005</v>
      </c>
      <c r="I293" s="78">
        <v>583.33333330000005</v>
      </c>
      <c r="J293" s="78">
        <v>583.33333330000005</v>
      </c>
      <c r="K293" s="78">
        <v>583.33333330000005</v>
      </c>
      <c r="L293" s="78">
        <v>583.33333330000005</v>
      </c>
      <c r="M293" s="78">
        <v>583.33333330000005</v>
      </c>
      <c r="N293" s="78">
        <v>583.33333330000005</v>
      </c>
      <c r="O293" s="78">
        <v>583.33333330000005</v>
      </c>
      <c r="P293" s="78">
        <v>583.33333330000005</v>
      </c>
      <c r="Q293" s="78">
        <f t="shared" si="4"/>
        <v>6999.9999996000006</v>
      </c>
    </row>
    <row r="294" spans="1:17" x14ac:dyDescent="0.3">
      <c r="A294" s="177" t="s">
        <v>162</v>
      </c>
      <c r="B294" s="177" t="s">
        <v>2332</v>
      </c>
      <c r="C294" s="78" t="s">
        <v>2333</v>
      </c>
      <c r="D294" s="78">
        <v>0</v>
      </c>
      <c r="E294" s="78">
        <v>244166.66666670001</v>
      </c>
      <c r="F294" s="78">
        <v>244166.66666670001</v>
      </c>
      <c r="G294" s="78">
        <v>244166.66666670001</v>
      </c>
      <c r="H294" s="78">
        <v>244166.66666670001</v>
      </c>
      <c r="I294" s="78">
        <v>244166.66666670001</v>
      </c>
      <c r="J294" s="78">
        <v>244166.66666670001</v>
      </c>
      <c r="K294" s="78">
        <v>244166.66666670001</v>
      </c>
      <c r="L294" s="78">
        <v>244166.66666670001</v>
      </c>
      <c r="M294" s="78">
        <v>244166.66666670001</v>
      </c>
      <c r="N294" s="78">
        <v>244166.66666670001</v>
      </c>
      <c r="O294" s="78">
        <v>244166.66666670001</v>
      </c>
      <c r="P294" s="78">
        <v>244166.66666670001</v>
      </c>
      <c r="Q294" s="78">
        <f t="shared" si="4"/>
        <v>2930000.0000004</v>
      </c>
    </row>
    <row r="295" spans="1:17" x14ac:dyDescent="0.3">
      <c r="A295" s="177" t="s">
        <v>162</v>
      </c>
      <c r="B295" s="177" t="s">
        <v>2334</v>
      </c>
      <c r="C295" s="78" t="s">
        <v>2335</v>
      </c>
      <c r="D295" s="78">
        <v>0</v>
      </c>
      <c r="E295" s="78">
        <v>202583.33333329999</v>
      </c>
      <c r="F295" s="78">
        <v>202583.33333329999</v>
      </c>
      <c r="G295" s="78">
        <v>202583.33333329999</v>
      </c>
      <c r="H295" s="78">
        <v>202583.33333329999</v>
      </c>
      <c r="I295" s="78">
        <v>202583.33333329999</v>
      </c>
      <c r="J295" s="78">
        <v>202583.33333329999</v>
      </c>
      <c r="K295" s="78">
        <v>202583.33333329999</v>
      </c>
      <c r="L295" s="78">
        <v>202583.33333329999</v>
      </c>
      <c r="M295" s="78">
        <v>202583.33333329999</v>
      </c>
      <c r="N295" s="78">
        <v>202583.33333329999</v>
      </c>
      <c r="O295" s="78">
        <v>202583.33333329999</v>
      </c>
      <c r="P295" s="78">
        <v>202583.33333329999</v>
      </c>
      <c r="Q295" s="78">
        <f t="shared" si="4"/>
        <v>2430999.9999996</v>
      </c>
    </row>
    <row r="296" spans="1:17" x14ac:dyDescent="0.3">
      <c r="A296" s="177" t="s">
        <v>162</v>
      </c>
      <c r="B296" s="177" t="s">
        <v>2336</v>
      </c>
      <c r="C296" s="78" t="s">
        <v>2337</v>
      </c>
      <c r="D296" s="78">
        <v>0</v>
      </c>
      <c r="E296" s="78">
        <v>910244.83</v>
      </c>
      <c r="F296" s="78">
        <v>910244.83</v>
      </c>
      <c r="G296" s="78">
        <v>910244.83</v>
      </c>
      <c r="H296" s="78">
        <v>910244.83</v>
      </c>
      <c r="I296" s="78">
        <v>910244.83</v>
      </c>
      <c r="J296" s="78">
        <v>910244.83</v>
      </c>
      <c r="K296" s="78">
        <v>910244.83</v>
      </c>
      <c r="L296" s="78">
        <v>910244.83</v>
      </c>
      <c r="M296" s="78">
        <v>910244.83</v>
      </c>
      <c r="N296" s="78">
        <v>910244.83</v>
      </c>
      <c r="O296" s="78">
        <v>910244.83</v>
      </c>
      <c r="P296" s="78">
        <v>910244.83</v>
      </c>
      <c r="Q296" s="78">
        <f t="shared" si="4"/>
        <v>10922937.959999999</v>
      </c>
    </row>
    <row r="297" spans="1:17" x14ac:dyDescent="0.3">
      <c r="A297" s="177" t="s">
        <v>162</v>
      </c>
      <c r="B297" s="177" t="s">
        <v>2338</v>
      </c>
      <c r="C297" s="78" t="s">
        <v>2339</v>
      </c>
      <c r="D297" s="78">
        <v>0</v>
      </c>
      <c r="E297" s="78">
        <v>253916.66666670001</v>
      </c>
      <c r="F297" s="78">
        <v>253916.66666670001</v>
      </c>
      <c r="G297" s="78">
        <v>253916.66666670001</v>
      </c>
      <c r="H297" s="78">
        <v>253916.66666670001</v>
      </c>
      <c r="I297" s="78">
        <v>253916.66666670001</v>
      </c>
      <c r="J297" s="78">
        <v>253916.66666670001</v>
      </c>
      <c r="K297" s="78">
        <v>253916.66666670001</v>
      </c>
      <c r="L297" s="78">
        <v>253916.66666670001</v>
      </c>
      <c r="M297" s="78">
        <v>253916.66666670001</v>
      </c>
      <c r="N297" s="78">
        <v>253916.66666670001</v>
      </c>
      <c r="O297" s="78">
        <v>253916.66666670001</v>
      </c>
      <c r="P297" s="78">
        <v>253916.66666670001</v>
      </c>
      <c r="Q297" s="78">
        <f t="shared" si="4"/>
        <v>3047000.0000004</v>
      </c>
    </row>
    <row r="298" spans="1:17" x14ac:dyDescent="0.3">
      <c r="A298" s="177" t="s">
        <v>162</v>
      </c>
      <c r="B298" s="177" t="s">
        <v>2340</v>
      </c>
      <c r="C298" s="78" t="s">
        <v>2341</v>
      </c>
      <c r="D298" s="78">
        <v>0</v>
      </c>
      <c r="E298" s="78">
        <v>37583.333333299997</v>
      </c>
      <c r="F298" s="78">
        <v>37583.333333299997</v>
      </c>
      <c r="G298" s="78">
        <v>37583.333333299997</v>
      </c>
      <c r="H298" s="78">
        <v>37583.333333299997</v>
      </c>
      <c r="I298" s="78">
        <v>37583.333333299997</v>
      </c>
      <c r="J298" s="78">
        <v>37583.333333299997</v>
      </c>
      <c r="K298" s="78">
        <v>37583.333333299997</v>
      </c>
      <c r="L298" s="78">
        <v>37583.333333299997</v>
      </c>
      <c r="M298" s="78">
        <v>37583.333333299997</v>
      </c>
      <c r="N298" s="78">
        <v>37583.333333299997</v>
      </c>
      <c r="O298" s="78">
        <v>37583.333333299997</v>
      </c>
      <c r="P298" s="78">
        <v>37583.333333299997</v>
      </c>
      <c r="Q298" s="78">
        <f t="shared" si="4"/>
        <v>450999.99999960006</v>
      </c>
    </row>
    <row r="299" spans="1:17" x14ac:dyDescent="0.3">
      <c r="A299" s="177" t="s">
        <v>162</v>
      </c>
      <c r="B299" s="177" t="s">
        <v>2342</v>
      </c>
      <c r="C299" s="78" t="s">
        <v>2343</v>
      </c>
      <c r="D299" s="78">
        <v>0</v>
      </c>
      <c r="E299" s="78">
        <v>1500</v>
      </c>
      <c r="F299" s="78">
        <v>1500</v>
      </c>
      <c r="G299" s="78">
        <v>1500</v>
      </c>
      <c r="H299" s="78">
        <v>1500</v>
      </c>
      <c r="I299" s="78">
        <v>1500</v>
      </c>
      <c r="J299" s="78">
        <v>1500</v>
      </c>
      <c r="K299" s="78">
        <v>1500</v>
      </c>
      <c r="L299" s="78">
        <v>1500</v>
      </c>
      <c r="M299" s="78">
        <v>1500</v>
      </c>
      <c r="N299" s="78">
        <v>1500</v>
      </c>
      <c r="O299" s="78">
        <v>1500</v>
      </c>
      <c r="P299" s="78">
        <v>1500</v>
      </c>
      <c r="Q299" s="78">
        <f t="shared" si="4"/>
        <v>18000</v>
      </c>
    </row>
    <row r="300" spans="1:17" x14ac:dyDescent="0.3">
      <c r="A300" s="177" t="s">
        <v>162</v>
      </c>
      <c r="B300" s="177" t="s">
        <v>2344</v>
      </c>
      <c r="C300" s="78" t="s">
        <v>2345</v>
      </c>
      <c r="D300" s="78">
        <v>0</v>
      </c>
      <c r="E300" s="78">
        <v>123358</v>
      </c>
      <c r="F300" s="78">
        <v>123358</v>
      </c>
      <c r="G300" s="78">
        <v>123358</v>
      </c>
      <c r="H300" s="78">
        <v>123358</v>
      </c>
      <c r="I300" s="78">
        <v>123358</v>
      </c>
      <c r="J300" s="78">
        <v>123358</v>
      </c>
      <c r="K300" s="78">
        <v>123358</v>
      </c>
      <c r="L300" s="78">
        <v>123358</v>
      </c>
      <c r="M300" s="78">
        <v>123358</v>
      </c>
      <c r="N300" s="78">
        <v>123358</v>
      </c>
      <c r="O300" s="78">
        <v>123358</v>
      </c>
      <c r="P300" s="78">
        <v>123358</v>
      </c>
      <c r="Q300" s="78">
        <f t="shared" si="4"/>
        <v>1480296</v>
      </c>
    </row>
    <row r="301" spans="1:17" x14ac:dyDescent="0.3">
      <c r="A301" s="177" t="s">
        <v>162</v>
      </c>
      <c r="B301" s="177" t="s">
        <v>2346</v>
      </c>
      <c r="C301" s="78" t="s">
        <v>2347</v>
      </c>
      <c r="D301" s="78">
        <v>0</v>
      </c>
      <c r="E301" s="78">
        <v>4500</v>
      </c>
      <c r="F301" s="78">
        <v>4500</v>
      </c>
      <c r="G301" s="78">
        <v>4500</v>
      </c>
      <c r="H301" s="78">
        <v>4500</v>
      </c>
      <c r="I301" s="78">
        <v>4500</v>
      </c>
      <c r="J301" s="78">
        <v>4500</v>
      </c>
      <c r="K301" s="78">
        <v>4500</v>
      </c>
      <c r="L301" s="78">
        <v>4500</v>
      </c>
      <c r="M301" s="78">
        <v>4500</v>
      </c>
      <c r="N301" s="78">
        <v>4500</v>
      </c>
      <c r="O301" s="78">
        <v>4500</v>
      </c>
      <c r="P301" s="78">
        <v>4500</v>
      </c>
      <c r="Q301" s="78">
        <f t="shared" si="4"/>
        <v>54000</v>
      </c>
    </row>
    <row r="302" spans="1:17" x14ac:dyDescent="0.3">
      <c r="A302" s="177" t="s">
        <v>162</v>
      </c>
      <c r="B302" s="177" t="s">
        <v>2350</v>
      </c>
      <c r="C302" s="78" t="s">
        <v>2351</v>
      </c>
      <c r="D302" s="78">
        <v>0</v>
      </c>
      <c r="E302" s="78">
        <v>8508.5147500000003</v>
      </c>
      <c r="F302" s="78">
        <v>7316.31675</v>
      </c>
      <c r="G302" s="78">
        <v>8847.8512499999997</v>
      </c>
      <c r="H302" s="78">
        <v>8622.8534999999993</v>
      </c>
      <c r="I302" s="78">
        <v>8795.9247500000001</v>
      </c>
      <c r="J302" s="78">
        <v>8002.134</v>
      </c>
      <c r="K302" s="78">
        <v>8788.7189999999991</v>
      </c>
      <c r="L302" s="78">
        <v>8791.4249999999993</v>
      </c>
      <c r="M302" s="78">
        <v>8880.6</v>
      </c>
      <c r="N302" s="78">
        <v>8968.75</v>
      </c>
      <c r="O302" s="78">
        <v>9057.9249999999993</v>
      </c>
      <c r="P302" s="78">
        <v>9149.15</v>
      </c>
      <c r="Q302" s="78">
        <f t="shared" si="4"/>
        <v>103730.16399999999</v>
      </c>
    </row>
    <row r="303" spans="1:17" x14ac:dyDescent="0.3">
      <c r="A303" s="177" t="s">
        <v>162</v>
      </c>
      <c r="B303" s="177" t="s">
        <v>2352</v>
      </c>
      <c r="C303" s="78" t="s">
        <v>2353</v>
      </c>
      <c r="D303" s="78">
        <v>0</v>
      </c>
      <c r="E303" s="78">
        <v>27939</v>
      </c>
      <c r="F303" s="78">
        <v>440242</v>
      </c>
      <c r="G303" s="78">
        <v>20417</v>
      </c>
      <c r="H303" s="78">
        <v>33945</v>
      </c>
      <c r="I303" s="78">
        <v>248</v>
      </c>
      <c r="J303" s="78">
        <v>3636</v>
      </c>
      <c r="K303" s="78">
        <v>8456</v>
      </c>
      <c r="L303" s="78">
        <v>85863</v>
      </c>
      <c r="M303" s="78">
        <v>19148</v>
      </c>
      <c r="N303" s="78">
        <v>32749</v>
      </c>
      <c r="O303" s="78">
        <v>24511</v>
      </c>
      <c r="P303" s="78">
        <v>31119</v>
      </c>
      <c r="Q303" s="78">
        <f t="shared" si="4"/>
        <v>728273</v>
      </c>
    </row>
    <row r="304" spans="1:17" x14ac:dyDescent="0.3">
      <c r="A304" s="177" t="s">
        <v>162</v>
      </c>
      <c r="B304" s="177" t="s">
        <v>2354</v>
      </c>
      <c r="C304" s="78" t="s">
        <v>2355</v>
      </c>
      <c r="D304" s="78">
        <v>0</v>
      </c>
      <c r="E304" s="78">
        <v>4021</v>
      </c>
      <c r="F304" s="78">
        <v>369</v>
      </c>
      <c r="G304" s="78">
        <v>377</v>
      </c>
      <c r="H304" s="78">
        <v>6685</v>
      </c>
      <c r="I304" s="78">
        <v>2178</v>
      </c>
      <c r="J304" s="78">
        <v>0</v>
      </c>
      <c r="K304" s="78">
        <v>0</v>
      </c>
      <c r="L304" s="78">
        <v>4624</v>
      </c>
      <c r="M304" s="78">
        <v>2235</v>
      </c>
      <c r="N304" s="78">
        <v>6324</v>
      </c>
      <c r="O304" s="78">
        <v>543</v>
      </c>
      <c r="P304" s="78">
        <v>102</v>
      </c>
      <c r="Q304" s="78">
        <f t="shared" si="4"/>
        <v>27458</v>
      </c>
    </row>
    <row r="305" spans="1:17" x14ac:dyDescent="0.3">
      <c r="A305" s="177" t="s">
        <v>162</v>
      </c>
      <c r="B305" s="177" t="s">
        <v>2356</v>
      </c>
      <c r="C305" s="78" t="s">
        <v>2357</v>
      </c>
      <c r="D305" s="78">
        <v>0</v>
      </c>
      <c r="E305" s="78">
        <v>9913.83</v>
      </c>
      <c r="F305" s="78">
        <v>9913.83</v>
      </c>
      <c r="G305" s="78">
        <v>9913.83</v>
      </c>
      <c r="H305" s="78">
        <v>9913.83</v>
      </c>
      <c r="I305" s="78">
        <v>9913.83</v>
      </c>
      <c r="J305" s="78">
        <v>9913.83</v>
      </c>
      <c r="K305" s="78">
        <v>9913.83</v>
      </c>
      <c r="L305" s="78">
        <v>9913.83</v>
      </c>
      <c r="M305" s="78">
        <v>9913.83</v>
      </c>
      <c r="N305" s="78">
        <v>9913.83</v>
      </c>
      <c r="O305" s="78">
        <v>9913.83</v>
      </c>
      <c r="P305" s="78">
        <v>9913.83</v>
      </c>
      <c r="Q305" s="78">
        <f t="shared" si="4"/>
        <v>118965.96</v>
      </c>
    </row>
    <row r="306" spans="1:17" x14ac:dyDescent="0.3">
      <c r="A306" s="177" t="s">
        <v>162</v>
      </c>
      <c r="B306" s="177" t="s">
        <v>2358</v>
      </c>
      <c r="C306" s="78" t="s">
        <v>2359</v>
      </c>
      <c r="D306" s="78">
        <v>0</v>
      </c>
      <c r="E306" s="78">
        <v>33184</v>
      </c>
      <c r="F306" s="78">
        <v>33184</v>
      </c>
      <c r="G306" s="78">
        <v>33184</v>
      </c>
      <c r="H306" s="78">
        <v>33184</v>
      </c>
      <c r="I306" s="78">
        <v>33184</v>
      </c>
      <c r="J306" s="78">
        <v>33184</v>
      </c>
      <c r="K306" s="78">
        <v>33184</v>
      </c>
      <c r="L306" s="78">
        <v>33184</v>
      </c>
      <c r="M306" s="78">
        <v>33184</v>
      </c>
      <c r="N306" s="78">
        <v>33184</v>
      </c>
      <c r="O306" s="78">
        <v>33184</v>
      </c>
      <c r="P306" s="78">
        <v>33184</v>
      </c>
      <c r="Q306" s="78">
        <f t="shared" si="4"/>
        <v>398208</v>
      </c>
    </row>
    <row r="307" spans="1:17" x14ac:dyDescent="0.3">
      <c r="A307" s="177" t="s">
        <v>162</v>
      </c>
      <c r="B307" s="177" t="s">
        <v>2360</v>
      </c>
      <c r="C307" s="78" t="s">
        <v>2361</v>
      </c>
      <c r="D307" s="78">
        <v>0</v>
      </c>
      <c r="E307" s="78">
        <v>398377.16625000001</v>
      </c>
      <c r="F307" s="78">
        <v>398377.1765</v>
      </c>
      <c r="G307" s="78">
        <v>402926.31099999999</v>
      </c>
      <c r="H307" s="78">
        <v>402926.31099999999</v>
      </c>
      <c r="I307" s="78">
        <v>402926.30074999999</v>
      </c>
      <c r="J307" s="78">
        <v>402926.31099999999</v>
      </c>
      <c r="K307" s="78">
        <v>402912.49400000001</v>
      </c>
      <c r="L307" s="78">
        <v>402992.07500000001</v>
      </c>
      <c r="M307" s="78">
        <v>402992.07500000001</v>
      </c>
      <c r="N307" s="78">
        <v>402992.07500000001</v>
      </c>
      <c r="O307" s="78">
        <v>402992.07500000001</v>
      </c>
      <c r="P307" s="78">
        <v>402992.07500000001</v>
      </c>
      <c r="Q307" s="78">
        <f t="shared" si="4"/>
        <v>4826332.4455000004</v>
      </c>
    </row>
    <row r="308" spans="1:17" x14ac:dyDescent="0.3">
      <c r="A308" s="177" t="s">
        <v>162</v>
      </c>
      <c r="B308" s="177" t="s">
        <v>2362</v>
      </c>
      <c r="C308" s="78" t="s">
        <v>2363</v>
      </c>
      <c r="D308" s="78">
        <v>0</v>
      </c>
      <c r="E308" s="78">
        <v>57739.139166699999</v>
      </c>
      <c r="F308" s="78">
        <v>57739.139166699999</v>
      </c>
      <c r="G308" s="78">
        <v>57739.139166699999</v>
      </c>
      <c r="H308" s="78">
        <v>57739.139166699999</v>
      </c>
      <c r="I308" s="78">
        <v>57739.139166699999</v>
      </c>
      <c r="J308" s="78">
        <v>57739.139166699999</v>
      </c>
      <c r="K308" s="78">
        <v>57739.139166699999</v>
      </c>
      <c r="L308" s="78">
        <v>57739.139166699999</v>
      </c>
      <c r="M308" s="78">
        <v>57739.139166699999</v>
      </c>
      <c r="N308" s="78">
        <v>57739.139166699999</v>
      </c>
      <c r="O308" s="78">
        <v>57739.139166699999</v>
      </c>
      <c r="P308" s="78">
        <v>57739.139166699999</v>
      </c>
      <c r="Q308" s="78">
        <f t="shared" si="4"/>
        <v>692869.67000039993</v>
      </c>
    </row>
    <row r="309" spans="1:17" x14ac:dyDescent="0.3">
      <c r="A309" s="177" t="s">
        <v>162</v>
      </c>
      <c r="B309" s="177" t="s">
        <v>2364</v>
      </c>
      <c r="C309" s="78" t="s">
        <v>2365</v>
      </c>
      <c r="D309" s="78">
        <v>0</v>
      </c>
      <c r="E309" s="78">
        <v>475326.28387879999</v>
      </c>
      <c r="F309" s="78">
        <v>471816.36935950001</v>
      </c>
      <c r="G309" s="78">
        <v>471188.67020290002</v>
      </c>
      <c r="H309" s="78">
        <v>470721.6286316</v>
      </c>
      <c r="I309" s="78">
        <v>470826.50004710001</v>
      </c>
      <c r="J309" s="78">
        <v>471538.563517</v>
      </c>
      <c r="K309" s="78">
        <v>470431.93575210002</v>
      </c>
      <c r="L309" s="78">
        <v>467407.4423998</v>
      </c>
      <c r="M309" s="78">
        <v>466815.35742160003</v>
      </c>
      <c r="N309" s="78">
        <v>467926.06866759999</v>
      </c>
      <c r="O309" s="78">
        <v>466782.60341679998</v>
      </c>
      <c r="P309" s="78">
        <v>470569.48109199997</v>
      </c>
      <c r="Q309" s="78">
        <f t="shared" si="4"/>
        <v>5641350.9043867998</v>
      </c>
    </row>
    <row r="310" spans="1:17" x14ac:dyDescent="0.3">
      <c r="A310" s="177" t="s">
        <v>162</v>
      </c>
      <c r="B310" s="177" t="s">
        <v>2366</v>
      </c>
      <c r="C310" s="78" t="s">
        <v>2367</v>
      </c>
      <c r="D310" s="78">
        <v>0</v>
      </c>
      <c r="E310" s="78">
        <v>226833.33333329999</v>
      </c>
      <c r="F310" s="78">
        <v>226833.33333329999</v>
      </c>
      <c r="G310" s="78">
        <v>226833.33333329999</v>
      </c>
      <c r="H310" s="78">
        <v>226833.33333329999</v>
      </c>
      <c r="I310" s="78">
        <v>226833.33333329999</v>
      </c>
      <c r="J310" s="78">
        <v>226833.33333329999</v>
      </c>
      <c r="K310" s="78">
        <v>226833.33333329999</v>
      </c>
      <c r="L310" s="78">
        <v>226833.33333329999</v>
      </c>
      <c r="M310" s="78">
        <v>226833.33333329999</v>
      </c>
      <c r="N310" s="78">
        <v>226833.33333329999</v>
      </c>
      <c r="O310" s="78">
        <v>226833.33333329999</v>
      </c>
      <c r="P310" s="78">
        <v>226833.33333329999</v>
      </c>
      <c r="Q310" s="78">
        <f t="shared" si="4"/>
        <v>2721999.9999996</v>
      </c>
    </row>
    <row r="311" spans="1:17" x14ac:dyDescent="0.3">
      <c r="A311" s="177" t="s">
        <v>162</v>
      </c>
      <c r="B311" s="177" t="s">
        <v>2372</v>
      </c>
      <c r="C311" s="78" t="s">
        <v>2373</v>
      </c>
      <c r="D311" s="78">
        <v>0</v>
      </c>
      <c r="E311" s="78">
        <v>167000</v>
      </c>
      <c r="F311" s="78">
        <v>267000</v>
      </c>
      <c r="G311" s="78">
        <v>167000</v>
      </c>
      <c r="H311" s="78">
        <v>266000</v>
      </c>
      <c r="I311" s="78">
        <v>167000</v>
      </c>
      <c r="J311" s="78">
        <v>267000</v>
      </c>
      <c r="K311" s="78">
        <v>166000</v>
      </c>
      <c r="L311" s="78">
        <v>267000</v>
      </c>
      <c r="M311" s="78">
        <v>166000</v>
      </c>
      <c r="N311" s="78">
        <v>267000</v>
      </c>
      <c r="O311" s="78">
        <v>167000</v>
      </c>
      <c r="P311" s="78">
        <v>266000</v>
      </c>
      <c r="Q311" s="78">
        <f t="shared" si="4"/>
        <v>2600000</v>
      </c>
    </row>
    <row r="312" spans="1:17" x14ac:dyDescent="0.3">
      <c r="A312" s="177" t="s">
        <v>162</v>
      </c>
      <c r="B312" s="177" t="s">
        <v>2374</v>
      </c>
      <c r="C312" s="78" t="s">
        <v>2375</v>
      </c>
      <c r="D312" s="78">
        <v>0</v>
      </c>
      <c r="E312" s="78">
        <v>8000</v>
      </c>
      <c r="F312" s="78">
        <v>8000</v>
      </c>
      <c r="G312" s="78">
        <v>8000</v>
      </c>
      <c r="H312" s="78">
        <v>8000</v>
      </c>
      <c r="I312" s="78">
        <v>8000</v>
      </c>
      <c r="J312" s="78">
        <v>9000</v>
      </c>
      <c r="K312" s="78">
        <v>10000</v>
      </c>
      <c r="L312" s="78">
        <v>11000</v>
      </c>
      <c r="M312" s="78">
        <v>11000</v>
      </c>
      <c r="N312" s="78">
        <v>10000</v>
      </c>
      <c r="O312" s="78">
        <v>8000</v>
      </c>
      <c r="P312" s="78">
        <v>8000</v>
      </c>
      <c r="Q312" s="78">
        <f t="shared" si="4"/>
        <v>107000</v>
      </c>
    </row>
    <row r="313" spans="1:17" x14ac:dyDescent="0.3">
      <c r="A313" s="177" t="s">
        <v>162</v>
      </c>
      <c r="B313" s="177" t="s">
        <v>2376</v>
      </c>
      <c r="C313" s="78" t="s">
        <v>2377</v>
      </c>
      <c r="D313" s="78">
        <v>0</v>
      </c>
      <c r="E313" s="78">
        <v>10100</v>
      </c>
      <c r="F313" s="78">
        <v>10100</v>
      </c>
      <c r="G313" s="78">
        <v>10100</v>
      </c>
      <c r="H313" s="78">
        <v>10100</v>
      </c>
      <c r="I313" s="78">
        <v>10100</v>
      </c>
      <c r="J313" s="78">
        <v>10100</v>
      </c>
      <c r="K313" s="78">
        <v>10100</v>
      </c>
      <c r="L313" s="78">
        <v>10100</v>
      </c>
      <c r="M313" s="78">
        <v>10100</v>
      </c>
      <c r="N313" s="78">
        <v>10100</v>
      </c>
      <c r="O313" s="78">
        <v>10100</v>
      </c>
      <c r="P313" s="78">
        <v>10100</v>
      </c>
      <c r="Q313" s="78">
        <f t="shared" si="4"/>
        <v>121200</v>
      </c>
    </row>
    <row r="314" spans="1:17" x14ac:dyDescent="0.3">
      <c r="A314" s="177" t="s">
        <v>162</v>
      </c>
      <c r="B314" s="177" t="s">
        <v>2378</v>
      </c>
      <c r="C314" s="78" t="s">
        <v>2379</v>
      </c>
      <c r="D314" s="78">
        <v>0</v>
      </c>
      <c r="E314" s="78">
        <v>1766.0738475000001</v>
      </c>
      <c r="F314" s="78">
        <v>1473.6392409</v>
      </c>
      <c r="G314" s="78">
        <v>1467.5290949</v>
      </c>
      <c r="H314" s="78">
        <v>76542.925578299997</v>
      </c>
      <c r="I314" s="78">
        <v>1727.0580834</v>
      </c>
      <c r="J314" s="78">
        <v>1404.9950633999999</v>
      </c>
      <c r="K314" s="78">
        <v>11610.4881133</v>
      </c>
      <c r="L314" s="78">
        <v>6536.6670395000001</v>
      </c>
      <c r="M314" s="78">
        <v>76496.024606899999</v>
      </c>
      <c r="N314" s="78">
        <v>1703.2747554</v>
      </c>
      <c r="O314" s="78">
        <v>1482.3164294000001</v>
      </c>
      <c r="P314" s="78">
        <v>1559.5342539000001</v>
      </c>
      <c r="Q314" s="78">
        <f t="shared" si="4"/>
        <v>183770.52610679998</v>
      </c>
    </row>
    <row r="315" spans="1:17" x14ac:dyDescent="0.3">
      <c r="A315" s="177" t="s">
        <v>162</v>
      </c>
      <c r="B315" s="177" t="s">
        <v>2382</v>
      </c>
      <c r="C315" s="78" t="s">
        <v>2383</v>
      </c>
      <c r="D315" s="78">
        <v>0</v>
      </c>
      <c r="E315" s="78">
        <v>8333.34</v>
      </c>
      <c r="F315" s="78">
        <v>8333.34</v>
      </c>
      <c r="G315" s="78">
        <v>8333.34</v>
      </c>
      <c r="H315" s="78">
        <v>8333.34</v>
      </c>
      <c r="I315" s="78">
        <v>8333.33</v>
      </c>
      <c r="J315" s="78">
        <v>8333.33</v>
      </c>
      <c r="K315" s="78">
        <v>8333.33</v>
      </c>
      <c r="L315" s="78">
        <v>8333.33</v>
      </c>
      <c r="M315" s="78">
        <v>8333.33</v>
      </c>
      <c r="N315" s="78">
        <v>8333.33</v>
      </c>
      <c r="O315" s="78">
        <v>8333.33</v>
      </c>
      <c r="P315" s="78">
        <v>8333.33</v>
      </c>
      <c r="Q315" s="78">
        <f t="shared" si="4"/>
        <v>100000.00000000001</v>
      </c>
    </row>
    <row r="316" spans="1:17" x14ac:dyDescent="0.3">
      <c r="A316" s="177" t="s">
        <v>162</v>
      </c>
      <c r="B316" s="177" t="s">
        <v>2386</v>
      </c>
      <c r="C316" s="78" t="s">
        <v>2387</v>
      </c>
      <c r="D316" s="78">
        <v>0</v>
      </c>
      <c r="E316" s="78">
        <v>697996.55769229995</v>
      </c>
      <c r="F316" s="78">
        <v>697996.55769229995</v>
      </c>
      <c r="G316" s="78">
        <v>97996.557692300004</v>
      </c>
      <c r="H316" s="78">
        <v>697996.55769229995</v>
      </c>
      <c r="I316" s="78">
        <v>697996.55769229995</v>
      </c>
      <c r="J316" s="78">
        <v>662429.25</v>
      </c>
      <c r="K316" s="78">
        <v>662429.25</v>
      </c>
      <c r="L316" s="78">
        <v>662429.25</v>
      </c>
      <c r="M316" s="78">
        <v>662429.25</v>
      </c>
      <c r="N316" s="78">
        <v>697996.55769229995</v>
      </c>
      <c r="O316" s="78">
        <v>697996.55769229995</v>
      </c>
      <c r="P316" s="78">
        <v>697996.55769229995</v>
      </c>
      <c r="Q316" s="78">
        <f t="shared" si="4"/>
        <v>7633689.4615383986</v>
      </c>
    </row>
    <row r="317" spans="1:17" x14ac:dyDescent="0.3">
      <c r="A317" s="177" t="s">
        <v>162</v>
      </c>
      <c r="B317" s="177" t="s">
        <v>2388</v>
      </c>
      <c r="C317" s="78" t="s">
        <v>2389</v>
      </c>
      <c r="D317" s="78">
        <v>0</v>
      </c>
      <c r="E317" s="78">
        <v>17648.3901099</v>
      </c>
      <c r="F317" s="78">
        <v>17648.3901099</v>
      </c>
      <c r="G317" s="78">
        <v>17648.3901099</v>
      </c>
      <c r="H317" s="78">
        <v>17648.3901099</v>
      </c>
      <c r="I317" s="78">
        <v>17648.3901099</v>
      </c>
      <c r="J317" s="78">
        <v>17038.5</v>
      </c>
      <c r="K317" s="78">
        <v>17038.5</v>
      </c>
      <c r="L317" s="78">
        <v>17038.5</v>
      </c>
      <c r="M317" s="78">
        <v>17038.5</v>
      </c>
      <c r="N317" s="78">
        <v>17648.3901099</v>
      </c>
      <c r="O317" s="78">
        <v>17648.3901099</v>
      </c>
      <c r="P317" s="78">
        <v>17648.3901099</v>
      </c>
      <c r="Q317" s="78">
        <f t="shared" si="4"/>
        <v>209341.12087920003</v>
      </c>
    </row>
    <row r="318" spans="1:17" x14ac:dyDescent="0.3">
      <c r="A318" s="177" t="s">
        <v>162</v>
      </c>
      <c r="B318" s="177" t="s">
        <v>2396</v>
      </c>
      <c r="C318" s="78" t="s">
        <v>2397</v>
      </c>
      <c r="D318" s="78">
        <v>0</v>
      </c>
      <c r="E318" s="78">
        <v>38542.506999999998</v>
      </c>
      <c r="F318" s="78">
        <v>28976.334999999999</v>
      </c>
      <c r="G318" s="78">
        <v>30265.414000000001</v>
      </c>
      <c r="H318" s="78">
        <v>25000</v>
      </c>
      <c r="I318" s="78">
        <v>33326.857000000004</v>
      </c>
      <c r="J318" s="78">
        <v>30571.653999999999</v>
      </c>
      <c r="K318" s="78">
        <v>26630.727999999999</v>
      </c>
      <c r="L318" s="78">
        <v>30545.814999999999</v>
      </c>
      <c r="M318" s="78">
        <v>28843.312000000002</v>
      </c>
      <c r="N318" s="78">
        <v>33238.813000000002</v>
      </c>
      <c r="O318" s="78">
        <v>60504.7</v>
      </c>
      <c r="P318" s="78">
        <v>120427.255</v>
      </c>
      <c r="Q318" s="78">
        <f t="shared" si="4"/>
        <v>486873.39000000007</v>
      </c>
    </row>
    <row r="319" spans="1:17" x14ac:dyDescent="0.3">
      <c r="A319" s="177" t="s">
        <v>162</v>
      </c>
      <c r="B319" s="177" t="s">
        <v>2398</v>
      </c>
      <c r="C319" s="78" t="s">
        <v>2399</v>
      </c>
      <c r="D319" s="78">
        <v>0</v>
      </c>
      <c r="E319" s="78">
        <v>500</v>
      </c>
      <c r="F319" s="78">
        <v>0</v>
      </c>
      <c r="G319" s="78">
        <v>1250</v>
      </c>
      <c r="H319" s="78">
        <v>500</v>
      </c>
      <c r="I319" s="78">
        <v>0</v>
      </c>
      <c r="J319" s="78">
        <v>0</v>
      </c>
      <c r="K319" s="78">
        <v>1000</v>
      </c>
      <c r="L319" s="78">
        <v>750</v>
      </c>
      <c r="M319" s="78">
        <v>750</v>
      </c>
      <c r="N319" s="78">
        <v>750</v>
      </c>
      <c r="O319" s="78">
        <v>750</v>
      </c>
      <c r="P319" s="78">
        <v>750</v>
      </c>
      <c r="Q319" s="78">
        <f t="shared" si="4"/>
        <v>7000</v>
      </c>
    </row>
    <row r="320" spans="1:17" x14ac:dyDescent="0.3">
      <c r="A320" s="177" t="s">
        <v>162</v>
      </c>
      <c r="B320" s="177" t="s">
        <v>2400</v>
      </c>
      <c r="C320" s="78" t="s">
        <v>2401</v>
      </c>
      <c r="D320" s="78">
        <v>0</v>
      </c>
      <c r="E320" s="78">
        <v>-2324642</v>
      </c>
      <c r="F320" s="78">
        <v>-5082478</v>
      </c>
      <c r="G320" s="78">
        <v>4704013</v>
      </c>
      <c r="H320" s="78">
        <v>4425332</v>
      </c>
      <c r="I320" s="78">
        <v>10321116</v>
      </c>
      <c r="J320" s="78">
        <v>3589459</v>
      </c>
      <c r="K320" s="78">
        <v>2466406</v>
      </c>
      <c r="L320" s="78">
        <v>4637721</v>
      </c>
      <c r="M320" s="78">
        <v>-9078556</v>
      </c>
      <c r="N320" s="78">
        <v>-4989568</v>
      </c>
      <c r="O320" s="78">
        <v>-9193215</v>
      </c>
      <c r="P320" s="78">
        <v>454312</v>
      </c>
      <c r="Q320" s="78">
        <f t="shared" si="4"/>
        <v>-70100</v>
      </c>
    </row>
    <row r="321" spans="1:17" x14ac:dyDescent="0.3">
      <c r="A321" s="177" t="s">
        <v>162</v>
      </c>
      <c r="B321" s="177" t="s">
        <v>2426</v>
      </c>
      <c r="C321" s="78" t="s">
        <v>2427</v>
      </c>
      <c r="D321" s="78">
        <v>0</v>
      </c>
      <c r="E321" s="78">
        <v>-127280.3410309</v>
      </c>
      <c r="F321" s="78">
        <v>-127280.3410309</v>
      </c>
      <c r="G321" s="78">
        <v>-127280.3410309</v>
      </c>
      <c r="H321" s="78">
        <v>-118734.1174757</v>
      </c>
      <c r="I321" s="78">
        <v>-118734.1174757</v>
      </c>
      <c r="J321" s="78">
        <v>-118734.1174757</v>
      </c>
      <c r="K321" s="78">
        <v>-114461.0056982</v>
      </c>
      <c r="L321" s="78">
        <v>-114461.0056982</v>
      </c>
      <c r="M321" s="78">
        <v>-114461.0056982</v>
      </c>
      <c r="N321" s="78">
        <v>-110187.89392060001</v>
      </c>
      <c r="O321" s="78">
        <v>-110187.89392060001</v>
      </c>
      <c r="P321" s="78">
        <v>-88818.335032600007</v>
      </c>
      <c r="Q321" s="78">
        <f t="shared" si="4"/>
        <v>-1390620.5154881999</v>
      </c>
    </row>
    <row r="322" spans="1:17" x14ac:dyDescent="0.3">
      <c r="A322" s="177" t="s">
        <v>162</v>
      </c>
      <c r="B322" s="177" t="s">
        <v>2476</v>
      </c>
      <c r="C322" s="78" t="s">
        <v>2477</v>
      </c>
      <c r="D322" s="78">
        <v>0</v>
      </c>
      <c r="E322" s="78">
        <v>-70724.495466399996</v>
      </c>
      <c r="F322" s="78">
        <v>-69825.342176599996</v>
      </c>
      <c r="G322" s="78">
        <v>-69825.342176599996</v>
      </c>
      <c r="H322" s="78">
        <v>-70274.918821500003</v>
      </c>
      <c r="I322" s="78">
        <v>-70724.495466399996</v>
      </c>
      <c r="J322" s="78">
        <v>-69375.764550199994</v>
      </c>
      <c r="K322" s="78">
        <v>-70724.495466399996</v>
      </c>
      <c r="L322" s="78">
        <v>-70274.918821500003</v>
      </c>
      <c r="M322" s="78">
        <v>-69825.342176599996</v>
      </c>
      <c r="N322" s="78">
        <v>-70724.495466399996</v>
      </c>
      <c r="O322" s="78">
        <v>-69825.342176599996</v>
      </c>
      <c r="P322" s="78">
        <v>-69954.918821500003</v>
      </c>
      <c r="Q322" s="78">
        <f t="shared" si="4"/>
        <v>-842079.87158669997</v>
      </c>
    </row>
    <row r="323" spans="1:17" x14ac:dyDescent="0.3">
      <c r="A323" s="177" t="s">
        <v>162</v>
      </c>
      <c r="B323" s="177" t="s">
        <v>2484</v>
      </c>
      <c r="C323" s="78" t="s">
        <v>2485</v>
      </c>
      <c r="D323" s="78">
        <v>0</v>
      </c>
      <c r="E323" s="78">
        <v>483</v>
      </c>
      <c r="F323" s="78">
        <v>483</v>
      </c>
      <c r="G323" s="78">
        <v>484</v>
      </c>
      <c r="H323" s="78">
        <v>483</v>
      </c>
      <c r="I323" s="78">
        <v>483</v>
      </c>
      <c r="J323" s="78">
        <v>484</v>
      </c>
      <c r="K323" s="78">
        <v>483</v>
      </c>
      <c r="L323" s="78">
        <v>483</v>
      </c>
      <c r="M323" s="78">
        <v>484</v>
      </c>
      <c r="N323" s="78">
        <v>483</v>
      </c>
      <c r="O323" s="78">
        <v>483</v>
      </c>
      <c r="P323" s="78">
        <v>484</v>
      </c>
      <c r="Q323" s="78">
        <f t="shared" si="4"/>
        <v>5800</v>
      </c>
    </row>
    <row r="324" spans="1:17" x14ac:dyDescent="0.3">
      <c r="A324" s="177" t="s">
        <v>162</v>
      </c>
      <c r="B324" s="177" t="s">
        <v>2486</v>
      </c>
      <c r="C324" s="78" t="s">
        <v>2487</v>
      </c>
      <c r="D324" s="78">
        <v>0</v>
      </c>
      <c r="E324" s="78">
        <v>517</v>
      </c>
      <c r="F324" s="78">
        <v>549</v>
      </c>
      <c r="G324" s="78">
        <v>491</v>
      </c>
      <c r="H324" s="78">
        <v>442</v>
      </c>
      <c r="I324" s="78">
        <v>901</v>
      </c>
      <c r="J324" s="78">
        <v>441</v>
      </c>
      <c r="K324" s="78">
        <v>442</v>
      </c>
      <c r="L324" s="78">
        <v>455</v>
      </c>
      <c r="M324" s="78">
        <v>499</v>
      </c>
      <c r="N324" s="78">
        <v>522</v>
      </c>
      <c r="O324" s="78">
        <v>458</v>
      </c>
      <c r="P324" s="78">
        <v>469</v>
      </c>
      <c r="Q324" s="78">
        <f t="shared" si="4"/>
        <v>6186</v>
      </c>
    </row>
    <row r="325" spans="1:17" x14ac:dyDescent="0.3">
      <c r="A325" s="177" t="s">
        <v>162</v>
      </c>
      <c r="B325" s="177" t="s">
        <v>2490</v>
      </c>
      <c r="C325" s="78" t="s">
        <v>2491</v>
      </c>
      <c r="D325" s="78">
        <v>0</v>
      </c>
      <c r="E325" s="78">
        <v>1375</v>
      </c>
      <c r="F325" s="78">
        <v>1375</v>
      </c>
      <c r="G325" s="78">
        <v>1375</v>
      </c>
      <c r="H325" s="78">
        <v>1375</v>
      </c>
      <c r="I325" s="78">
        <v>1375</v>
      </c>
      <c r="J325" s="78">
        <v>1375</v>
      </c>
      <c r="K325" s="78">
        <v>1375</v>
      </c>
      <c r="L325" s="78">
        <v>1375</v>
      </c>
      <c r="M325" s="78">
        <v>1375</v>
      </c>
      <c r="N325" s="78">
        <v>1375</v>
      </c>
      <c r="O325" s="78">
        <v>1375</v>
      </c>
      <c r="P325" s="78">
        <v>1375</v>
      </c>
      <c r="Q325" s="78">
        <f t="shared" si="4"/>
        <v>16500</v>
      </c>
    </row>
    <row r="326" spans="1:17" x14ac:dyDescent="0.3">
      <c r="A326" s="177" t="s">
        <v>162</v>
      </c>
      <c r="B326" s="177" t="s">
        <v>2492</v>
      </c>
      <c r="C326" s="78" t="s">
        <v>2493</v>
      </c>
      <c r="D326" s="78">
        <v>0</v>
      </c>
      <c r="E326" s="78">
        <v>6365.25</v>
      </c>
      <c r="F326" s="78">
        <v>17523.84375</v>
      </c>
      <c r="G326" s="78">
        <v>15816.09375</v>
      </c>
      <c r="H326" s="78">
        <v>22527.421875</v>
      </c>
      <c r="I326" s="78">
        <v>13705.918750000001</v>
      </c>
      <c r="J326" s="78">
        <v>34198.125</v>
      </c>
      <c r="K326" s="78">
        <v>16520.109375</v>
      </c>
      <c r="L326" s="78">
        <v>8777.5562499999996</v>
      </c>
      <c r="M326" s="78">
        <v>10414.6875</v>
      </c>
      <c r="N326" s="78">
        <v>21880.546875</v>
      </c>
      <c r="O326" s="78">
        <v>9467.5562499999996</v>
      </c>
      <c r="P326" s="78">
        <v>23035.21875</v>
      </c>
      <c r="Q326" s="78">
        <f t="shared" si="4"/>
        <v>200232.328125</v>
      </c>
    </row>
    <row r="327" spans="1:17" x14ac:dyDescent="0.3">
      <c r="A327" s="177" t="s">
        <v>162</v>
      </c>
      <c r="B327" s="177" t="s">
        <v>2494</v>
      </c>
      <c r="C327" s="78" t="s">
        <v>2495</v>
      </c>
      <c r="D327" s="78">
        <v>0</v>
      </c>
      <c r="E327" s="78">
        <v>717</v>
      </c>
      <c r="F327" s="78">
        <v>717</v>
      </c>
      <c r="G327" s="78">
        <v>717</v>
      </c>
      <c r="H327" s="78">
        <v>717</v>
      </c>
      <c r="I327" s="78">
        <v>717</v>
      </c>
      <c r="J327" s="78">
        <v>717</v>
      </c>
      <c r="K327" s="78">
        <v>717</v>
      </c>
      <c r="L327" s="78">
        <v>717</v>
      </c>
      <c r="M327" s="78">
        <v>717</v>
      </c>
      <c r="N327" s="78">
        <v>717</v>
      </c>
      <c r="O327" s="78">
        <v>717</v>
      </c>
      <c r="P327" s="78">
        <v>1417</v>
      </c>
      <c r="Q327" s="78">
        <f t="shared" si="4"/>
        <v>9304</v>
      </c>
    </row>
    <row r="328" spans="1:17" x14ac:dyDescent="0.3">
      <c r="A328" s="177" t="s">
        <v>162</v>
      </c>
      <c r="B328" s="177" t="s">
        <v>2496</v>
      </c>
      <c r="C328" s="78" t="s">
        <v>2497</v>
      </c>
      <c r="D328" s="78">
        <v>0</v>
      </c>
      <c r="E328" s="78">
        <v>21154.685144800002</v>
      </c>
      <c r="F328" s="78">
        <v>19621.669918299998</v>
      </c>
      <c r="G328" s="78">
        <v>19621.669918299998</v>
      </c>
      <c r="H328" s="78">
        <v>20388.177531599998</v>
      </c>
      <c r="I328" s="78">
        <v>21154.685144800002</v>
      </c>
      <c r="J328" s="78">
        <v>19017.127847399999</v>
      </c>
      <c r="K328" s="78">
        <v>21340.947447300001</v>
      </c>
      <c r="L328" s="78">
        <v>20566.3414777</v>
      </c>
      <c r="M328" s="78">
        <v>26791.735508099999</v>
      </c>
      <c r="N328" s="78">
        <v>21340.947447300001</v>
      </c>
      <c r="O328" s="78">
        <v>19791.735508099999</v>
      </c>
      <c r="P328" s="78">
        <v>20566.3414777</v>
      </c>
      <c r="Q328" s="78">
        <f t="shared" si="4"/>
        <v>251356.06437139999</v>
      </c>
    </row>
    <row r="329" spans="1:17" x14ac:dyDescent="0.3">
      <c r="A329" s="177" t="s">
        <v>162</v>
      </c>
      <c r="B329" s="177" t="s">
        <v>2506</v>
      </c>
      <c r="C329" s="78" t="s">
        <v>2507</v>
      </c>
      <c r="D329" s="78">
        <v>0</v>
      </c>
      <c r="E329" s="78">
        <v>6599.33</v>
      </c>
      <c r="F329" s="78">
        <v>6599.33</v>
      </c>
      <c r="G329" s="78">
        <v>6599.33</v>
      </c>
      <c r="H329" s="78">
        <v>6599.33</v>
      </c>
      <c r="I329" s="78">
        <v>6599.33</v>
      </c>
      <c r="J329" s="78">
        <v>6599.33</v>
      </c>
      <c r="K329" s="78">
        <v>6599.33</v>
      </c>
      <c r="L329" s="78">
        <v>6599.33</v>
      </c>
      <c r="M329" s="78">
        <v>6599.33</v>
      </c>
      <c r="N329" s="78">
        <v>6599.33</v>
      </c>
      <c r="O329" s="78">
        <v>6599.33</v>
      </c>
      <c r="P329" s="78">
        <v>6599.33</v>
      </c>
      <c r="Q329" s="78">
        <f t="shared" si="4"/>
        <v>79191.960000000006</v>
      </c>
    </row>
    <row r="330" spans="1:17" x14ac:dyDescent="0.3">
      <c r="A330" s="177" t="s">
        <v>162</v>
      </c>
      <c r="B330" s="177" t="s">
        <v>2514</v>
      </c>
      <c r="C330" s="78" t="s">
        <v>2515</v>
      </c>
      <c r="D330" s="78">
        <v>0</v>
      </c>
      <c r="E330" s="78">
        <v>0</v>
      </c>
      <c r="F330" s="78">
        <v>20000</v>
      </c>
      <c r="G330" s="78">
        <v>20000</v>
      </c>
      <c r="H330" s="78">
        <v>20000</v>
      </c>
      <c r="I330" s="78">
        <v>0</v>
      </c>
      <c r="J330" s="78">
        <v>0</v>
      </c>
      <c r="K330" s="78">
        <v>0</v>
      </c>
      <c r="L330" s="78">
        <v>20000</v>
      </c>
      <c r="M330" s="78">
        <v>20000</v>
      </c>
      <c r="N330" s="78">
        <v>20000</v>
      </c>
      <c r="O330" s="78">
        <v>0</v>
      </c>
      <c r="P330" s="78">
        <v>0</v>
      </c>
      <c r="Q330" s="78">
        <f t="shared" si="4"/>
        <v>120000</v>
      </c>
    </row>
    <row r="331" spans="1:17" x14ac:dyDescent="0.3">
      <c r="A331" s="177" t="s">
        <v>162</v>
      </c>
      <c r="B331" s="177" t="s">
        <v>2518</v>
      </c>
      <c r="C331" s="78" t="s">
        <v>2519</v>
      </c>
      <c r="D331" s="78">
        <v>0</v>
      </c>
      <c r="E331" s="78">
        <v>883042.33333329996</v>
      </c>
      <c r="F331" s="78">
        <v>-1916957.6666667</v>
      </c>
      <c r="G331" s="78">
        <v>-2360007.6666667</v>
      </c>
      <c r="H331" s="78">
        <v>883042.33333329996</v>
      </c>
      <c r="I331" s="78">
        <v>883042.33333329996</v>
      </c>
      <c r="J331" s="78">
        <v>929992.33333329996</v>
      </c>
      <c r="K331" s="78">
        <v>883042.33333329996</v>
      </c>
      <c r="L331" s="78">
        <v>883042.33333329996</v>
      </c>
      <c r="M331" s="78">
        <v>941992.33333329996</v>
      </c>
      <c r="N331" s="78">
        <v>933042.33333329996</v>
      </c>
      <c r="O331" s="78">
        <v>883042.33333329996</v>
      </c>
      <c r="P331" s="78">
        <v>944992.33333329996</v>
      </c>
      <c r="Q331" s="78">
        <f t="shared" si="4"/>
        <v>4771307.9999995995</v>
      </c>
    </row>
    <row r="332" spans="1:17" x14ac:dyDescent="0.3">
      <c r="A332" s="177" t="s">
        <v>162</v>
      </c>
      <c r="B332" s="177" t="s">
        <v>2530</v>
      </c>
      <c r="C332" s="78" t="s">
        <v>2531</v>
      </c>
      <c r="D332" s="78">
        <v>0</v>
      </c>
      <c r="E332" s="78">
        <v>0</v>
      </c>
      <c r="F332" s="78">
        <v>0</v>
      </c>
      <c r="G332" s="78">
        <v>0</v>
      </c>
      <c r="H332" s="78">
        <v>0</v>
      </c>
      <c r="I332" s="78">
        <v>0</v>
      </c>
      <c r="J332" s="78">
        <v>0</v>
      </c>
      <c r="K332" s="78">
        <v>0</v>
      </c>
      <c r="L332" s="78">
        <v>3828</v>
      </c>
      <c r="M332" s="78">
        <v>0</v>
      </c>
      <c r="N332" s="78">
        <v>0</v>
      </c>
      <c r="O332" s="78">
        <v>0</v>
      </c>
      <c r="P332" s="78">
        <v>249352</v>
      </c>
      <c r="Q332" s="78">
        <f t="shared" si="4"/>
        <v>253180</v>
      </c>
    </row>
    <row r="333" spans="1:17" x14ac:dyDescent="0.3">
      <c r="A333" s="177" t="s">
        <v>162</v>
      </c>
      <c r="B333" s="177" t="s">
        <v>2534</v>
      </c>
      <c r="C333" s="78" t="s">
        <v>2535</v>
      </c>
      <c r="D333" s="78">
        <v>0</v>
      </c>
      <c r="E333" s="78">
        <v>685733.95072129997</v>
      </c>
      <c r="F333" s="78">
        <v>472555.60032129998</v>
      </c>
      <c r="G333" s="78">
        <v>443827.6731213</v>
      </c>
      <c r="H333" s="78">
        <v>729597.95072129997</v>
      </c>
      <c r="I333" s="78">
        <v>473085.34992140002</v>
      </c>
      <c r="J333" s="78">
        <v>486232.9218214</v>
      </c>
      <c r="K333" s="78">
        <v>750612.20102140005</v>
      </c>
      <c r="L333" s="78">
        <v>552741.95828809997</v>
      </c>
      <c r="M333" s="78">
        <v>513221.945488</v>
      </c>
      <c r="N333" s="78">
        <v>698297.62668800005</v>
      </c>
      <c r="O333" s="78">
        <v>612300.14815469994</v>
      </c>
      <c r="P333" s="78">
        <v>544105.56255459995</v>
      </c>
      <c r="Q333" s="78">
        <f t="shared" si="4"/>
        <v>6962312.8888228005</v>
      </c>
    </row>
    <row r="334" spans="1:17" x14ac:dyDescent="0.3">
      <c r="A334" s="177" t="s">
        <v>162</v>
      </c>
      <c r="B334" s="177" t="s">
        <v>2536</v>
      </c>
      <c r="C334" s="78" t="s">
        <v>2537</v>
      </c>
      <c r="D334" s="78">
        <v>0</v>
      </c>
      <c r="E334" s="78">
        <v>-10468.088383800001</v>
      </c>
      <c r="F334" s="78">
        <v>-10468.088383800001</v>
      </c>
      <c r="G334" s="78">
        <v>-10468.088383800001</v>
      </c>
      <c r="H334" s="78">
        <v>-10468.088383800001</v>
      </c>
      <c r="I334" s="78">
        <v>-10468.088383800001</v>
      </c>
      <c r="J334" s="78">
        <v>-10468.088383800001</v>
      </c>
      <c r="K334" s="78">
        <v>-10468.088383800001</v>
      </c>
      <c r="L334" s="78">
        <v>-10468.088383800001</v>
      </c>
      <c r="M334" s="78">
        <v>-10468.088383800001</v>
      </c>
      <c r="N334" s="78">
        <v>-10468.088383800001</v>
      </c>
      <c r="O334" s="78">
        <v>-10468.088383800001</v>
      </c>
      <c r="P334" s="78">
        <v>-10468.088383800001</v>
      </c>
      <c r="Q334" s="78">
        <f t="shared" si="4"/>
        <v>-125617.06060560001</v>
      </c>
    </row>
    <row r="335" spans="1:17" x14ac:dyDescent="0.3">
      <c r="A335" s="177" t="s">
        <v>162</v>
      </c>
      <c r="B335" s="177" t="s">
        <v>2546</v>
      </c>
      <c r="C335" s="78" t="s">
        <v>2547</v>
      </c>
      <c r="D335" s="78">
        <v>0</v>
      </c>
      <c r="E335" s="78">
        <v>1416</v>
      </c>
      <c r="F335" s="78">
        <v>1325</v>
      </c>
      <c r="G335" s="78">
        <v>1416</v>
      </c>
      <c r="H335" s="78">
        <v>1370</v>
      </c>
      <c r="I335" s="78">
        <v>1416</v>
      </c>
      <c r="J335" s="78">
        <v>757</v>
      </c>
      <c r="K335" s="78">
        <v>0</v>
      </c>
      <c r="L335" s="78">
        <v>0</v>
      </c>
      <c r="M335" s="78">
        <v>2350</v>
      </c>
      <c r="N335" s="78">
        <v>0</v>
      </c>
      <c r="O335" s="78">
        <v>0</v>
      </c>
      <c r="P335" s="78">
        <v>0</v>
      </c>
      <c r="Q335" s="78">
        <f t="shared" ref="Q335:Q398" si="5">SUM(D335:P335)</f>
        <v>10050</v>
      </c>
    </row>
    <row r="336" spans="1:17" x14ac:dyDescent="0.3">
      <c r="A336" s="177" t="s">
        <v>162</v>
      </c>
      <c r="B336" s="177" t="s">
        <v>2549</v>
      </c>
      <c r="C336" s="78" t="s">
        <v>2550</v>
      </c>
      <c r="D336" s="78">
        <v>0</v>
      </c>
      <c r="E336" s="78">
        <v>83</v>
      </c>
      <c r="F336" s="78">
        <v>83</v>
      </c>
      <c r="G336" s="78">
        <v>83</v>
      </c>
      <c r="H336" s="78">
        <v>83</v>
      </c>
      <c r="I336" s="78">
        <v>83</v>
      </c>
      <c r="J336" s="78">
        <v>298</v>
      </c>
      <c r="K336" s="78">
        <v>283</v>
      </c>
      <c r="L336" s="78">
        <v>83</v>
      </c>
      <c r="M336" s="78">
        <v>83</v>
      </c>
      <c r="N336" s="78">
        <v>83</v>
      </c>
      <c r="O336" s="78">
        <v>83</v>
      </c>
      <c r="P336" s="78">
        <v>83</v>
      </c>
      <c r="Q336" s="78">
        <f t="shared" si="5"/>
        <v>1411</v>
      </c>
    </row>
    <row r="337" spans="1:17" x14ac:dyDescent="0.3">
      <c r="A337" s="177" t="s">
        <v>162</v>
      </c>
      <c r="B337" s="177" t="s">
        <v>2551</v>
      </c>
      <c r="C337" s="78" t="s">
        <v>2552</v>
      </c>
      <c r="D337" s="78">
        <v>0</v>
      </c>
      <c r="E337" s="78">
        <v>667</v>
      </c>
      <c r="F337" s="78">
        <v>667</v>
      </c>
      <c r="G337" s="78">
        <v>667</v>
      </c>
      <c r="H337" s="78">
        <v>667</v>
      </c>
      <c r="I337" s="78">
        <v>667</v>
      </c>
      <c r="J337" s="78">
        <v>667</v>
      </c>
      <c r="K337" s="78">
        <v>667</v>
      </c>
      <c r="L337" s="78">
        <v>667</v>
      </c>
      <c r="M337" s="78">
        <v>667</v>
      </c>
      <c r="N337" s="78">
        <v>667</v>
      </c>
      <c r="O337" s="78">
        <v>667</v>
      </c>
      <c r="P337" s="78">
        <v>667</v>
      </c>
      <c r="Q337" s="78">
        <f t="shared" si="5"/>
        <v>8004</v>
      </c>
    </row>
    <row r="338" spans="1:17" x14ac:dyDescent="0.3">
      <c r="A338" s="177" t="s">
        <v>162</v>
      </c>
      <c r="B338" s="177" t="s">
        <v>2565</v>
      </c>
      <c r="C338" s="78" t="s">
        <v>2566</v>
      </c>
      <c r="D338" s="78">
        <v>0</v>
      </c>
      <c r="E338" s="78">
        <v>2792</v>
      </c>
      <c r="F338" s="78">
        <v>-113208</v>
      </c>
      <c r="G338" s="78">
        <v>-337208</v>
      </c>
      <c r="H338" s="78">
        <v>-97208</v>
      </c>
      <c r="I338" s="78">
        <v>-297208</v>
      </c>
      <c r="J338" s="78">
        <v>102792</v>
      </c>
      <c r="K338" s="78">
        <v>102792</v>
      </c>
      <c r="L338" s="78">
        <v>102792</v>
      </c>
      <c r="M338" s="78">
        <v>2792</v>
      </c>
      <c r="N338" s="78">
        <v>2792</v>
      </c>
      <c r="O338" s="78">
        <v>2792</v>
      </c>
      <c r="P338" s="78">
        <v>272792</v>
      </c>
      <c r="Q338" s="78">
        <f t="shared" si="5"/>
        <v>-252496</v>
      </c>
    </row>
    <row r="339" spans="1:17" x14ac:dyDescent="0.3">
      <c r="A339" s="177" t="s">
        <v>162</v>
      </c>
      <c r="B339" s="177" t="s">
        <v>2569</v>
      </c>
      <c r="C339" s="78" t="s">
        <v>2570</v>
      </c>
      <c r="D339" s="78">
        <v>0</v>
      </c>
      <c r="E339" s="78">
        <v>0</v>
      </c>
      <c r="F339" s="78">
        <v>0</v>
      </c>
      <c r="G339" s="78">
        <v>419</v>
      </c>
      <c r="H339" s="78">
        <v>26</v>
      </c>
      <c r="I339" s="78">
        <v>15</v>
      </c>
      <c r="J339" s="78">
        <v>61</v>
      </c>
      <c r="K339" s="78">
        <v>93</v>
      </c>
      <c r="L339" s="78">
        <v>834</v>
      </c>
      <c r="M339" s="78">
        <v>0</v>
      </c>
      <c r="N339" s="78">
        <v>226</v>
      </c>
      <c r="O339" s="78">
        <v>0</v>
      </c>
      <c r="P339" s="78">
        <v>467</v>
      </c>
      <c r="Q339" s="78">
        <f t="shared" si="5"/>
        <v>2141</v>
      </c>
    </row>
    <row r="340" spans="1:17" x14ac:dyDescent="0.3">
      <c r="A340" s="177" t="s">
        <v>162</v>
      </c>
      <c r="B340" s="177" t="s">
        <v>2575</v>
      </c>
      <c r="C340" s="78" t="s">
        <v>2576</v>
      </c>
      <c r="D340" s="78">
        <v>0</v>
      </c>
      <c r="E340" s="78">
        <v>5958</v>
      </c>
      <c r="F340" s="78">
        <v>5958</v>
      </c>
      <c r="G340" s="78">
        <v>5959</v>
      </c>
      <c r="H340" s="78">
        <v>5958</v>
      </c>
      <c r="I340" s="78">
        <v>5958</v>
      </c>
      <c r="J340" s="78">
        <v>5959</v>
      </c>
      <c r="K340" s="78">
        <v>5958</v>
      </c>
      <c r="L340" s="78">
        <v>5958</v>
      </c>
      <c r="M340" s="78">
        <v>5959</v>
      </c>
      <c r="N340" s="78">
        <v>5958</v>
      </c>
      <c r="O340" s="78">
        <v>5958</v>
      </c>
      <c r="P340" s="78">
        <v>5959</v>
      </c>
      <c r="Q340" s="78">
        <f t="shared" si="5"/>
        <v>71500</v>
      </c>
    </row>
    <row r="341" spans="1:17" x14ac:dyDescent="0.3">
      <c r="A341" s="177" t="s">
        <v>162</v>
      </c>
      <c r="B341" s="177" t="s">
        <v>2655</v>
      </c>
      <c r="C341" s="78" t="s">
        <v>2656</v>
      </c>
      <c r="D341" s="78">
        <v>0</v>
      </c>
      <c r="E341" s="78">
        <v>2512.0833333</v>
      </c>
      <c r="F341" s="78">
        <v>2512.0833333</v>
      </c>
      <c r="G341" s="78">
        <v>2512.0833333</v>
      </c>
      <c r="H341" s="78">
        <v>2512.0833333</v>
      </c>
      <c r="I341" s="78">
        <v>2512.0833333</v>
      </c>
      <c r="J341" s="78">
        <v>2576.6666666000001</v>
      </c>
      <c r="K341" s="78">
        <v>2576.6666666000001</v>
      </c>
      <c r="L341" s="78">
        <v>2576.6666666000001</v>
      </c>
      <c r="M341" s="78">
        <v>2576.6666666000001</v>
      </c>
      <c r="N341" s="78">
        <v>8262.6666666000001</v>
      </c>
      <c r="O341" s="78">
        <v>2576.6666666000001</v>
      </c>
      <c r="P341" s="78">
        <v>2576.6666666000001</v>
      </c>
      <c r="Q341" s="78">
        <f t="shared" si="5"/>
        <v>36283.083332700007</v>
      </c>
    </row>
    <row r="342" spans="1:17" x14ac:dyDescent="0.3">
      <c r="A342" s="177" t="s">
        <v>162</v>
      </c>
      <c r="B342" s="177" t="s">
        <v>2671</v>
      </c>
      <c r="C342" s="78" t="s">
        <v>2672</v>
      </c>
      <c r="D342" s="78">
        <v>0</v>
      </c>
      <c r="E342" s="78">
        <v>0</v>
      </c>
      <c r="F342" s="78">
        <v>0</v>
      </c>
      <c r="G342" s="78">
        <v>-33360</v>
      </c>
      <c r="H342" s="78">
        <v>-33360</v>
      </c>
      <c r="I342" s="78">
        <v>-33360</v>
      </c>
      <c r="J342" s="78">
        <v>-33360</v>
      </c>
      <c r="K342" s="78">
        <v>-33360</v>
      </c>
      <c r="L342" s="78">
        <v>-33360</v>
      </c>
      <c r="M342" s="78">
        <v>-33360</v>
      </c>
      <c r="N342" s="78">
        <v>-33360</v>
      </c>
      <c r="O342" s="78">
        <v>-33360</v>
      </c>
      <c r="P342" s="78">
        <v>-33395</v>
      </c>
      <c r="Q342" s="78">
        <f t="shared" si="5"/>
        <v>-333635</v>
      </c>
    </row>
    <row r="343" spans="1:17" x14ac:dyDescent="0.3">
      <c r="A343" s="177" t="s">
        <v>162</v>
      </c>
      <c r="B343" s="177" t="s">
        <v>2673</v>
      </c>
      <c r="C343" s="78" t="s">
        <v>2674</v>
      </c>
      <c r="D343" s="78">
        <v>0</v>
      </c>
      <c r="E343" s="78">
        <v>-26000</v>
      </c>
      <c r="F343" s="78">
        <v>-26000</v>
      </c>
      <c r="G343" s="78">
        <v>-26000</v>
      </c>
      <c r="H343" s="78">
        <v>-26000</v>
      </c>
      <c r="I343" s="78">
        <v>-26000</v>
      </c>
      <c r="J343" s="78">
        <v>-26000</v>
      </c>
      <c r="K343" s="78">
        <v>-26000</v>
      </c>
      <c r="L343" s="78">
        <v>-26000</v>
      </c>
      <c r="M343" s="78">
        <v>-26000</v>
      </c>
      <c r="N343" s="78">
        <v>-26000</v>
      </c>
      <c r="O343" s="78">
        <v>-26000</v>
      </c>
      <c r="P343" s="78">
        <v>-26000</v>
      </c>
      <c r="Q343" s="78">
        <f t="shared" si="5"/>
        <v>-312000</v>
      </c>
    </row>
    <row r="344" spans="1:17" x14ac:dyDescent="0.3">
      <c r="A344" s="177" t="s">
        <v>162</v>
      </c>
      <c r="B344" s="177" t="s">
        <v>2723</v>
      </c>
      <c r="C344" s="78" t="s">
        <v>2724</v>
      </c>
      <c r="D344" s="78">
        <v>0</v>
      </c>
      <c r="E344" s="78">
        <v>60749.999999899999</v>
      </c>
      <c r="F344" s="78">
        <v>60749.999999899999</v>
      </c>
      <c r="G344" s="78">
        <v>60749.999999899999</v>
      </c>
      <c r="H344" s="78">
        <v>60749.999999899999</v>
      </c>
      <c r="I344" s="78">
        <v>60749.999999899999</v>
      </c>
      <c r="J344" s="78">
        <v>60749.999999899999</v>
      </c>
      <c r="K344" s="78">
        <v>60749.999999899999</v>
      </c>
      <c r="L344" s="78">
        <v>60749.999999899999</v>
      </c>
      <c r="M344" s="78">
        <v>60749.999999899999</v>
      </c>
      <c r="N344" s="78">
        <v>60749.999999899999</v>
      </c>
      <c r="O344" s="78">
        <v>60749.999999899999</v>
      </c>
      <c r="P344" s="78">
        <v>60749.999999899999</v>
      </c>
      <c r="Q344" s="78">
        <f t="shared" si="5"/>
        <v>728999.99999879999</v>
      </c>
    </row>
    <row r="345" spans="1:17" x14ac:dyDescent="0.3">
      <c r="A345" s="177" t="s">
        <v>162</v>
      </c>
      <c r="B345" s="177" t="s">
        <v>2727</v>
      </c>
      <c r="C345" s="78" t="s">
        <v>2728</v>
      </c>
      <c r="D345" s="78">
        <v>0</v>
      </c>
      <c r="E345" s="78">
        <v>-63250</v>
      </c>
      <c r="F345" s="78">
        <v>-63250</v>
      </c>
      <c r="G345" s="78">
        <v>-63250</v>
      </c>
      <c r="H345" s="78">
        <v>-63250</v>
      </c>
      <c r="I345" s="78">
        <v>-63250</v>
      </c>
      <c r="J345" s="78">
        <v>-63250</v>
      </c>
      <c r="K345" s="78">
        <v>-63250</v>
      </c>
      <c r="L345" s="78">
        <v>-63250</v>
      </c>
      <c r="M345" s="78">
        <v>-63250</v>
      </c>
      <c r="N345" s="78">
        <v>-63250</v>
      </c>
      <c r="O345" s="78">
        <v>-63250</v>
      </c>
      <c r="P345" s="78">
        <v>-63250</v>
      </c>
      <c r="Q345" s="78">
        <f t="shared" si="5"/>
        <v>-759000</v>
      </c>
    </row>
    <row r="346" spans="1:17" x14ac:dyDescent="0.3">
      <c r="A346" s="177" t="s">
        <v>162</v>
      </c>
      <c r="B346" s="177" t="s">
        <v>2743</v>
      </c>
      <c r="C346" s="78" t="s">
        <v>2744</v>
      </c>
      <c r="D346" s="78">
        <v>0</v>
      </c>
      <c r="E346" s="78">
        <v>3237612.43</v>
      </c>
      <c r="F346" s="78">
        <v>3236921.96</v>
      </c>
      <c r="G346" s="78">
        <v>3239234.65</v>
      </c>
      <c r="H346" s="78">
        <v>3252155.68</v>
      </c>
      <c r="I346" s="78">
        <v>3254792.51</v>
      </c>
      <c r="J346" s="78">
        <v>3255851.18</v>
      </c>
      <c r="K346" s="78">
        <v>3257231.75</v>
      </c>
      <c r="L346" s="78">
        <v>3257107.28</v>
      </c>
      <c r="M346" s="78">
        <v>3256191.75</v>
      </c>
      <c r="N346" s="78">
        <v>3392179.91</v>
      </c>
      <c r="O346" s="78">
        <v>3568979.56</v>
      </c>
      <c r="P346" s="78">
        <v>3583273.81</v>
      </c>
      <c r="Q346" s="78">
        <f t="shared" si="5"/>
        <v>39791532.470000006</v>
      </c>
    </row>
    <row r="347" spans="1:17" x14ac:dyDescent="0.3">
      <c r="A347" s="177" t="s">
        <v>162</v>
      </c>
      <c r="B347" s="177" t="s">
        <v>2745</v>
      </c>
      <c r="C347" s="78" t="s">
        <v>2746</v>
      </c>
      <c r="D347" s="78">
        <v>0</v>
      </c>
      <c r="E347" s="78">
        <v>15479.11</v>
      </c>
      <c r="F347" s="78">
        <v>15479.11</v>
      </c>
      <c r="G347" s="78">
        <v>15479.11</v>
      </c>
      <c r="H347" s="78">
        <v>15479.11</v>
      </c>
      <c r="I347" s="78">
        <v>15479.11</v>
      </c>
      <c r="J347" s="78">
        <v>15479.11</v>
      </c>
      <c r="K347" s="78">
        <v>15479.11</v>
      </c>
      <c r="L347" s="78">
        <v>15479.11</v>
      </c>
      <c r="M347" s="78">
        <v>15479.11</v>
      </c>
      <c r="N347" s="78">
        <v>15479.11</v>
      </c>
      <c r="O347" s="78">
        <v>15479.11</v>
      </c>
      <c r="P347" s="78">
        <v>15479.11</v>
      </c>
      <c r="Q347" s="78">
        <f t="shared" si="5"/>
        <v>185749.31999999995</v>
      </c>
    </row>
    <row r="348" spans="1:17" x14ac:dyDescent="0.3">
      <c r="A348" s="177" t="s">
        <v>162</v>
      </c>
      <c r="B348" s="177" t="s">
        <v>2747</v>
      </c>
      <c r="C348" s="78" t="s">
        <v>2748</v>
      </c>
      <c r="D348" s="78">
        <v>0</v>
      </c>
      <c r="E348" s="78">
        <v>4246.62</v>
      </c>
      <c r="F348" s="78">
        <v>4246.62</v>
      </c>
      <c r="G348" s="78">
        <v>4246.62</v>
      </c>
      <c r="H348" s="78">
        <v>4246.62</v>
      </c>
      <c r="I348" s="78">
        <v>4246.62</v>
      </c>
      <c r="J348" s="78">
        <v>4246.62</v>
      </c>
      <c r="K348" s="78">
        <v>4246.62</v>
      </c>
      <c r="L348" s="78">
        <v>4246.62</v>
      </c>
      <c r="M348" s="78">
        <v>4246.62</v>
      </c>
      <c r="N348" s="78">
        <v>4246.62</v>
      </c>
      <c r="O348" s="78">
        <v>4246.62</v>
      </c>
      <c r="P348" s="78">
        <v>4246.62</v>
      </c>
      <c r="Q348" s="78">
        <f t="shared" si="5"/>
        <v>50959.44000000001</v>
      </c>
    </row>
    <row r="349" spans="1:17" x14ac:dyDescent="0.3">
      <c r="A349" s="177" t="s">
        <v>162</v>
      </c>
      <c r="B349" s="177" t="s">
        <v>2751</v>
      </c>
      <c r="C349" s="78" t="s">
        <v>2752</v>
      </c>
      <c r="D349" s="78">
        <v>0</v>
      </c>
      <c r="E349" s="78">
        <v>37693374.600000001</v>
      </c>
      <c r="F349" s="78">
        <v>37722967.579999998</v>
      </c>
      <c r="G349" s="78">
        <v>38156277.460000001</v>
      </c>
      <c r="H349" s="78">
        <v>38287962.170000002</v>
      </c>
      <c r="I349" s="78">
        <v>39262422.939999998</v>
      </c>
      <c r="J349" s="78">
        <v>39897008.07</v>
      </c>
      <c r="K349" s="78">
        <v>40531015.649999999</v>
      </c>
      <c r="L349" s="78">
        <v>40727556.719999999</v>
      </c>
      <c r="M349" s="78">
        <v>40882091.130000003</v>
      </c>
      <c r="N349" s="78">
        <v>40987158.609999999</v>
      </c>
      <c r="O349" s="78">
        <v>41079665.049999997</v>
      </c>
      <c r="P349" s="78">
        <v>41168566.729999997</v>
      </c>
      <c r="Q349" s="78">
        <f t="shared" si="5"/>
        <v>476396066.70999998</v>
      </c>
    </row>
    <row r="350" spans="1:17" x14ac:dyDescent="0.3">
      <c r="A350" s="177" t="s">
        <v>162</v>
      </c>
      <c r="B350" s="177" t="s">
        <v>2753</v>
      </c>
      <c r="C350" s="78" t="s">
        <v>2754</v>
      </c>
      <c r="D350" s="78">
        <v>0</v>
      </c>
      <c r="E350" s="78">
        <v>8019.6</v>
      </c>
      <c r="F350" s="78">
        <v>8019.6</v>
      </c>
      <c r="G350" s="78">
        <v>8019.6</v>
      </c>
      <c r="H350" s="78">
        <v>8019.6</v>
      </c>
      <c r="I350" s="78">
        <v>8019.6</v>
      </c>
      <c r="J350" s="78">
        <v>8019.6</v>
      </c>
      <c r="K350" s="78">
        <v>8019.6</v>
      </c>
      <c r="L350" s="78">
        <v>8019.6</v>
      </c>
      <c r="M350" s="78">
        <v>8019.6</v>
      </c>
      <c r="N350" s="78">
        <v>8019.6</v>
      </c>
      <c r="O350" s="78">
        <v>8019.6</v>
      </c>
      <c r="P350" s="78">
        <v>8019.6</v>
      </c>
      <c r="Q350" s="78">
        <f t="shared" si="5"/>
        <v>96235.200000000012</v>
      </c>
    </row>
    <row r="351" spans="1:17" x14ac:dyDescent="0.3">
      <c r="A351" s="177" t="s">
        <v>162</v>
      </c>
      <c r="B351" s="177" t="s">
        <v>2757</v>
      </c>
      <c r="C351" s="78" t="s">
        <v>2758</v>
      </c>
      <c r="D351" s="78">
        <v>0</v>
      </c>
      <c r="E351" s="78">
        <v>1453532.67</v>
      </c>
      <c r="F351" s="78">
        <v>1453532.67</v>
      </c>
      <c r="G351" s="78">
        <v>1453532.67</v>
      </c>
      <c r="H351" s="78">
        <v>1453532.67</v>
      </c>
      <c r="I351" s="78">
        <v>1453532.67</v>
      </c>
      <c r="J351" s="78">
        <v>1453532.67</v>
      </c>
      <c r="K351" s="78">
        <v>1453532.67</v>
      </c>
      <c r="L351" s="78">
        <v>1453532.67</v>
      </c>
      <c r="M351" s="78">
        <v>1453532.67</v>
      </c>
      <c r="N351" s="78">
        <v>1453532.67</v>
      </c>
      <c r="O351" s="78">
        <v>1453532.67</v>
      </c>
      <c r="P351" s="78">
        <v>1453532.67</v>
      </c>
      <c r="Q351" s="78">
        <f t="shared" si="5"/>
        <v>17442392.039999999</v>
      </c>
    </row>
    <row r="352" spans="1:17" x14ac:dyDescent="0.3">
      <c r="A352" s="177" t="s">
        <v>162</v>
      </c>
      <c r="B352" s="177" t="s">
        <v>2771</v>
      </c>
      <c r="C352" s="78" t="s">
        <v>2772</v>
      </c>
      <c r="D352" s="78">
        <v>0</v>
      </c>
      <c r="E352" s="78">
        <v>590488.26095849997</v>
      </c>
      <c r="F352" s="78">
        <v>552153.78273710003</v>
      </c>
      <c r="G352" s="78">
        <v>478734.33818600001</v>
      </c>
      <c r="H352" s="78">
        <v>561758.11696120002</v>
      </c>
      <c r="I352" s="78">
        <v>812215.89015340002</v>
      </c>
      <c r="J352" s="78">
        <v>466282.23525299999</v>
      </c>
      <c r="K352" s="78">
        <v>565897.95069590001</v>
      </c>
      <c r="L352" s="78">
        <v>502066.1738778</v>
      </c>
      <c r="M352" s="78">
        <v>513801.1329582</v>
      </c>
      <c r="N352" s="78">
        <v>757553.20605359995</v>
      </c>
      <c r="O352" s="78">
        <v>454631.62229849998</v>
      </c>
      <c r="P352" s="78">
        <v>505890.14874189999</v>
      </c>
      <c r="Q352" s="78">
        <f t="shared" si="5"/>
        <v>6761472.8588750996</v>
      </c>
    </row>
    <row r="353" spans="1:17" x14ac:dyDescent="0.3">
      <c r="A353" s="177" t="s">
        <v>162</v>
      </c>
      <c r="B353" s="177" t="s">
        <v>2781</v>
      </c>
      <c r="C353" s="78" t="s">
        <v>2782</v>
      </c>
      <c r="D353" s="78">
        <v>0</v>
      </c>
      <c r="E353" s="78">
        <v>-557889.69095850002</v>
      </c>
      <c r="F353" s="78">
        <v>-519555.21273710002</v>
      </c>
      <c r="G353" s="78">
        <v>-446135.768186</v>
      </c>
      <c r="H353" s="78">
        <v>-529159.54696119996</v>
      </c>
      <c r="I353" s="78">
        <v>-779617.32015339995</v>
      </c>
      <c r="J353" s="78">
        <v>-433683.66525299998</v>
      </c>
      <c r="K353" s="78">
        <v>-533299.38069589995</v>
      </c>
      <c r="L353" s="78">
        <v>-469467.60387779999</v>
      </c>
      <c r="M353" s="78">
        <v>-481202.5629582</v>
      </c>
      <c r="N353" s="78">
        <v>-724954.6360536</v>
      </c>
      <c r="O353" s="78">
        <v>-422033.05229850003</v>
      </c>
      <c r="P353" s="78">
        <v>-473291.57874189998</v>
      </c>
      <c r="Q353" s="78">
        <f t="shared" si="5"/>
        <v>-6370290.0188751006</v>
      </c>
    </row>
    <row r="354" spans="1:17" x14ac:dyDescent="0.3">
      <c r="A354" s="177" t="s">
        <v>162</v>
      </c>
      <c r="B354" s="177" t="s">
        <v>2797</v>
      </c>
      <c r="C354" s="78" t="s">
        <v>2798</v>
      </c>
      <c r="D354" s="78">
        <v>0</v>
      </c>
      <c r="E354" s="78">
        <v>3349541.01</v>
      </c>
      <c r="F354" s="78">
        <v>3658499.68</v>
      </c>
      <c r="G354" s="78">
        <v>3877695.73</v>
      </c>
      <c r="H354" s="78">
        <v>3848217.69</v>
      </c>
      <c r="I354" s="78">
        <v>3298357.6</v>
      </c>
      <c r="J354" s="78">
        <v>2471278.0299999998</v>
      </c>
      <c r="K354" s="78">
        <v>2173673.31</v>
      </c>
      <c r="L354" s="78">
        <v>2411683.16</v>
      </c>
      <c r="M354" s="78">
        <v>2571129.9300000002</v>
      </c>
      <c r="N354" s="78">
        <v>2647905.7400000002</v>
      </c>
      <c r="O354" s="78">
        <v>2706993.1</v>
      </c>
      <c r="P354" s="78">
        <v>2339546.1800000002</v>
      </c>
      <c r="Q354" s="78">
        <f t="shared" si="5"/>
        <v>35354521.160000004</v>
      </c>
    </row>
    <row r="355" spans="1:17" x14ac:dyDescent="0.3">
      <c r="A355" s="177" t="s">
        <v>162</v>
      </c>
      <c r="B355" s="177" t="s">
        <v>2824</v>
      </c>
      <c r="C355" s="78" t="s">
        <v>2825</v>
      </c>
      <c r="D355" s="78">
        <v>0</v>
      </c>
      <c r="E355" s="78">
        <v>-1091555.26</v>
      </c>
      <c r="F355" s="78">
        <v>-1192239.32</v>
      </c>
      <c r="G355" s="78">
        <v>-1263671.3500000001</v>
      </c>
      <c r="H355" s="78">
        <v>-1254065.05</v>
      </c>
      <c r="I355" s="78">
        <v>-1074875.48</v>
      </c>
      <c r="J355" s="78">
        <v>-805345.08</v>
      </c>
      <c r="K355" s="78">
        <v>-708361.09</v>
      </c>
      <c r="L355" s="78">
        <v>-785924.21</v>
      </c>
      <c r="M355" s="78">
        <v>-837885.07</v>
      </c>
      <c r="N355" s="78">
        <v>-862904.92</v>
      </c>
      <c r="O355" s="78">
        <v>-882160.4</v>
      </c>
      <c r="P355" s="78">
        <v>-762416.08</v>
      </c>
      <c r="Q355" s="78">
        <f t="shared" si="5"/>
        <v>-11521403.310000001</v>
      </c>
    </row>
    <row r="356" spans="1:17" x14ac:dyDescent="0.3">
      <c r="A356" s="177" t="s">
        <v>162</v>
      </c>
      <c r="B356" s="177" t="s">
        <v>2834</v>
      </c>
      <c r="C356" s="78" t="s">
        <v>2835</v>
      </c>
      <c r="D356" s="78">
        <v>0</v>
      </c>
      <c r="E356" s="78">
        <v>1993196.7781006999</v>
      </c>
      <c r="F356" s="78">
        <v>2096277.8163009</v>
      </c>
      <c r="G356" s="78">
        <v>1626894.8009981001</v>
      </c>
      <c r="H356" s="78">
        <v>940781.01555300003</v>
      </c>
      <c r="I356" s="78">
        <v>1010233.9931639</v>
      </c>
      <c r="J356" s="78">
        <v>1166515.7405230999</v>
      </c>
      <c r="K356" s="78">
        <v>1210252.5940704001</v>
      </c>
      <c r="L356" s="78">
        <v>1341492.0590532001</v>
      </c>
      <c r="M356" s="78">
        <v>1492643.5267703</v>
      </c>
      <c r="N356" s="78">
        <v>1280837.5406885999</v>
      </c>
      <c r="O356" s="78">
        <v>1457789.7420599</v>
      </c>
      <c r="P356" s="78">
        <v>1729570.1675245999</v>
      </c>
      <c r="Q356" s="78">
        <f t="shared" si="5"/>
        <v>17346485.774806701</v>
      </c>
    </row>
    <row r="357" spans="1:17" x14ac:dyDescent="0.3">
      <c r="A357" s="177" t="s">
        <v>162</v>
      </c>
      <c r="B357" s="177" t="s">
        <v>2858</v>
      </c>
      <c r="C357" s="78" t="s">
        <v>2859</v>
      </c>
      <c r="D357" s="78">
        <v>0</v>
      </c>
      <c r="E357" s="78">
        <v>231096.03</v>
      </c>
      <c r="F357" s="78">
        <v>263911</v>
      </c>
      <c r="G357" s="78">
        <v>278398.63</v>
      </c>
      <c r="H357" s="78">
        <v>257239.5</v>
      </c>
      <c r="I357" s="78">
        <v>274397.5</v>
      </c>
      <c r="J357" s="78">
        <v>262347.53999999998</v>
      </c>
      <c r="K357" s="78">
        <v>830629.9</v>
      </c>
      <c r="L357" s="78">
        <v>543550.16</v>
      </c>
      <c r="M357" s="78">
        <v>282579.14</v>
      </c>
      <c r="N357" s="78">
        <v>286493.40000000002</v>
      </c>
      <c r="O357" s="78">
        <v>294453.76000000001</v>
      </c>
      <c r="P357" s="78">
        <v>262036.34</v>
      </c>
      <c r="Q357" s="78">
        <f t="shared" si="5"/>
        <v>4067132.9000000004</v>
      </c>
    </row>
    <row r="358" spans="1:17" x14ac:dyDescent="0.3">
      <c r="A358" s="177" t="s">
        <v>162</v>
      </c>
      <c r="B358" s="177" t="s">
        <v>2860</v>
      </c>
      <c r="C358" s="78" t="s">
        <v>2861</v>
      </c>
      <c r="D358" s="78">
        <v>0</v>
      </c>
      <c r="E358" s="78">
        <v>884803.97</v>
      </c>
      <c r="F358" s="78">
        <v>-422765.68</v>
      </c>
      <c r="G358" s="78">
        <v>-7299205.6900000004</v>
      </c>
      <c r="H358" s="78">
        <v>211334.94</v>
      </c>
      <c r="I358" s="78">
        <v>3991733.86</v>
      </c>
      <c r="J358" s="78">
        <v>5694650.8799999999</v>
      </c>
      <c r="K358" s="78">
        <v>7203196.3200000003</v>
      </c>
      <c r="L358" s="78">
        <v>7874529.75</v>
      </c>
      <c r="M358" s="78">
        <v>4089965.18</v>
      </c>
      <c r="N358" s="78">
        <v>2467110.77</v>
      </c>
      <c r="O358" s="78">
        <v>-1631355.48</v>
      </c>
      <c r="P358" s="78">
        <v>-1965912.5</v>
      </c>
      <c r="Q358" s="78">
        <f t="shared" si="5"/>
        <v>21098086.32</v>
      </c>
    </row>
    <row r="359" spans="1:17" x14ac:dyDescent="0.3">
      <c r="A359" s="177" t="s">
        <v>162</v>
      </c>
      <c r="B359" s="177" t="s">
        <v>2862</v>
      </c>
      <c r="C359" s="78" t="s">
        <v>2863</v>
      </c>
      <c r="D359" s="78">
        <v>0</v>
      </c>
      <c r="E359" s="78">
        <v>64047.78</v>
      </c>
      <c r="F359" s="78">
        <v>73142.38</v>
      </c>
      <c r="G359" s="78">
        <v>77157.59</v>
      </c>
      <c r="H359" s="78">
        <v>71293.39</v>
      </c>
      <c r="I359" s="78">
        <v>76048.69</v>
      </c>
      <c r="J359" s="78">
        <v>72709.070000000007</v>
      </c>
      <c r="K359" s="78">
        <v>230207.32</v>
      </c>
      <c r="L359" s="78">
        <v>150643.79</v>
      </c>
      <c r="M359" s="78">
        <v>78316.210000000006</v>
      </c>
      <c r="N359" s="78">
        <v>79401.05</v>
      </c>
      <c r="O359" s="78">
        <v>81607.240000000005</v>
      </c>
      <c r="P359" s="78">
        <v>72622.820000000007</v>
      </c>
      <c r="Q359" s="78">
        <f t="shared" si="5"/>
        <v>1127197.33</v>
      </c>
    </row>
    <row r="360" spans="1:17" x14ac:dyDescent="0.3">
      <c r="A360" s="177" t="s">
        <v>162</v>
      </c>
      <c r="B360" s="177" t="s">
        <v>2864</v>
      </c>
      <c r="C360" s="78" t="s">
        <v>2865</v>
      </c>
      <c r="D360" s="78">
        <v>0</v>
      </c>
      <c r="E360" s="78">
        <v>202497.86</v>
      </c>
      <c r="F360" s="78">
        <v>-159892.32999999999</v>
      </c>
      <c r="G360" s="78">
        <v>-1812775.1</v>
      </c>
      <c r="H360" s="78">
        <v>15847.33</v>
      </c>
      <c r="I360" s="78">
        <v>1063576.94</v>
      </c>
      <c r="J360" s="78">
        <v>1788444.9</v>
      </c>
      <c r="K360" s="78">
        <v>1953627</v>
      </c>
      <c r="L360" s="78">
        <v>2139685.65</v>
      </c>
      <c r="M360" s="78">
        <v>1343709.64</v>
      </c>
      <c r="N360" s="78">
        <v>641030.86</v>
      </c>
      <c r="O360" s="78">
        <v>-494850.44</v>
      </c>
      <c r="P360" s="78">
        <v>-334664.12</v>
      </c>
      <c r="Q360" s="78">
        <f t="shared" si="5"/>
        <v>6346238.1899999995</v>
      </c>
    </row>
    <row r="361" spans="1:17" x14ac:dyDescent="0.3">
      <c r="A361" s="177" t="s">
        <v>162</v>
      </c>
      <c r="B361" s="177" t="s">
        <v>2866</v>
      </c>
      <c r="C361" s="78" t="s">
        <v>2867</v>
      </c>
      <c r="D361" s="78">
        <v>0</v>
      </c>
      <c r="E361" s="78">
        <v>6496004.4800000004</v>
      </c>
      <c r="F361" s="78">
        <v>6543816.4100000001</v>
      </c>
      <c r="G361" s="78">
        <v>17504589.52</v>
      </c>
      <c r="H361" s="78">
        <v>6831184.7300000004</v>
      </c>
      <c r="I361" s="78">
        <v>6449820.9500000002</v>
      </c>
      <c r="J361" s="78">
        <v>6847281.7999999998</v>
      </c>
      <c r="K361" s="78">
        <v>6264039.3799999999</v>
      </c>
      <c r="L361" s="78">
        <v>6399316.0199999996</v>
      </c>
      <c r="M361" s="78">
        <v>6885829.2599999998</v>
      </c>
      <c r="N361" s="78">
        <v>6374722.1699999999</v>
      </c>
      <c r="O361" s="78">
        <v>6339710.1299999999</v>
      </c>
      <c r="P361" s="78">
        <v>13534296.050000001</v>
      </c>
      <c r="Q361" s="78">
        <f t="shared" si="5"/>
        <v>96470610.900000006</v>
      </c>
    </row>
    <row r="362" spans="1:17" x14ac:dyDescent="0.3">
      <c r="A362" s="177" t="s">
        <v>162</v>
      </c>
      <c r="B362" s="177" t="s">
        <v>2870</v>
      </c>
      <c r="C362" s="78" t="s">
        <v>2871</v>
      </c>
      <c r="D362" s="78">
        <v>0</v>
      </c>
      <c r="E362" s="78">
        <v>-6252674.5999999996</v>
      </c>
      <c r="F362" s="78">
        <v>-21762362.379999999</v>
      </c>
      <c r="G362" s="78">
        <v>-7467603.5599999996</v>
      </c>
      <c r="H362" s="78">
        <v>-33498495.73</v>
      </c>
      <c r="I362" s="78">
        <v>-8265369.9100000001</v>
      </c>
      <c r="J362" s="78">
        <v>-8908659.8900000006</v>
      </c>
      <c r="K362" s="78">
        <v>-7622693.6799999997</v>
      </c>
      <c r="L362" s="78">
        <v>-7855332.4199999999</v>
      </c>
      <c r="M362" s="78">
        <v>-18165749.149999999</v>
      </c>
      <c r="N362" s="78">
        <v>-7330009.04</v>
      </c>
      <c r="O362" s="78">
        <v>-6241975.7599999998</v>
      </c>
      <c r="P362" s="78">
        <v>-9116908.4600000009</v>
      </c>
      <c r="Q362" s="78">
        <f t="shared" si="5"/>
        <v>-142487834.58000001</v>
      </c>
    </row>
    <row r="363" spans="1:17" x14ac:dyDescent="0.3">
      <c r="A363" s="177" t="s">
        <v>162</v>
      </c>
      <c r="B363" s="177" t="s">
        <v>2874</v>
      </c>
      <c r="C363" s="78" t="s">
        <v>2063</v>
      </c>
      <c r="D363" s="78">
        <v>0</v>
      </c>
      <c r="E363" s="78">
        <v>8704.31</v>
      </c>
      <c r="F363" s="78">
        <v>8704.32</v>
      </c>
      <c r="G363" s="78">
        <v>8704.31</v>
      </c>
      <c r="H363" s="78">
        <v>8704.32</v>
      </c>
      <c r="I363" s="78">
        <v>8704.31</v>
      </c>
      <c r="J363" s="78">
        <v>8704.32</v>
      </c>
      <c r="K363" s="78">
        <v>8704.31</v>
      </c>
      <c r="L363" s="78">
        <v>8704.32</v>
      </c>
      <c r="M363" s="78">
        <v>8704.31</v>
      </c>
      <c r="N363" s="78">
        <v>8704.32</v>
      </c>
      <c r="O363" s="78">
        <v>8704.31</v>
      </c>
      <c r="P363" s="78">
        <v>8704.32</v>
      </c>
      <c r="Q363" s="78">
        <f t="shared" si="5"/>
        <v>104451.78</v>
      </c>
    </row>
    <row r="364" spans="1:17" x14ac:dyDescent="0.3">
      <c r="A364" s="177" t="s">
        <v>162</v>
      </c>
      <c r="B364" s="177" t="s">
        <v>2875</v>
      </c>
      <c r="C364" s="78" t="s">
        <v>2876</v>
      </c>
      <c r="D364" s="78">
        <v>0</v>
      </c>
      <c r="E364" s="78">
        <v>-158260.26999999999</v>
      </c>
      <c r="F364" s="78">
        <v>-158260.26999999999</v>
      </c>
      <c r="G364" s="78">
        <v>-158260.26999999999</v>
      </c>
      <c r="H364" s="78">
        <v>-158260.26999999999</v>
      </c>
      <c r="I364" s="78">
        <v>-158260.26999999999</v>
      </c>
      <c r="J364" s="78">
        <v>-158260.26999999999</v>
      </c>
      <c r="K364" s="78">
        <v>-158260.26999999999</v>
      </c>
      <c r="L364" s="78">
        <v>-158260.26999999999</v>
      </c>
      <c r="M364" s="78">
        <v>-158260.26999999999</v>
      </c>
      <c r="N364" s="78">
        <v>-158260.26999999999</v>
      </c>
      <c r="O364" s="78">
        <v>-158260.26999999999</v>
      </c>
      <c r="P364" s="78">
        <v>-158260.26999999999</v>
      </c>
      <c r="Q364" s="78">
        <f t="shared" si="5"/>
        <v>-1899123.24</v>
      </c>
    </row>
    <row r="365" spans="1:17" x14ac:dyDescent="0.3">
      <c r="A365" s="177" t="s">
        <v>162</v>
      </c>
      <c r="B365" s="177" t="s">
        <v>2877</v>
      </c>
      <c r="C365" s="78" t="s">
        <v>2878</v>
      </c>
      <c r="D365" s="78">
        <v>0</v>
      </c>
      <c r="E365" s="78">
        <v>2345439.6800000002</v>
      </c>
      <c r="F365" s="78">
        <v>2360392.63</v>
      </c>
      <c r="G365" s="78">
        <v>3854124.9</v>
      </c>
      <c r="H365" s="78">
        <v>2435346.42</v>
      </c>
      <c r="I365" s="78">
        <v>2332948.4300000002</v>
      </c>
      <c r="J365" s="78">
        <v>2190970.2400000002</v>
      </c>
      <c r="K365" s="78">
        <v>2282993.9300000002</v>
      </c>
      <c r="L365" s="78">
        <v>2315754.27</v>
      </c>
      <c r="M365" s="78">
        <v>2195717.66</v>
      </c>
      <c r="N365" s="78">
        <v>2310172.65</v>
      </c>
      <c r="O365" s="78">
        <v>2305205.9700000002</v>
      </c>
      <c r="P365" s="78">
        <v>2392137.12</v>
      </c>
      <c r="Q365" s="78">
        <f t="shared" si="5"/>
        <v>29321203.899999999</v>
      </c>
    </row>
    <row r="366" spans="1:17" x14ac:dyDescent="0.3">
      <c r="A366" s="177" t="s">
        <v>162</v>
      </c>
      <c r="B366" s="177" t="s">
        <v>2879</v>
      </c>
      <c r="C366" s="78" t="s">
        <v>2880</v>
      </c>
      <c r="D366" s="78">
        <v>0</v>
      </c>
      <c r="E366" s="78">
        <v>-672768.28</v>
      </c>
      <c r="F366" s="78">
        <v>-674124.44</v>
      </c>
      <c r="G366" s="78">
        <v>-611571.31000000006</v>
      </c>
      <c r="H366" s="78">
        <v>-679843.07</v>
      </c>
      <c r="I366" s="78">
        <v>-685523.9</v>
      </c>
      <c r="J366" s="78">
        <v>-854275.52</v>
      </c>
      <c r="K366" s="78">
        <v>-709351.01</v>
      </c>
      <c r="L366" s="78">
        <v>-797667.32</v>
      </c>
      <c r="M366" s="78">
        <v>-836612.44</v>
      </c>
      <c r="N366" s="78">
        <v>-781923.07</v>
      </c>
      <c r="O366" s="78">
        <v>-666035.43000000005</v>
      </c>
      <c r="P366" s="78">
        <v>-913088.94</v>
      </c>
      <c r="Q366" s="78">
        <f t="shared" si="5"/>
        <v>-8882784.7300000004</v>
      </c>
    </row>
    <row r="367" spans="1:17" x14ac:dyDescent="0.3">
      <c r="A367" s="177" t="s">
        <v>162</v>
      </c>
      <c r="B367" s="177" t="s">
        <v>2884</v>
      </c>
      <c r="C367" s="78" t="s">
        <v>2885</v>
      </c>
      <c r="D367" s="78">
        <v>0</v>
      </c>
      <c r="E367" s="78">
        <v>-55345.2</v>
      </c>
      <c r="F367" s="78">
        <v>-55345.2</v>
      </c>
      <c r="G367" s="78">
        <v>-55345.2</v>
      </c>
      <c r="H367" s="78">
        <v>-55345.19</v>
      </c>
      <c r="I367" s="78">
        <v>-55345.2</v>
      </c>
      <c r="J367" s="78">
        <v>-55345.2</v>
      </c>
      <c r="K367" s="78">
        <v>-55345.2</v>
      </c>
      <c r="L367" s="78">
        <v>-55345.2</v>
      </c>
      <c r="M367" s="78">
        <v>-55345.2</v>
      </c>
      <c r="N367" s="78">
        <v>-55345.19</v>
      </c>
      <c r="O367" s="78">
        <v>-55345.2</v>
      </c>
      <c r="P367" s="78">
        <v>-55345.2</v>
      </c>
      <c r="Q367" s="78">
        <f t="shared" si="5"/>
        <v>-664142.37999999989</v>
      </c>
    </row>
    <row r="368" spans="1:17" x14ac:dyDescent="0.3">
      <c r="A368" s="177" t="s">
        <v>162</v>
      </c>
      <c r="B368" s="177" t="s">
        <v>2886</v>
      </c>
      <c r="C368" s="78" t="s">
        <v>2887</v>
      </c>
      <c r="D368" s="78">
        <v>0</v>
      </c>
      <c r="E368" s="78">
        <v>-823442.24</v>
      </c>
      <c r="F368" s="78">
        <v>14389257.73</v>
      </c>
      <c r="G368" s="78">
        <v>-950214.23</v>
      </c>
      <c r="H368" s="78">
        <v>24696854.77</v>
      </c>
      <c r="I368" s="78">
        <v>-1163940.9099999999</v>
      </c>
      <c r="J368" s="78">
        <v>-1163940.8799999999</v>
      </c>
      <c r="K368" s="78">
        <v>-1163940.8799999999</v>
      </c>
      <c r="L368" s="78">
        <v>-1163940.9099999999</v>
      </c>
      <c r="M368" s="78">
        <v>-1163940.8799999999</v>
      </c>
      <c r="N368" s="78">
        <v>-1163940.8799999999</v>
      </c>
      <c r="O368" s="78">
        <v>-1163940.9099999999</v>
      </c>
      <c r="P368" s="78">
        <v>280412.32</v>
      </c>
      <c r="Q368" s="78">
        <f t="shared" si="5"/>
        <v>29445282.100000001</v>
      </c>
    </row>
    <row r="369" spans="1:17" x14ac:dyDescent="0.3">
      <c r="A369" s="177" t="s">
        <v>162</v>
      </c>
      <c r="B369" s="177" t="s">
        <v>2888</v>
      </c>
      <c r="C369" s="78" t="s">
        <v>2889</v>
      </c>
      <c r="D369" s="78">
        <v>0</v>
      </c>
      <c r="E369" s="78">
        <v>-927.92</v>
      </c>
      <c r="F369" s="78">
        <v>-927.91</v>
      </c>
      <c r="G369" s="78">
        <v>-927.92</v>
      </c>
      <c r="H369" s="78">
        <v>-927.92</v>
      </c>
      <c r="I369" s="78">
        <v>-927.91</v>
      </c>
      <c r="J369" s="78">
        <v>-927.92</v>
      </c>
      <c r="K369" s="78">
        <v>-927.92</v>
      </c>
      <c r="L369" s="78">
        <v>-927.91</v>
      </c>
      <c r="M369" s="78">
        <v>-927.92</v>
      </c>
      <c r="N369" s="78">
        <v>-927.92</v>
      </c>
      <c r="O369" s="78">
        <v>-927.91</v>
      </c>
      <c r="P369" s="78">
        <v>-927.92</v>
      </c>
      <c r="Q369" s="78">
        <f t="shared" si="5"/>
        <v>-11135</v>
      </c>
    </row>
    <row r="370" spans="1:17" x14ac:dyDescent="0.3">
      <c r="A370" s="177" t="s">
        <v>162</v>
      </c>
      <c r="B370" s="177" t="s">
        <v>2920</v>
      </c>
      <c r="C370" s="78" t="s">
        <v>2921</v>
      </c>
      <c r="D370" s="78">
        <v>0</v>
      </c>
      <c r="E370" s="78">
        <v>-986568.2153715</v>
      </c>
      <c r="F370" s="78">
        <v>-945354.12588970002</v>
      </c>
      <c r="G370" s="78">
        <v>-945354.12588970002</v>
      </c>
      <c r="H370" s="78">
        <v>-976157.60789660004</v>
      </c>
      <c r="I370" s="78">
        <v>-997228.12677440001</v>
      </c>
      <c r="J370" s="78">
        <v>-934016.52415149997</v>
      </c>
      <c r="K370" s="78">
        <v>-997228.12677440001</v>
      </c>
      <c r="L370" s="78">
        <v>-976157.60789660004</v>
      </c>
      <c r="M370" s="78">
        <v>-955087.08902960003</v>
      </c>
      <c r="N370" s="78">
        <v>-997228.12677440001</v>
      </c>
      <c r="O370" s="78">
        <v>-955087.08902960003</v>
      </c>
      <c r="P370" s="78">
        <v>-976157.60789660004</v>
      </c>
      <c r="Q370" s="78">
        <f t="shared" si="5"/>
        <v>-11641624.373374602</v>
      </c>
    </row>
    <row r="371" spans="1:17" x14ac:dyDescent="0.3">
      <c r="A371" s="177" t="s">
        <v>162</v>
      </c>
      <c r="B371" s="177" t="s">
        <v>3352</v>
      </c>
      <c r="C371" s="78" t="s">
        <v>3353</v>
      </c>
      <c r="D371" s="78">
        <v>0</v>
      </c>
      <c r="E371" s="78">
        <v>30374.1606651</v>
      </c>
      <c r="F371" s="78">
        <v>30374.1606651</v>
      </c>
      <c r="G371" s="78">
        <v>30374.1606651</v>
      </c>
      <c r="H371" s="78">
        <v>30374.1606651</v>
      </c>
      <c r="I371" s="78">
        <v>30374.1606651</v>
      </c>
      <c r="J371" s="78">
        <v>30374.1606651</v>
      </c>
      <c r="K371" s="78">
        <v>30374.1606651</v>
      </c>
      <c r="L371" s="78">
        <v>30374.1606651</v>
      </c>
      <c r="M371" s="78">
        <v>30374.1606651</v>
      </c>
      <c r="N371" s="78">
        <v>30374.1606651</v>
      </c>
      <c r="O371" s="78">
        <v>30374.1606651</v>
      </c>
      <c r="P371" s="78">
        <v>30374.1606651</v>
      </c>
      <c r="Q371" s="78">
        <f t="shared" si="5"/>
        <v>364489.92798119993</v>
      </c>
    </row>
    <row r="372" spans="1:17" x14ac:dyDescent="0.3">
      <c r="A372" s="177" t="s">
        <v>162</v>
      </c>
      <c r="B372" s="177" t="s">
        <v>3354</v>
      </c>
      <c r="C372" s="78" t="s">
        <v>3355</v>
      </c>
      <c r="D372" s="78">
        <v>0</v>
      </c>
      <c r="E372" s="78">
        <v>-29185</v>
      </c>
      <c r="F372" s="78">
        <v>-63685</v>
      </c>
      <c r="G372" s="78">
        <v>-3685</v>
      </c>
      <c r="H372" s="78">
        <v>-3685</v>
      </c>
      <c r="I372" s="78">
        <v>-48685</v>
      </c>
      <c r="J372" s="78">
        <v>-3685</v>
      </c>
      <c r="K372" s="78">
        <v>-3685</v>
      </c>
      <c r="L372" s="78">
        <v>-3685</v>
      </c>
      <c r="M372" s="78">
        <v>-3685</v>
      </c>
      <c r="N372" s="78">
        <v>-3685</v>
      </c>
      <c r="O372" s="78">
        <v>-3685</v>
      </c>
      <c r="P372" s="78">
        <v>-3685</v>
      </c>
      <c r="Q372" s="78">
        <f t="shared" si="5"/>
        <v>-174720</v>
      </c>
    </row>
    <row r="373" spans="1:17" x14ac:dyDescent="0.3">
      <c r="A373" s="177" t="s">
        <v>162</v>
      </c>
      <c r="B373" s="177" t="s">
        <v>2926</v>
      </c>
      <c r="C373" s="78" t="s">
        <v>2927</v>
      </c>
      <c r="D373" s="78">
        <v>0</v>
      </c>
      <c r="E373" s="78">
        <v>-131577.75534549999</v>
      </c>
      <c r="F373" s="78">
        <v>-116586.30727010001</v>
      </c>
      <c r="G373" s="78">
        <v>-116586.30727010001</v>
      </c>
      <c r="H373" s="78">
        <v>-126718.2089402</v>
      </c>
      <c r="I373" s="78">
        <v>-132478.12410750001</v>
      </c>
      <c r="J373" s="78">
        <v>-115198.3660595</v>
      </c>
      <c r="K373" s="78">
        <v>-132478.12410750001</v>
      </c>
      <c r="L373" s="78">
        <v>-126718.2089402</v>
      </c>
      <c r="M373" s="78">
        <v>-120958.29379349999</v>
      </c>
      <c r="N373" s="78">
        <v>-132478.12410750001</v>
      </c>
      <c r="O373" s="78">
        <v>-120958.29379349999</v>
      </c>
      <c r="P373" s="78">
        <v>-126718.2089402</v>
      </c>
      <c r="Q373" s="78">
        <f t="shared" si="5"/>
        <v>-1499454.3226753001</v>
      </c>
    </row>
    <row r="374" spans="1:17" x14ac:dyDescent="0.3">
      <c r="A374" s="177" t="s">
        <v>162</v>
      </c>
      <c r="B374" s="177" t="s">
        <v>2928</v>
      </c>
      <c r="C374" s="78" t="s">
        <v>2929</v>
      </c>
      <c r="D374" s="78">
        <v>0</v>
      </c>
      <c r="E374" s="78">
        <v>-7143885.2028679997</v>
      </c>
      <c r="F374" s="78">
        <v>-6540668.7825562004</v>
      </c>
      <c r="G374" s="78">
        <v>-6590687.3032569</v>
      </c>
      <c r="H374" s="78">
        <v>-6986560.7556012999</v>
      </c>
      <c r="I374" s="78">
        <v>-7261141.0555531001</v>
      </c>
      <c r="J374" s="78">
        <v>-6342497.1953764996</v>
      </c>
      <c r="K374" s="78">
        <v>-7323984.8440709002</v>
      </c>
      <c r="L374" s="78">
        <v>-7005751.4084134996</v>
      </c>
      <c r="M374" s="78">
        <v>-6702266.4256197</v>
      </c>
      <c r="N374" s="78">
        <v>-7382349.2587021003</v>
      </c>
      <c r="O374" s="78">
        <v>-6714784.7401096998</v>
      </c>
      <c r="P374" s="78">
        <v>-7043097.0966028003</v>
      </c>
      <c r="Q374" s="78">
        <f t="shared" si="5"/>
        <v>-83037674.068730697</v>
      </c>
    </row>
    <row r="375" spans="1:17" x14ac:dyDescent="0.3">
      <c r="A375" s="177" t="s">
        <v>162</v>
      </c>
      <c r="B375" s="177" t="s">
        <v>2930</v>
      </c>
      <c r="C375" s="78" t="s">
        <v>2931</v>
      </c>
      <c r="D375" s="78">
        <v>0</v>
      </c>
      <c r="E375" s="78">
        <v>-414680.17673539999</v>
      </c>
      <c r="F375" s="78">
        <v>-355338.16521220002</v>
      </c>
      <c r="G375" s="78">
        <v>-534515.92324699997</v>
      </c>
      <c r="H375" s="78">
        <v>-355460.2175579</v>
      </c>
      <c r="I375" s="78">
        <v>-384783.03708600003</v>
      </c>
      <c r="J375" s="78">
        <v>-521627.96763650002</v>
      </c>
      <c r="K375" s="78">
        <v>-389029.33152599999</v>
      </c>
      <c r="L375" s="78">
        <v>-355569.46916440001</v>
      </c>
      <c r="M375" s="78">
        <v>-550771.73506540002</v>
      </c>
      <c r="N375" s="78">
        <v>-362482.19203500001</v>
      </c>
      <c r="O375" s="78">
        <v>-385130.80626460002</v>
      </c>
      <c r="P375" s="78">
        <v>-532429.14371500001</v>
      </c>
      <c r="Q375" s="78">
        <f t="shared" si="5"/>
        <v>-5141818.1652453998</v>
      </c>
    </row>
    <row r="376" spans="1:17" x14ac:dyDescent="0.3">
      <c r="A376" s="177" t="s">
        <v>162</v>
      </c>
      <c r="B376" s="177" t="s">
        <v>2932</v>
      </c>
      <c r="C376" s="78" t="s">
        <v>2933</v>
      </c>
      <c r="D376" s="78">
        <v>0</v>
      </c>
      <c r="E376" s="78">
        <v>-1051009.4019303999</v>
      </c>
      <c r="F376" s="78">
        <v>-990812.96097140003</v>
      </c>
      <c r="G376" s="78">
        <v>-1068855.6296769001</v>
      </c>
      <c r="H376" s="78">
        <v>-1145236.5087758</v>
      </c>
      <c r="I376" s="78">
        <v>-1075620.1235181</v>
      </c>
      <c r="J376" s="78">
        <v>-1057028.6935663</v>
      </c>
      <c r="K376" s="78">
        <v>-1142152.4495923</v>
      </c>
      <c r="L376" s="78">
        <v>-1100500.3599167001</v>
      </c>
      <c r="M376" s="78">
        <v>-1041364.7545061</v>
      </c>
      <c r="N376" s="78">
        <v>-1072110.6496549</v>
      </c>
      <c r="O376" s="78">
        <v>-1042397.3117345</v>
      </c>
      <c r="P376" s="78">
        <v>-1093203.8625641</v>
      </c>
      <c r="Q376" s="78">
        <f t="shared" si="5"/>
        <v>-12880292.7064075</v>
      </c>
    </row>
    <row r="377" spans="1:17" x14ac:dyDescent="0.3">
      <c r="A377" s="177" t="s">
        <v>162</v>
      </c>
      <c r="B377" s="177" t="s">
        <v>2934</v>
      </c>
      <c r="C377" s="78" t="s">
        <v>2935</v>
      </c>
      <c r="D377" s="78">
        <v>0</v>
      </c>
      <c r="E377" s="78">
        <v>721463.52841669996</v>
      </c>
      <c r="F377" s="78">
        <v>680249.43893489998</v>
      </c>
      <c r="G377" s="78">
        <v>680249.43893489998</v>
      </c>
      <c r="H377" s="78">
        <v>711052.9209418</v>
      </c>
      <c r="I377" s="78">
        <v>732123.43981959997</v>
      </c>
      <c r="J377" s="78">
        <v>668911.83719670004</v>
      </c>
      <c r="K377" s="78">
        <v>732123.43981959997</v>
      </c>
      <c r="L377" s="78">
        <v>711052.9209418</v>
      </c>
      <c r="M377" s="78">
        <v>689982.40207479999</v>
      </c>
      <c r="N377" s="78">
        <v>732123.43981959997</v>
      </c>
      <c r="O377" s="78">
        <v>689982.40207479999</v>
      </c>
      <c r="P377" s="78">
        <v>711052.9209418</v>
      </c>
      <c r="Q377" s="78">
        <f t="shared" si="5"/>
        <v>8460368.1299169995</v>
      </c>
    </row>
    <row r="378" spans="1:17" x14ac:dyDescent="0.3">
      <c r="A378" s="177" t="s">
        <v>162</v>
      </c>
      <c r="B378" s="177" t="s">
        <v>2936</v>
      </c>
      <c r="C378" s="78" t="s">
        <v>2937</v>
      </c>
      <c r="D378" s="78">
        <v>0</v>
      </c>
      <c r="E378" s="78">
        <v>-19000</v>
      </c>
      <c r="F378" s="78">
        <v>-19000</v>
      </c>
      <c r="G378" s="78">
        <v>-19000</v>
      </c>
      <c r="H378" s="78">
        <v>-19000</v>
      </c>
      <c r="I378" s="78">
        <v>-19000</v>
      </c>
      <c r="J378" s="78">
        <v>-19000</v>
      </c>
      <c r="K378" s="78">
        <v>-19000</v>
      </c>
      <c r="L378" s="78">
        <v>-19000</v>
      </c>
      <c r="M378" s="78">
        <v>-19000</v>
      </c>
      <c r="N378" s="78">
        <v>-19000</v>
      </c>
      <c r="O378" s="78">
        <v>-19000</v>
      </c>
      <c r="P378" s="78">
        <v>-19000</v>
      </c>
      <c r="Q378" s="78">
        <f t="shared" si="5"/>
        <v>-228000</v>
      </c>
    </row>
    <row r="379" spans="1:17" x14ac:dyDescent="0.3">
      <c r="A379" s="177" t="s">
        <v>162</v>
      </c>
      <c r="B379" s="177" t="s">
        <v>2938</v>
      </c>
      <c r="C379" s="78" t="s">
        <v>2939</v>
      </c>
      <c r="D379" s="78">
        <v>0</v>
      </c>
      <c r="E379" s="78">
        <v>-68385.342684999996</v>
      </c>
      <c r="F379" s="78">
        <v>-41435.916894800001</v>
      </c>
      <c r="G379" s="78">
        <v>-47140.021894799997</v>
      </c>
      <c r="H379" s="78">
        <v>-50152.53729</v>
      </c>
      <c r="I379" s="78">
        <v>-49366.987685</v>
      </c>
      <c r="J379" s="78">
        <v>-43104.407890499999</v>
      </c>
      <c r="K379" s="78">
        <v>-51861.657684999998</v>
      </c>
      <c r="L379" s="78">
        <v>-48947.247289999999</v>
      </c>
      <c r="M379" s="78">
        <v>-51680.881894899998</v>
      </c>
      <c r="N379" s="78">
        <v>-59093.397685000004</v>
      </c>
      <c r="O379" s="78">
        <v>-45584.356894899996</v>
      </c>
      <c r="P379" s="78">
        <v>-46018.112289999997</v>
      </c>
      <c r="Q379" s="78">
        <f t="shared" si="5"/>
        <v>-602770.86807989993</v>
      </c>
    </row>
    <row r="380" spans="1:17" x14ac:dyDescent="0.3">
      <c r="A380" s="177" t="s">
        <v>162</v>
      </c>
      <c r="B380" s="177" t="s">
        <v>2940</v>
      </c>
      <c r="C380" s="78" t="s">
        <v>2941</v>
      </c>
      <c r="D380" s="78">
        <v>0</v>
      </c>
      <c r="E380" s="78">
        <v>-41455.112140099998</v>
      </c>
      <c r="F380" s="78">
        <v>-41455.112140099998</v>
      </c>
      <c r="G380" s="78">
        <v>-41455.112140099998</v>
      </c>
      <c r="H380" s="78">
        <v>-41455.112140099998</v>
      </c>
      <c r="I380" s="78">
        <v>-41455.112140099998</v>
      </c>
      <c r="J380" s="78">
        <v>-41455.112140099998</v>
      </c>
      <c r="K380" s="78">
        <v>-41455.112140099998</v>
      </c>
      <c r="L380" s="78">
        <v>-41455.112140099998</v>
      </c>
      <c r="M380" s="78">
        <v>-41455.112140099998</v>
      </c>
      <c r="N380" s="78">
        <v>-41455.112140099998</v>
      </c>
      <c r="O380" s="78">
        <v>-41455.112140099998</v>
      </c>
      <c r="P380" s="78">
        <v>-41455.112140099998</v>
      </c>
      <c r="Q380" s="78">
        <f t="shared" si="5"/>
        <v>-497461.34568119986</v>
      </c>
    </row>
    <row r="381" spans="1:17" x14ac:dyDescent="0.3">
      <c r="A381" s="177" t="s">
        <v>162</v>
      </c>
      <c r="B381" s="177" t="s">
        <v>2942</v>
      </c>
      <c r="C381" s="78" t="s">
        <v>2943</v>
      </c>
      <c r="D381" s="78">
        <v>0</v>
      </c>
      <c r="E381" s="78">
        <v>-32808.1743747</v>
      </c>
      <c r="F381" s="78">
        <v>-30270.461735699999</v>
      </c>
      <c r="G381" s="78">
        <v>-30270.461735699999</v>
      </c>
      <c r="H381" s="78">
        <v>-31539.318055200001</v>
      </c>
      <c r="I381" s="78">
        <v>-32808.1743747</v>
      </c>
      <c r="J381" s="78">
        <v>-29001.602645899999</v>
      </c>
      <c r="K381" s="78">
        <v>-32844.970387900001</v>
      </c>
      <c r="L381" s="78">
        <v>-31574.5142428</v>
      </c>
      <c r="M381" s="78">
        <v>-30304.058097599998</v>
      </c>
      <c r="N381" s="78">
        <v>-32844.970387900001</v>
      </c>
      <c r="O381" s="78">
        <v>-30304.058097599998</v>
      </c>
      <c r="P381" s="78">
        <v>-31574.5142428</v>
      </c>
      <c r="Q381" s="78">
        <f t="shared" si="5"/>
        <v>-376145.27837850002</v>
      </c>
    </row>
    <row r="382" spans="1:17" x14ac:dyDescent="0.3">
      <c r="A382" s="177" t="s">
        <v>162</v>
      </c>
      <c r="B382" s="177" t="s">
        <v>2944</v>
      </c>
      <c r="C382" s="78" t="s">
        <v>2945</v>
      </c>
      <c r="D382" s="78">
        <v>0</v>
      </c>
      <c r="E382" s="78">
        <v>31873.333130899999</v>
      </c>
      <c r="F382" s="78">
        <v>28836.0801431</v>
      </c>
      <c r="G382" s="78">
        <v>29122.167643100001</v>
      </c>
      <c r="H382" s="78">
        <v>30400.831636999999</v>
      </c>
      <c r="I382" s="78">
        <v>31688.833130899999</v>
      </c>
      <c r="J382" s="78">
        <v>27437.8255665</v>
      </c>
      <c r="K382" s="78">
        <v>31635.1706309</v>
      </c>
      <c r="L382" s="78">
        <v>30079.081636999999</v>
      </c>
      <c r="M382" s="78">
        <v>28849.5801431</v>
      </c>
      <c r="N382" s="78">
        <v>31670.833130899999</v>
      </c>
      <c r="O382" s="78">
        <v>28874.3301431</v>
      </c>
      <c r="P382" s="78">
        <v>30119.581636999999</v>
      </c>
      <c r="Q382" s="78">
        <f t="shared" si="5"/>
        <v>360587.64857349999</v>
      </c>
    </row>
    <row r="383" spans="1:17" x14ac:dyDescent="0.3">
      <c r="A383" s="177" t="s">
        <v>162</v>
      </c>
      <c r="B383" s="177" t="s">
        <v>2948</v>
      </c>
      <c r="C383" s="78" t="s">
        <v>2949</v>
      </c>
      <c r="D383" s="78">
        <v>0</v>
      </c>
      <c r="E383" s="78">
        <v>-75791.015322299994</v>
      </c>
      <c r="F383" s="78">
        <v>-69724.351119900006</v>
      </c>
      <c r="G383" s="78">
        <v>-70778.351119900006</v>
      </c>
      <c r="H383" s="78">
        <v>-73126.583221099994</v>
      </c>
      <c r="I383" s="78">
        <v>-75791.015322299994</v>
      </c>
      <c r="J383" s="78">
        <v>-67481.512396100006</v>
      </c>
      <c r="K383" s="78">
        <v>-75791.015322299994</v>
      </c>
      <c r="L383" s="78">
        <v>-73442.783221100006</v>
      </c>
      <c r="M383" s="78">
        <v>-71568.851119900006</v>
      </c>
      <c r="N383" s="78">
        <v>-76054.515322299994</v>
      </c>
      <c r="O383" s="78">
        <v>-69829.7511199</v>
      </c>
      <c r="P383" s="78">
        <v>-74338.6832211</v>
      </c>
      <c r="Q383" s="78">
        <f t="shared" si="5"/>
        <v>-873718.42782820005</v>
      </c>
    </row>
    <row r="384" spans="1:17" x14ac:dyDescent="0.3">
      <c r="A384" s="177" t="s">
        <v>162</v>
      </c>
      <c r="B384" s="177" t="s">
        <v>2950</v>
      </c>
      <c r="C384" s="78" t="s">
        <v>2951</v>
      </c>
      <c r="D384" s="78">
        <v>0</v>
      </c>
      <c r="E384" s="78">
        <v>-59485.202903500001</v>
      </c>
      <c r="F384" s="78">
        <v>-55255.891748599999</v>
      </c>
      <c r="G384" s="78">
        <v>-55255.892035099998</v>
      </c>
      <c r="H384" s="78">
        <v>-57370.5474693</v>
      </c>
      <c r="I384" s="78">
        <v>-96482.351734700002</v>
      </c>
      <c r="J384" s="78">
        <v>-53141.231983799997</v>
      </c>
      <c r="K384" s="78">
        <v>-59485.202903500001</v>
      </c>
      <c r="L384" s="78">
        <v>-57370.5474693</v>
      </c>
      <c r="M384" s="78">
        <v>-55255.892035099998</v>
      </c>
      <c r="N384" s="78">
        <v>-59485.202903500001</v>
      </c>
      <c r="O384" s="78">
        <v>-55255.892035099998</v>
      </c>
      <c r="P384" s="78">
        <v>-57395.499033</v>
      </c>
      <c r="Q384" s="78">
        <f t="shared" si="5"/>
        <v>-721239.35425450001</v>
      </c>
    </row>
    <row r="385" spans="1:17" x14ac:dyDescent="0.3">
      <c r="A385" s="177" t="s">
        <v>162</v>
      </c>
      <c r="B385" s="177" t="s">
        <v>2952</v>
      </c>
      <c r="C385" s="78" t="s">
        <v>2953</v>
      </c>
      <c r="D385" s="78">
        <v>0</v>
      </c>
      <c r="E385" s="78">
        <v>-14437.358573699999</v>
      </c>
      <c r="F385" s="78">
        <v>-13188.847185500001</v>
      </c>
      <c r="G385" s="78">
        <v>-13589.7971855</v>
      </c>
      <c r="H385" s="78">
        <v>-13813.102879599999</v>
      </c>
      <c r="I385" s="78">
        <v>-14437.358573699999</v>
      </c>
      <c r="J385" s="78">
        <v>-12965.540128500001</v>
      </c>
      <c r="K385" s="78">
        <v>-14437.358573699999</v>
      </c>
      <c r="L385" s="78">
        <v>-13813.102879599999</v>
      </c>
      <c r="M385" s="78">
        <v>-13857.097185500001</v>
      </c>
      <c r="N385" s="78">
        <v>-14437.358573699999</v>
      </c>
      <c r="O385" s="78">
        <v>-13188.847185500001</v>
      </c>
      <c r="P385" s="78">
        <v>-14481.352879599999</v>
      </c>
      <c r="Q385" s="78">
        <f t="shared" si="5"/>
        <v>-166647.12180409997</v>
      </c>
    </row>
    <row r="386" spans="1:17" x14ac:dyDescent="0.3">
      <c r="A386" s="177" t="s">
        <v>162</v>
      </c>
      <c r="B386" s="177" t="s">
        <v>2954</v>
      </c>
      <c r="C386" s="78" t="s">
        <v>2955</v>
      </c>
      <c r="D386" s="78">
        <v>0</v>
      </c>
      <c r="E386" s="78">
        <v>-38620.764899200003</v>
      </c>
      <c r="F386" s="78">
        <v>-36814.672781599998</v>
      </c>
      <c r="G386" s="78">
        <v>-36124.446216900003</v>
      </c>
      <c r="H386" s="78">
        <v>-36357.5530564</v>
      </c>
      <c r="I386" s="78">
        <v>-20185.928191399998</v>
      </c>
      <c r="J386" s="78">
        <v>-18213.572865599999</v>
      </c>
      <c r="K386" s="78">
        <v>-19633.478191400001</v>
      </c>
      <c r="L386" s="78">
        <v>-19089.585978700001</v>
      </c>
      <c r="M386" s="78">
        <v>-19088.936266199998</v>
      </c>
      <c r="N386" s="78">
        <v>-20429.778194400002</v>
      </c>
      <c r="O386" s="78">
        <v>-18693.013766200002</v>
      </c>
      <c r="P386" s="78">
        <v>-20412.9217627</v>
      </c>
      <c r="Q386" s="78">
        <f t="shared" si="5"/>
        <v>-303664.65217070002</v>
      </c>
    </row>
    <row r="387" spans="1:17" x14ac:dyDescent="0.3">
      <c r="A387" s="177" t="s">
        <v>162</v>
      </c>
      <c r="B387" s="177" t="s">
        <v>2956</v>
      </c>
      <c r="C387" s="78" t="s">
        <v>2957</v>
      </c>
      <c r="D387" s="78">
        <v>0</v>
      </c>
      <c r="E387" s="78">
        <v>-251900.2649185</v>
      </c>
      <c r="F387" s="78">
        <v>-229108.4288623</v>
      </c>
      <c r="G387" s="78">
        <v>-229108.4288623</v>
      </c>
      <c r="H387" s="78">
        <v>-249019.03525019999</v>
      </c>
      <c r="I387" s="78">
        <v>-260338.07557290001</v>
      </c>
      <c r="J387" s="78">
        <v>-226380.92992309999</v>
      </c>
      <c r="K387" s="78">
        <v>-260338.07557290001</v>
      </c>
      <c r="L387" s="78">
        <v>-249019.03525019999</v>
      </c>
      <c r="M387" s="78">
        <v>-237699.9949552</v>
      </c>
      <c r="N387" s="78">
        <v>-260338.07557290001</v>
      </c>
      <c r="O387" s="78">
        <v>-237699.9949552</v>
      </c>
      <c r="P387" s="78">
        <v>-249019.03525019999</v>
      </c>
      <c r="Q387" s="78">
        <f t="shared" si="5"/>
        <v>-2939969.3749459004</v>
      </c>
    </row>
    <row r="388" spans="1:17" x14ac:dyDescent="0.3">
      <c r="A388" s="177" t="s">
        <v>162</v>
      </c>
      <c r="B388" s="177" t="s">
        <v>2958</v>
      </c>
      <c r="C388" s="78" t="s">
        <v>2959</v>
      </c>
      <c r="D388" s="78">
        <v>0</v>
      </c>
      <c r="E388" s="78">
        <v>115485.0000001</v>
      </c>
      <c r="F388" s="78">
        <v>115485.0000001</v>
      </c>
      <c r="G388" s="78">
        <v>115485.0000001</v>
      </c>
      <c r="H388" s="78">
        <v>115485.0000001</v>
      </c>
      <c r="I388" s="78">
        <v>115485.0000001</v>
      </c>
      <c r="J388" s="78">
        <v>115485.0000001</v>
      </c>
      <c r="K388" s="78">
        <v>115485.0000001</v>
      </c>
      <c r="L388" s="78">
        <v>115485.0000001</v>
      </c>
      <c r="M388" s="78">
        <v>115485.0000001</v>
      </c>
      <c r="N388" s="78">
        <v>115485.0000001</v>
      </c>
      <c r="O388" s="78">
        <v>115485.0000001</v>
      </c>
      <c r="P388" s="78">
        <v>115485.0000001</v>
      </c>
      <c r="Q388" s="78">
        <f t="shared" si="5"/>
        <v>1385820.0000012</v>
      </c>
    </row>
    <row r="389" spans="1:17" x14ac:dyDescent="0.3">
      <c r="A389" s="177" t="s">
        <v>162</v>
      </c>
      <c r="B389" s="177" t="s">
        <v>2960</v>
      </c>
      <c r="C389" s="78" t="s">
        <v>2961</v>
      </c>
      <c r="D389" s="78">
        <v>0</v>
      </c>
      <c r="E389" s="78">
        <v>165</v>
      </c>
      <c r="F389" s="78">
        <v>165</v>
      </c>
      <c r="G389" s="78">
        <v>165</v>
      </c>
      <c r="H389" s="78">
        <v>165</v>
      </c>
      <c r="I389" s="78">
        <v>165</v>
      </c>
      <c r="J389" s="78">
        <v>165</v>
      </c>
      <c r="K389" s="78">
        <v>165</v>
      </c>
      <c r="L389" s="78">
        <v>165</v>
      </c>
      <c r="M389" s="78">
        <v>165</v>
      </c>
      <c r="N389" s="78">
        <v>165</v>
      </c>
      <c r="O389" s="78">
        <v>165</v>
      </c>
      <c r="P389" s="78">
        <v>165</v>
      </c>
      <c r="Q389" s="78">
        <f t="shared" si="5"/>
        <v>1980</v>
      </c>
    </row>
    <row r="390" spans="1:17" x14ac:dyDescent="0.3">
      <c r="A390" s="177" t="s">
        <v>162</v>
      </c>
      <c r="B390" s="177" t="s">
        <v>2962</v>
      </c>
      <c r="C390" s="78" t="s">
        <v>2963</v>
      </c>
      <c r="D390" s="78">
        <v>0</v>
      </c>
      <c r="E390" s="78">
        <v>-25000</v>
      </c>
      <c r="F390" s="78">
        <v>-25000</v>
      </c>
      <c r="G390" s="78">
        <v>-25000</v>
      </c>
      <c r="H390" s="78">
        <v>-25000</v>
      </c>
      <c r="I390" s="78">
        <v>-25000</v>
      </c>
      <c r="J390" s="78">
        <v>-25000</v>
      </c>
      <c r="K390" s="78">
        <v>-25000</v>
      </c>
      <c r="L390" s="78">
        <v>-25000</v>
      </c>
      <c r="M390" s="78">
        <v>-25000</v>
      </c>
      <c r="N390" s="78">
        <v>-25000</v>
      </c>
      <c r="O390" s="78">
        <v>-25000</v>
      </c>
      <c r="P390" s="78">
        <v>-25000</v>
      </c>
      <c r="Q390" s="78">
        <f t="shared" si="5"/>
        <v>-300000</v>
      </c>
    </row>
    <row r="391" spans="1:17" x14ac:dyDescent="0.3">
      <c r="A391" s="177" t="s">
        <v>162</v>
      </c>
      <c r="B391" s="177" t="s">
        <v>2964</v>
      </c>
      <c r="C391" s="78" t="s">
        <v>2965</v>
      </c>
      <c r="D391" s="78">
        <v>0</v>
      </c>
      <c r="E391" s="78">
        <v>17511</v>
      </c>
      <c r="F391" s="78">
        <v>38211</v>
      </c>
      <c r="G391" s="78">
        <v>2211</v>
      </c>
      <c r="H391" s="78">
        <v>2211</v>
      </c>
      <c r="I391" s="78">
        <v>29211</v>
      </c>
      <c r="J391" s="78">
        <v>2211</v>
      </c>
      <c r="K391" s="78">
        <v>2211</v>
      </c>
      <c r="L391" s="78">
        <v>2211</v>
      </c>
      <c r="M391" s="78">
        <v>2211</v>
      </c>
      <c r="N391" s="78">
        <v>2211</v>
      </c>
      <c r="O391" s="78">
        <v>2211</v>
      </c>
      <c r="P391" s="78">
        <v>2211</v>
      </c>
      <c r="Q391" s="78">
        <f t="shared" si="5"/>
        <v>104832</v>
      </c>
    </row>
    <row r="392" spans="1:17" x14ac:dyDescent="0.3">
      <c r="A392" s="177" t="s">
        <v>162</v>
      </c>
      <c r="B392" s="177" t="s">
        <v>3356</v>
      </c>
      <c r="C392" s="78" t="s">
        <v>3357</v>
      </c>
      <c r="D392" s="78">
        <v>0</v>
      </c>
      <c r="E392" s="78">
        <v>-10255.527578499999</v>
      </c>
      <c r="F392" s="78">
        <v>-9775.9299430999999</v>
      </c>
      <c r="G392" s="78">
        <v>-9592.6441488</v>
      </c>
      <c r="H392" s="78">
        <v>-9654.5443630999998</v>
      </c>
      <c r="I392" s="78">
        <v>-5360.2600518999998</v>
      </c>
      <c r="J392" s="78">
        <v>-4836.5121538000003</v>
      </c>
      <c r="K392" s="78">
        <v>-5213.5600519</v>
      </c>
      <c r="L392" s="78">
        <v>-5069.1325244</v>
      </c>
      <c r="M392" s="78">
        <v>-5068.9599968000002</v>
      </c>
      <c r="N392" s="78">
        <v>-5425.0130529999997</v>
      </c>
      <c r="O392" s="78">
        <v>-4963.8249968</v>
      </c>
      <c r="P392" s="78">
        <v>-5420.5369220000002</v>
      </c>
      <c r="Q392" s="78">
        <f t="shared" si="5"/>
        <v>-80636.445784099997</v>
      </c>
    </row>
    <row r="393" spans="1:17" x14ac:dyDescent="0.3">
      <c r="A393" s="177" t="s">
        <v>162</v>
      </c>
      <c r="B393" s="177" t="s">
        <v>2966</v>
      </c>
      <c r="C393" s="78" t="s">
        <v>2967</v>
      </c>
      <c r="D393" s="78">
        <v>0</v>
      </c>
      <c r="E393" s="78">
        <v>2025663.0666044001</v>
      </c>
      <c r="F393" s="78">
        <v>2027589.5609472001</v>
      </c>
      <c r="G393" s="78">
        <v>2027620.4109471999</v>
      </c>
      <c r="H393" s="78">
        <v>2027651.2709472</v>
      </c>
      <c r="I393" s="78">
        <v>2027682.1309472001</v>
      </c>
      <c r="J393" s="78">
        <v>2048518.9809472</v>
      </c>
      <c r="K393" s="78">
        <v>2121429.5713471998</v>
      </c>
      <c r="L393" s="78">
        <v>2048580.7009471999</v>
      </c>
      <c r="M393" s="78">
        <v>2048883.0909472001</v>
      </c>
      <c r="N393" s="78">
        <v>2048913.9509471999</v>
      </c>
      <c r="O393" s="78">
        <v>2048944.8109472001</v>
      </c>
      <c r="P393" s="78">
        <v>2070262.0263471999</v>
      </c>
      <c r="Q393" s="78">
        <f t="shared" si="5"/>
        <v>24571739.572823599</v>
      </c>
    </row>
    <row r="394" spans="1:17" x14ac:dyDescent="0.3">
      <c r="A394" s="177" t="s">
        <v>162</v>
      </c>
      <c r="B394" s="177" t="s">
        <v>3358</v>
      </c>
      <c r="C394" s="78" t="s">
        <v>3359</v>
      </c>
      <c r="D394" s="78">
        <v>0</v>
      </c>
      <c r="E394" s="78">
        <v>-16101.4136205</v>
      </c>
      <c r="F394" s="78">
        <v>-14249.383052200001</v>
      </c>
      <c r="G394" s="78">
        <v>-14249.383052200001</v>
      </c>
      <c r="H394" s="78">
        <v>-15487.7218548</v>
      </c>
      <c r="I394" s="78">
        <v>-16191.708791900001</v>
      </c>
      <c r="J394" s="78">
        <v>-14079.746441400001</v>
      </c>
      <c r="K394" s="78">
        <v>-16191.708791900001</v>
      </c>
      <c r="L394" s="78">
        <v>-15487.7218548</v>
      </c>
      <c r="M394" s="78">
        <v>-14783.734917600001</v>
      </c>
      <c r="N394" s="78">
        <v>-16191.708791900001</v>
      </c>
      <c r="O394" s="78">
        <v>-14783.734917600001</v>
      </c>
      <c r="P394" s="78">
        <v>-15487.7218548</v>
      </c>
      <c r="Q394" s="78">
        <f t="shared" si="5"/>
        <v>-183285.68794160002</v>
      </c>
    </row>
    <row r="395" spans="1:17" x14ac:dyDescent="0.3">
      <c r="A395" s="177" t="s">
        <v>162</v>
      </c>
      <c r="B395" s="177" t="s">
        <v>2968</v>
      </c>
      <c r="C395" s="78" t="s">
        <v>2969</v>
      </c>
      <c r="D395" s="78">
        <v>0</v>
      </c>
      <c r="E395" s="78">
        <v>14628960.524016701</v>
      </c>
      <c r="F395" s="78">
        <v>13350603.9301749</v>
      </c>
      <c r="G395" s="78">
        <v>13376265.472472699</v>
      </c>
      <c r="H395" s="78">
        <v>14213291.2643422</v>
      </c>
      <c r="I395" s="78">
        <v>14826004.2860702</v>
      </c>
      <c r="J395" s="78">
        <v>12877195.7409795</v>
      </c>
      <c r="K395" s="78">
        <v>14878055.3530732</v>
      </c>
      <c r="L395" s="78">
        <v>14235998.856293701</v>
      </c>
      <c r="M395" s="78">
        <v>13558327.551209901</v>
      </c>
      <c r="N395" s="78">
        <v>14885426.0510833</v>
      </c>
      <c r="O395" s="78">
        <v>13597759.5038362</v>
      </c>
      <c r="P395" s="78">
        <v>14223799.235072101</v>
      </c>
      <c r="Q395" s="78">
        <f t="shared" si="5"/>
        <v>168651687.76862457</v>
      </c>
    </row>
    <row r="396" spans="1:17" x14ac:dyDescent="0.3">
      <c r="A396" s="177" t="s">
        <v>162</v>
      </c>
      <c r="B396" s="177" t="s">
        <v>2970</v>
      </c>
      <c r="C396" s="78" t="s">
        <v>2971</v>
      </c>
      <c r="D396" s="78">
        <v>0</v>
      </c>
      <c r="E396" s="78">
        <v>1284310.1255081999</v>
      </c>
      <c r="F396" s="78">
        <v>1194175.3983634</v>
      </c>
      <c r="G396" s="78">
        <v>1272554.5429692999</v>
      </c>
      <c r="H396" s="78">
        <v>1332397.4418985001</v>
      </c>
      <c r="I396" s="78">
        <v>1278603.7615711</v>
      </c>
      <c r="J396" s="78">
        <v>1161434.7103418999</v>
      </c>
      <c r="K396" s="78">
        <v>1358472.0842704</v>
      </c>
      <c r="L396" s="78">
        <v>1273270.6279102</v>
      </c>
      <c r="M396" s="78">
        <v>1228475.6568237999</v>
      </c>
      <c r="N396" s="78">
        <v>1486197.9427364001</v>
      </c>
      <c r="O396" s="78">
        <v>1296525.8498879999</v>
      </c>
      <c r="P396" s="78">
        <v>1381745.5088998999</v>
      </c>
      <c r="Q396" s="78">
        <f t="shared" si="5"/>
        <v>15548163.651181098</v>
      </c>
    </row>
    <row r="397" spans="1:17" x14ac:dyDescent="0.3">
      <c r="A397" s="177" t="s">
        <v>162</v>
      </c>
      <c r="B397" s="177" t="s">
        <v>3360</v>
      </c>
      <c r="C397" s="78" t="s">
        <v>3361</v>
      </c>
      <c r="D397" s="78">
        <v>0</v>
      </c>
      <c r="E397" s="78">
        <v>-47614.611432400001</v>
      </c>
      <c r="F397" s="78">
        <v>-43474.212796799999</v>
      </c>
      <c r="G397" s="78">
        <v>-43474.212796799999</v>
      </c>
      <c r="H397" s="78">
        <v>-45544.412114799998</v>
      </c>
      <c r="I397" s="78">
        <v>-47614.611432400001</v>
      </c>
      <c r="J397" s="78">
        <v>-41404.008958799997</v>
      </c>
      <c r="K397" s="78">
        <v>-47614.611432400001</v>
      </c>
      <c r="L397" s="78">
        <v>-45544.412114799998</v>
      </c>
      <c r="M397" s="78">
        <v>-43474.212796799999</v>
      </c>
      <c r="N397" s="78">
        <v>-47614.611432400001</v>
      </c>
      <c r="O397" s="78">
        <v>-43474.212796799999</v>
      </c>
      <c r="P397" s="78">
        <v>-45544.412114799998</v>
      </c>
      <c r="Q397" s="78">
        <f t="shared" si="5"/>
        <v>-542392.54222000006</v>
      </c>
    </row>
    <row r="398" spans="1:17" x14ac:dyDescent="0.3">
      <c r="A398" s="177" t="s">
        <v>162</v>
      </c>
      <c r="B398" s="177" t="s">
        <v>2972</v>
      </c>
      <c r="C398" s="78" t="s">
        <v>2973</v>
      </c>
      <c r="D398" s="78">
        <v>0</v>
      </c>
      <c r="E398" s="78">
        <v>9856.25</v>
      </c>
      <c r="F398" s="78">
        <v>9856.25</v>
      </c>
      <c r="G398" s="78">
        <v>9856.25</v>
      </c>
      <c r="H398" s="78">
        <v>9856.25</v>
      </c>
      <c r="I398" s="78">
        <v>9856.25</v>
      </c>
      <c r="J398" s="78">
        <v>9856.25</v>
      </c>
      <c r="K398" s="78">
        <v>9856.25</v>
      </c>
      <c r="L398" s="78">
        <v>9856.25</v>
      </c>
      <c r="M398" s="78">
        <v>9856.25</v>
      </c>
      <c r="N398" s="78">
        <v>9856.25</v>
      </c>
      <c r="O398" s="78">
        <v>9856.25</v>
      </c>
      <c r="P398" s="78">
        <v>9856.25</v>
      </c>
      <c r="Q398" s="78">
        <f t="shared" si="5"/>
        <v>118275</v>
      </c>
    </row>
    <row r="399" spans="1:17" x14ac:dyDescent="0.3">
      <c r="A399" s="177" t="s">
        <v>162</v>
      </c>
      <c r="B399" s="177" t="s">
        <v>2974</v>
      </c>
      <c r="C399" s="78" t="s">
        <v>2975</v>
      </c>
      <c r="D399" s="78">
        <v>0</v>
      </c>
      <c r="E399" s="78">
        <v>133206.94625430001</v>
      </c>
      <c r="F399" s="78">
        <v>170731.88813149999</v>
      </c>
      <c r="G399" s="78">
        <v>133206.94625430001</v>
      </c>
      <c r="H399" s="78">
        <v>133206.94625430001</v>
      </c>
      <c r="I399" s="78">
        <v>142285.07125430001</v>
      </c>
      <c r="J399" s="78">
        <v>133206.94625430001</v>
      </c>
      <c r="K399" s="78">
        <v>133206.94625430001</v>
      </c>
      <c r="L399" s="78">
        <v>170731.88813149999</v>
      </c>
      <c r="M399" s="78">
        <v>142285.07125430001</v>
      </c>
      <c r="N399" s="78">
        <v>133206.94625430001</v>
      </c>
      <c r="O399" s="78">
        <v>133206.94625430001</v>
      </c>
      <c r="P399" s="78">
        <v>133206.94625430001</v>
      </c>
      <c r="Q399" s="78">
        <f t="shared" ref="Q399:Q462" si="6">SUM(D399:P399)</f>
        <v>1691689.4888059997</v>
      </c>
    </row>
    <row r="400" spans="1:17" x14ac:dyDescent="0.3">
      <c r="A400" s="177" t="s">
        <v>162</v>
      </c>
      <c r="B400" s="177" t="s">
        <v>2976</v>
      </c>
      <c r="C400" s="78" t="s">
        <v>2977</v>
      </c>
      <c r="D400" s="78">
        <v>0</v>
      </c>
      <c r="E400" s="78">
        <v>-1437423.9088981999</v>
      </c>
      <c r="F400" s="78">
        <v>-1392764.6431153</v>
      </c>
      <c r="G400" s="78">
        <v>-1409361.1578081001</v>
      </c>
      <c r="H400" s="78">
        <v>-1448938.6623446001</v>
      </c>
      <c r="I400" s="78">
        <v>-1455714.1033288001</v>
      </c>
      <c r="J400" s="78">
        <v>-1382628.2378398001</v>
      </c>
      <c r="K400" s="78">
        <v>-1451629.6476529001</v>
      </c>
      <c r="L400" s="78">
        <v>-1428218.8359582999</v>
      </c>
      <c r="M400" s="78">
        <v>-1405340.2792167999</v>
      </c>
      <c r="N400" s="78">
        <v>-1463531.1818345999</v>
      </c>
      <c r="O400" s="78">
        <v>-1425580.3788554999</v>
      </c>
      <c r="P400" s="78">
        <v>-1446002.7720583</v>
      </c>
      <c r="Q400" s="78">
        <f t="shared" si="6"/>
        <v>-17147133.808911201</v>
      </c>
    </row>
    <row r="401" spans="1:17" x14ac:dyDescent="0.3">
      <c r="A401" s="177" t="s">
        <v>162</v>
      </c>
      <c r="B401" s="177" t="s">
        <v>2978</v>
      </c>
      <c r="C401" s="78" t="s">
        <v>2979</v>
      </c>
      <c r="D401" s="78">
        <v>0</v>
      </c>
      <c r="E401" s="78">
        <v>4614848.4883623002</v>
      </c>
      <c r="F401" s="78">
        <v>4217986.0052750995</v>
      </c>
      <c r="G401" s="78">
        <v>4248157.8044776004</v>
      </c>
      <c r="H401" s="78">
        <v>4508249.7248098999</v>
      </c>
      <c r="I401" s="78">
        <v>4670336.3338153996</v>
      </c>
      <c r="J401" s="78">
        <v>4071202.8308828999</v>
      </c>
      <c r="K401" s="78">
        <v>4708592.9568296</v>
      </c>
      <c r="L401" s="78">
        <v>4497688.1504189</v>
      </c>
      <c r="M401" s="78">
        <v>4288172.9303297</v>
      </c>
      <c r="N401" s="78">
        <v>4747770.9582078997</v>
      </c>
      <c r="O401" s="78">
        <v>4319342.7525802003</v>
      </c>
      <c r="P401" s="78">
        <v>4525607.9757514</v>
      </c>
      <c r="Q401" s="78">
        <f t="shared" si="6"/>
        <v>53417956.911740907</v>
      </c>
    </row>
    <row r="402" spans="1:17" x14ac:dyDescent="0.3">
      <c r="A402" s="177" t="s">
        <v>162</v>
      </c>
      <c r="B402" s="177" t="s">
        <v>2980</v>
      </c>
      <c r="C402" s="78" t="s">
        <v>2981</v>
      </c>
      <c r="D402" s="78">
        <v>0</v>
      </c>
      <c r="E402" s="78">
        <v>26456</v>
      </c>
      <c r="F402" s="78">
        <v>26456</v>
      </c>
      <c r="G402" s="78">
        <v>26456</v>
      </c>
      <c r="H402" s="78">
        <v>26456</v>
      </c>
      <c r="I402" s="78">
        <v>26456</v>
      </c>
      <c r="J402" s="78">
        <v>26456</v>
      </c>
      <c r="K402" s="78">
        <v>26456</v>
      </c>
      <c r="L402" s="78">
        <v>26456</v>
      </c>
      <c r="M402" s="78">
        <v>26456</v>
      </c>
      <c r="N402" s="78">
        <v>26456</v>
      </c>
      <c r="O402" s="78">
        <v>26456</v>
      </c>
      <c r="P402" s="78">
        <v>26456</v>
      </c>
      <c r="Q402" s="78">
        <f t="shared" si="6"/>
        <v>317472</v>
      </c>
    </row>
    <row r="403" spans="1:17" x14ac:dyDescent="0.3">
      <c r="A403" s="177" t="s">
        <v>162</v>
      </c>
      <c r="B403" s="177" t="s">
        <v>2982</v>
      </c>
      <c r="C403" s="78" t="s">
        <v>2983</v>
      </c>
      <c r="D403" s="78">
        <v>0</v>
      </c>
      <c r="E403" s="78">
        <v>18589</v>
      </c>
      <c r="F403" s="78">
        <v>18589</v>
      </c>
      <c r="G403" s="78">
        <v>18589</v>
      </c>
      <c r="H403" s="78">
        <v>18589</v>
      </c>
      <c r="I403" s="78">
        <v>18589</v>
      </c>
      <c r="J403" s="78">
        <v>18589</v>
      </c>
      <c r="K403" s="78">
        <v>18589</v>
      </c>
      <c r="L403" s="78">
        <v>18589</v>
      </c>
      <c r="M403" s="78">
        <v>18589</v>
      </c>
      <c r="N403" s="78">
        <v>18589</v>
      </c>
      <c r="O403" s="78">
        <v>18589</v>
      </c>
      <c r="P403" s="78">
        <v>18589</v>
      </c>
      <c r="Q403" s="78">
        <f t="shared" si="6"/>
        <v>223068</v>
      </c>
    </row>
    <row r="404" spans="1:17" x14ac:dyDescent="0.3">
      <c r="A404" s="177" t="s">
        <v>162</v>
      </c>
      <c r="B404" s="177" t="s">
        <v>2984</v>
      </c>
      <c r="C404" s="78" t="s">
        <v>2985</v>
      </c>
      <c r="D404" s="78">
        <v>0</v>
      </c>
      <c r="E404" s="78">
        <v>30779</v>
      </c>
      <c r="F404" s="78">
        <v>30779</v>
      </c>
      <c r="G404" s="78">
        <v>30779</v>
      </c>
      <c r="H404" s="78">
        <v>30779</v>
      </c>
      <c r="I404" s="78">
        <v>30779</v>
      </c>
      <c r="J404" s="78">
        <v>30779</v>
      </c>
      <c r="K404" s="78">
        <v>30779</v>
      </c>
      <c r="L404" s="78">
        <v>30779</v>
      </c>
      <c r="M404" s="78">
        <v>30779</v>
      </c>
      <c r="N404" s="78">
        <v>30779</v>
      </c>
      <c r="O404" s="78">
        <v>30779</v>
      </c>
      <c r="P404" s="78">
        <v>30779</v>
      </c>
      <c r="Q404" s="78">
        <f t="shared" si="6"/>
        <v>369348</v>
      </c>
    </row>
    <row r="405" spans="1:17" x14ac:dyDescent="0.3">
      <c r="A405" s="177" t="s">
        <v>162</v>
      </c>
      <c r="B405" s="177" t="s">
        <v>2986</v>
      </c>
      <c r="C405" s="78" t="s">
        <v>2987</v>
      </c>
      <c r="D405" s="78">
        <v>0</v>
      </c>
      <c r="E405" s="78">
        <v>12450</v>
      </c>
      <c r="F405" s="78">
        <v>12450</v>
      </c>
      <c r="G405" s="78">
        <v>12450</v>
      </c>
      <c r="H405" s="78">
        <v>12450</v>
      </c>
      <c r="I405" s="78">
        <v>12450</v>
      </c>
      <c r="J405" s="78">
        <v>12450</v>
      </c>
      <c r="K405" s="78">
        <v>12450</v>
      </c>
      <c r="L405" s="78">
        <v>12450</v>
      </c>
      <c r="M405" s="78">
        <v>12450</v>
      </c>
      <c r="N405" s="78">
        <v>12450</v>
      </c>
      <c r="O405" s="78">
        <v>12450</v>
      </c>
      <c r="P405" s="78">
        <v>12450</v>
      </c>
      <c r="Q405" s="78">
        <f t="shared" si="6"/>
        <v>149400</v>
      </c>
    </row>
    <row r="406" spans="1:17" x14ac:dyDescent="0.3">
      <c r="A406" s="177" t="s">
        <v>162</v>
      </c>
      <c r="B406" s="177" t="s">
        <v>2988</v>
      </c>
      <c r="C406" s="78" t="s">
        <v>2989</v>
      </c>
      <c r="D406" s="78">
        <v>0</v>
      </c>
      <c r="E406" s="78">
        <v>2809896</v>
      </c>
      <c r="F406" s="78">
        <v>2809896</v>
      </c>
      <c r="G406" s="78">
        <v>2809896</v>
      </c>
      <c r="H406" s="78">
        <v>2809896</v>
      </c>
      <c r="I406" s="78">
        <v>2809896</v>
      </c>
      <c r="J406" s="78">
        <v>2809896</v>
      </c>
      <c r="K406" s="78">
        <v>2809896</v>
      </c>
      <c r="L406" s="78">
        <v>2809896</v>
      </c>
      <c r="M406" s="78">
        <v>2809896</v>
      </c>
      <c r="N406" s="78">
        <v>2809896</v>
      </c>
      <c r="O406" s="78">
        <v>2809896</v>
      </c>
      <c r="P406" s="78">
        <v>2809896</v>
      </c>
      <c r="Q406" s="78">
        <f t="shared" si="6"/>
        <v>33718752</v>
      </c>
    </row>
    <row r="407" spans="1:17" x14ac:dyDescent="0.3">
      <c r="A407" s="177" t="s">
        <v>162</v>
      </c>
      <c r="B407" s="177" t="s">
        <v>2990</v>
      </c>
      <c r="C407" s="78" t="s">
        <v>2991</v>
      </c>
      <c r="D407" s="78">
        <v>0</v>
      </c>
      <c r="E407" s="78">
        <v>0</v>
      </c>
      <c r="F407" s="78">
        <v>0</v>
      </c>
      <c r="G407" s="78">
        <v>304347</v>
      </c>
      <c r="H407" s="78">
        <v>0</v>
      </c>
      <c r="I407" s="78">
        <v>0</v>
      </c>
      <c r="J407" s="78">
        <v>304347</v>
      </c>
      <c r="K407" s="78">
        <v>0</v>
      </c>
      <c r="L407" s="78">
        <v>0</v>
      </c>
      <c r="M407" s="78">
        <v>304347</v>
      </c>
      <c r="N407" s="78">
        <v>0</v>
      </c>
      <c r="O407" s="78">
        <v>0</v>
      </c>
      <c r="P407" s="78">
        <v>304347</v>
      </c>
      <c r="Q407" s="78">
        <f t="shared" si="6"/>
        <v>1217388</v>
      </c>
    </row>
    <row r="408" spans="1:17" x14ac:dyDescent="0.3">
      <c r="A408" s="177" t="s">
        <v>162</v>
      </c>
      <c r="B408" s="177" t="s">
        <v>2992</v>
      </c>
      <c r="C408" s="78" t="s">
        <v>2993</v>
      </c>
      <c r="D408" s="78">
        <v>0</v>
      </c>
      <c r="E408" s="78">
        <v>0</v>
      </c>
      <c r="F408" s="78">
        <v>0</v>
      </c>
      <c r="G408" s="78">
        <v>500975</v>
      </c>
      <c r="H408" s="78">
        <v>0</v>
      </c>
      <c r="I408" s="78">
        <v>0</v>
      </c>
      <c r="J408" s="78">
        <v>500975</v>
      </c>
      <c r="K408" s="78">
        <v>0</v>
      </c>
      <c r="L408" s="78">
        <v>0</v>
      </c>
      <c r="M408" s="78">
        <v>500975</v>
      </c>
      <c r="N408" s="78">
        <v>0</v>
      </c>
      <c r="O408" s="78">
        <v>0</v>
      </c>
      <c r="P408" s="78">
        <v>500975</v>
      </c>
      <c r="Q408" s="78">
        <f t="shared" si="6"/>
        <v>2003900</v>
      </c>
    </row>
    <row r="409" spans="1:17" x14ac:dyDescent="0.3">
      <c r="A409" s="177" t="s">
        <v>162</v>
      </c>
      <c r="B409" s="177" t="s">
        <v>2994</v>
      </c>
      <c r="C409" s="78" t="s">
        <v>2995</v>
      </c>
      <c r="D409" s="78">
        <v>0</v>
      </c>
      <c r="E409" s="78">
        <v>0</v>
      </c>
      <c r="F409" s="78">
        <v>0</v>
      </c>
      <c r="G409" s="78">
        <v>847123</v>
      </c>
      <c r="H409" s="78">
        <v>0</v>
      </c>
      <c r="I409" s="78">
        <v>0</v>
      </c>
      <c r="J409" s="78">
        <v>847123</v>
      </c>
      <c r="K409" s="78">
        <v>0</v>
      </c>
      <c r="L409" s="78">
        <v>0</v>
      </c>
      <c r="M409" s="78">
        <v>847123</v>
      </c>
      <c r="N409" s="78">
        <v>0</v>
      </c>
      <c r="O409" s="78">
        <v>0</v>
      </c>
      <c r="P409" s="78">
        <v>847123</v>
      </c>
      <c r="Q409" s="78">
        <f t="shared" si="6"/>
        <v>3388492</v>
      </c>
    </row>
    <row r="410" spans="1:17" x14ac:dyDescent="0.3">
      <c r="A410" s="177" t="s">
        <v>162</v>
      </c>
      <c r="B410" s="177" t="s">
        <v>2996</v>
      </c>
      <c r="C410" s="78" t="s">
        <v>2997</v>
      </c>
      <c r="D410" s="78">
        <v>0</v>
      </c>
      <c r="E410" s="78">
        <v>0</v>
      </c>
      <c r="F410" s="78">
        <v>0</v>
      </c>
      <c r="G410" s="78">
        <v>1706346</v>
      </c>
      <c r="H410" s="78">
        <v>0</v>
      </c>
      <c r="I410" s="78">
        <v>0</v>
      </c>
      <c r="J410" s="78">
        <v>1706346</v>
      </c>
      <c r="K410" s="78">
        <v>0</v>
      </c>
      <c r="L410" s="78">
        <v>0</v>
      </c>
      <c r="M410" s="78">
        <v>1706346</v>
      </c>
      <c r="N410" s="78">
        <v>0</v>
      </c>
      <c r="O410" s="78">
        <v>0</v>
      </c>
      <c r="P410" s="78">
        <v>1706346</v>
      </c>
      <c r="Q410" s="78">
        <f t="shared" si="6"/>
        <v>6825384</v>
      </c>
    </row>
    <row r="411" spans="1:17" x14ac:dyDescent="0.3">
      <c r="A411" s="177" t="s">
        <v>162</v>
      </c>
      <c r="B411" s="177" t="s">
        <v>2998</v>
      </c>
      <c r="C411" s="78" t="s">
        <v>2999</v>
      </c>
      <c r="D411" s="78">
        <v>0</v>
      </c>
      <c r="E411" s="78">
        <v>12969</v>
      </c>
      <c r="F411" s="78">
        <v>12969</v>
      </c>
      <c r="G411" s="78">
        <v>12969</v>
      </c>
      <c r="H411" s="78">
        <v>12969</v>
      </c>
      <c r="I411" s="78">
        <v>12969</v>
      </c>
      <c r="J411" s="78">
        <v>12969</v>
      </c>
      <c r="K411" s="78">
        <v>12969</v>
      </c>
      <c r="L411" s="78">
        <v>12969</v>
      </c>
      <c r="M411" s="78">
        <v>12969</v>
      </c>
      <c r="N411" s="78">
        <v>12969</v>
      </c>
      <c r="O411" s="78">
        <v>12969</v>
      </c>
      <c r="P411" s="78">
        <v>12969</v>
      </c>
      <c r="Q411" s="78">
        <f t="shared" si="6"/>
        <v>155628</v>
      </c>
    </row>
    <row r="412" spans="1:17" x14ac:dyDescent="0.3">
      <c r="A412" s="177" t="s">
        <v>162</v>
      </c>
      <c r="B412" s="177" t="s">
        <v>3000</v>
      </c>
      <c r="C412" s="78" t="s">
        <v>3001</v>
      </c>
      <c r="D412" s="78">
        <v>0</v>
      </c>
      <c r="E412" s="78">
        <v>711157</v>
      </c>
      <c r="F412" s="78">
        <v>711157</v>
      </c>
      <c r="G412" s="78">
        <v>711157</v>
      </c>
      <c r="H412" s="78">
        <v>711157</v>
      </c>
      <c r="I412" s="78">
        <v>711157</v>
      </c>
      <c r="J412" s="78">
        <v>711157</v>
      </c>
      <c r="K412" s="78">
        <v>711157</v>
      </c>
      <c r="L412" s="78">
        <v>711157</v>
      </c>
      <c r="M412" s="78">
        <v>711157</v>
      </c>
      <c r="N412" s="78">
        <v>711157</v>
      </c>
      <c r="O412" s="78">
        <v>711157</v>
      </c>
      <c r="P412" s="78">
        <v>711157</v>
      </c>
      <c r="Q412" s="78">
        <f t="shared" si="6"/>
        <v>8533884</v>
      </c>
    </row>
    <row r="413" spans="1:17" x14ac:dyDescent="0.3">
      <c r="A413" s="177" t="s">
        <v>162</v>
      </c>
      <c r="B413" s="177" t="s">
        <v>3002</v>
      </c>
      <c r="C413" s="78" t="s">
        <v>3003</v>
      </c>
      <c r="D413" s="78">
        <v>0</v>
      </c>
      <c r="E413" s="78">
        <v>854545</v>
      </c>
      <c r="F413" s="78">
        <v>854545</v>
      </c>
      <c r="G413" s="78">
        <v>854545</v>
      </c>
      <c r="H413" s="78">
        <v>854545</v>
      </c>
      <c r="I413" s="78">
        <v>854545</v>
      </c>
      <c r="J413" s="78">
        <v>854545</v>
      </c>
      <c r="K413" s="78">
        <v>854545</v>
      </c>
      <c r="L413" s="78">
        <v>854545</v>
      </c>
      <c r="M413" s="78">
        <v>854545</v>
      </c>
      <c r="N413" s="78">
        <v>854545</v>
      </c>
      <c r="O413" s="78">
        <v>854545</v>
      </c>
      <c r="P413" s="78">
        <v>854545</v>
      </c>
      <c r="Q413" s="78">
        <f t="shared" si="6"/>
        <v>10254540</v>
      </c>
    </row>
    <row r="414" spans="1:17" x14ac:dyDescent="0.3">
      <c r="A414" s="177" t="s">
        <v>162</v>
      </c>
      <c r="B414" s="177" t="s">
        <v>3004</v>
      </c>
      <c r="C414" s="78" t="s">
        <v>3005</v>
      </c>
      <c r="D414" s="78">
        <v>0</v>
      </c>
      <c r="E414" s="78">
        <v>0</v>
      </c>
      <c r="F414" s="78">
        <v>0</v>
      </c>
      <c r="G414" s="78">
        <v>26704</v>
      </c>
      <c r="H414" s="78">
        <v>0</v>
      </c>
      <c r="I414" s="78">
        <v>0</v>
      </c>
      <c r="J414" s="78">
        <v>26704</v>
      </c>
      <c r="K414" s="78">
        <v>0</v>
      </c>
      <c r="L414" s="78">
        <v>0</v>
      </c>
      <c r="M414" s="78">
        <v>26704</v>
      </c>
      <c r="N414" s="78">
        <v>0</v>
      </c>
      <c r="O414" s="78">
        <v>0</v>
      </c>
      <c r="P414" s="78">
        <v>26704</v>
      </c>
      <c r="Q414" s="78">
        <f t="shared" si="6"/>
        <v>106816</v>
      </c>
    </row>
    <row r="415" spans="1:17" x14ac:dyDescent="0.3">
      <c r="A415" s="177" t="s">
        <v>162</v>
      </c>
      <c r="B415" s="177" t="s">
        <v>3006</v>
      </c>
      <c r="C415" s="78" t="s">
        <v>3007</v>
      </c>
      <c r="D415" s="78">
        <v>0</v>
      </c>
      <c r="E415" s="78">
        <v>155625</v>
      </c>
      <c r="F415" s="78">
        <v>155625</v>
      </c>
      <c r="G415" s="78">
        <v>155625</v>
      </c>
      <c r="H415" s="78">
        <v>155625</v>
      </c>
      <c r="I415" s="78">
        <v>155625</v>
      </c>
      <c r="J415" s="78">
        <v>155625</v>
      </c>
      <c r="K415" s="78">
        <v>155625</v>
      </c>
      <c r="L415" s="78">
        <v>155625</v>
      </c>
      <c r="M415" s="78">
        <v>155625</v>
      </c>
      <c r="N415" s="78">
        <v>155625</v>
      </c>
      <c r="O415" s="78">
        <v>155625</v>
      </c>
      <c r="P415" s="78">
        <v>155625</v>
      </c>
      <c r="Q415" s="78">
        <f t="shared" si="6"/>
        <v>1867500</v>
      </c>
    </row>
    <row r="416" spans="1:17" x14ac:dyDescent="0.3">
      <c r="A416" s="177" t="s">
        <v>162</v>
      </c>
      <c r="B416" s="177" t="s">
        <v>3008</v>
      </c>
      <c r="C416" s="78" t="s">
        <v>3009</v>
      </c>
      <c r="D416" s="78">
        <v>0</v>
      </c>
      <c r="E416" s="78">
        <v>103750</v>
      </c>
      <c r="F416" s="78">
        <v>103750</v>
      </c>
      <c r="G416" s="78">
        <v>103750</v>
      </c>
      <c r="H416" s="78">
        <v>103750</v>
      </c>
      <c r="I416" s="78">
        <v>103750</v>
      </c>
      <c r="J416" s="78">
        <v>103750</v>
      </c>
      <c r="K416" s="78">
        <v>103750</v>
      </c>
      <c r="L416" s="78">
        <v>103750</v>
      </c>
      <c r="M416" s="78">
        <v>103750</v>
      </c>
      <c r="N416" s="78">
        <v>103750</v>
      </c>
      <c r="O416" s="78">
        <v>103750</v>
      </c>
      <c r="P416" s="78">
        <v>103750</v>
      </c>
      <c r="Q416" s="78">
        <f t="shared" si="6"/>
        <v>1245000</v>
      </c>
    </row>
    <row r="417" spans="1:17" x14ac:dyDescent="0.3">
      <c r="A417" s="177" t="s">
        <v>162</v>
      </c>
      <c r="B417" s="177" t="s">
        <v>3010</v>
      </c>
      <c r="C417" s="78" t="s">
        <v>3011</v>
      </c>
      <c r="D417" s="78">
        <v>0</v>
      </c>
      <c r="E417" s="78">
        <v>103750</v>
      </c>
      <c r="F417" s="78">
        <v>103750</v>
      </c>
      <c r="G417" s="78">
        <v>103750</v>
      </c>
      <c r="H417" s="78">
        <v>103750</v>
      </c>
      <c r="I417" s="78">
        <v>103750</v>
      </c>
      <c r="J417" s="78">
        <v>103750</v>
      </c>
      <c r="K417" s="78">
        <v>103750</v>
      </c>
      <c r="L417" s="78">
        <v>103750</v>
      </c>
      <c r="M417" s="78">
        <v>103750</v>
      </c>
      <c r="N417" s="78">
        <v>103750</v>
      </c>
      <c r="O417" s="78">
        <v>103750</v>
      </c>
      <c r="P417" s="78">
        <v>103750</v>
      </c>
      <c r="Q417" s="78">
        <f t="shared" si="6"/>
        <v>1245000</v>
      </c>
    </row>
    <row r="418" spans="1:17" x14ac:dyDescent="0.3">
      <c r="A418" s="177" t="s">
        <v>162</v>
      </c>
      <c r="B418" s="177" t="s">
        <v>3012</v>
      </c>
      <c r="C418" s="78" t="s">
        <v>3013</v>
      </c>
      <c r="D418" s="78">
        <v>0</v>
      </c>
      <c r="E418" s="78">
        <v>0</v>
      </c>
      <c r="F418" s="78">
        <v>0</v>
      </c>
      <c r="G418" s="78">
        <v>32412</v>
      </c>
      <c r="H418" s="78">
        <v>0</v>
      </c>
      <c r="I418" s="78">
        <v>0</v>
      </c>
      <c r="J418" s="78">
        <v>32412</v>
      </c>
      <c r="K418" s="78">
        <v>0</v>
      </c>
      <c r="L418" s="78">
        <v>0</v>
      </c>
      <c r="M418" s="78">
        <v>32412</v>
      </c>
      <c r="N418" s="78">
        <v>0</v>
      </c>
      <c r="O418" s="78">
        <v>0</v>
      </c>
      <c r="P418" s="78">
        <v>32412</v>
      </c>
      <c r="Q418" s="78">
        <f t="shared" si="6"/>
        <v>129648</v>
      </c>
    </row>
    <row r="419" spans="1:17" x14ac:dyDescent="0.3">
      <c r="A419" s="177" t="s">
        <v>162</v>
      </c>
      <c r="B419" s="177" t="s">
        <v>3014</v>
      </c>
      <c r="C419" s="78" t="s">
        <v>3015</v>
      </c>
      <c r="D419" s="78">
        <v>0</v>
      </c>
      <c r="E419" s="78">
        <v>41849</v>
      </c>
      <c r="F419" s="78">
        <v>41850</v>
      </c>
      <c r="G419" s="78">
        <v>41851</v>
      </c>
      <c r="H419" s="78">
        <v>41849</v>
      </c>
      <c r="I419" s="78">
        <v>41850</v>
      </c>
      <c r="J419" s="78">
        <v>41851</v>
      </c>
      <c r="K419" s="78">
        <v>41849</v>
      </c>
      <c r="L419" s="78">
        <v>41850</v>
      </c>
      <c r="M419" s="78">
        <v>41851</v>
      </c>
      <c r="N419" s="78">
        <v>41849</v>
      </c>
      <c r="O419" s="78">
        <v>41850</v>
      </c>
      <c r="P419" s="78">
        <v>41851</v>
      </c>
      <c r="Q419" s="78">
        <f t="shared" si="6"/>
        <v>502200</v>
      </c>
    </row>
    <row r="420" spans="1:17" x14ac:dyDescent="0.3">
      <c r="A420" s="177" t="s">
        <v>162</v>
      </c>
      <c r="B420" s="177" t="s">
        <v>3016</v>
      </c>
      <c r="C420" s="78" t="s">
        <v>3017</v>
      </c>
      <c r="D420" s="78">
        <v>0</v>
      </c>
      <c r="E420" s="78">
        <v>-143242.72829639999</v>
      </c>
      <c r="F420" s="78">
        <v>-130087.38669670001</v>
      </c>
      <c r="G420" s="78">
        <v>-121787.38669670001</v>
      </c>
      <c r="H420" s="78">
        <v>-139793.35105520001</v>
      </c>
      <c r="I420" s="78">
        <v>-146513.21694479999</v>
      </c>
      <c r="J420" s="78">
        <v>-118053.60735200001</v>
      </c>
      <c r="K420" s="78">
        <v>-146513.21694479999</v>
      </c>
      <c r="L420" s="78">
        <v>-139793.35105520001</v>
      </c>
      <c r="M420" s="78">
        <v>-124773.48516529999</v>
      </c>
      <c r="N420" s="78">
        <v>-146513.21694479999</v>
      </c>
      <c r="O420" s="78">
        <v>-133073.48516529999</v>
      </c>
      <c r="P420" s="78">
        <v>-131986.428269</v>
      </c>
      <c r="Q420" s="78">
        <f t="shared" si="6"/>
        <v>-1622130.8605862001</v>
      </c>
    </row>
    <row r="421" spans="1:17" x14ac:dyDescent="0.3">
      <c r="A421" s="177" t="s">
        <v>162</v>
      </c>
      <c r="B421" s="177" t="s">
        <v>3018</v>
      </c>
      <c r="C421" s="78" t="s">
        <v>3019</v>
      </c>
      <c r="D421" s="78">
        <v>0</v>
      </c>
      <c r="E421" s="78">
        <v>2350530</v>
      </c>
      <c r="F421" s="78">
        <v>2350530</v>
      </c>
      <c r="G421" s="78">
        <v>2350530</v>
      </c>
      <c r="H421" s="78">
        <v>2350530</v>
      </c>
      <c r="I421" s="78">
        <v>2350530</v>
      </c>
      <c r="J421" s="78">
        <v>2350530</v>
      </c>
      <c r="K421" s="78">
        <v>2350530</v>
      </c>
      <c r="L421" s="78">
        <v>2350530</v>
      </c>
      <c r="M421" s="78">
        <v>2350530</v>
      </c>
      <c r="N421" s="78">
        <v>2350530</v>
      </c>
      <c r="O421" s="78">
        <v>2350530</v>
      </c>
      <c r="P421" s="78">
        <v>2350530</v>
      </c>
      <c r="Q421" s="78">
        <f t="shared" si="6"/>
        <v>28206360</v>
      </c>
    </row>
    <row r="422" spans="1:17" x14ac:dyDescent="0.3">
      <c r="A422" s="177" t="s">
        <v>162</v>
      </c>
      <c r="B422" s="177" t="s">
        <v>3020</v>
      </c>
      <c r="C422" s="78" t="s">
        <v>3021</v>
      </c>
      <c r="D422" s="78">
        <v>0</v>
      </c>
      <c r="E422" s="78">
        <v>10375</v>
      </c>
      <c r="F422" s="78">
        <v>10375</v>
      </c>
      <c r="G422" s="78">
        <v>10375</v>
      </c>
      <c r="H422" s="78">
        <v>10375</v>
      </c>
      <c r="I422" s="78">
        <v>10375</v>
      </c>
      <c r="J422" s="78">
        <v>10375</v>
      </c>
      <c r="K422" s="78">
        <v>10375</v>
      </c>
      <c r="L422" s="78">
        <v>10375</v>
      </c>
      <c r="M422" s="78">
        <v>10375</v>
      </c>
      <c r="N422" s="78">
        <v>10375</v>
      </c>
      <c r="O422" s="78">
        <v>10375</v>
      </c>
      <c r="P422" s="78">
        <v>10375</v>
      </c>
      <c r="Q422" s="78">
        <f t="shared" si="6"/>
        <v>124500</v>
      </c>
    </row>
    <row r="423" spans="1:17" x14ac:dyDescent="0.3">
      <c r="A423" s="177" t="s">
        <v>162</v>
      </c>
      <c r="B423" s="177" t="s">
        <v>3022</v>
      </c>
      <c r="C423" s="78" t="s">
        <v>3023</v>
      </c>
      <c r="D423" s="78">
        <v>0</v>
      </c>
      <c r="E423" s="78">
        <v>182560.24565249999</v>
      </c>
      <c r="F423" s="78">
        <v>182239.18305309999</v>
      </c>
      <c r="G423" s="78">
        <v>182761.56643070001</v>
      </c>
      <c r="H423" s="78">
        <v>184154.74113149999</v>
      </c>
      <c r="I423" s="78">
        <v>189222.24802490001</v>
      </c>
      <c r="J423" s="78">
        <v>189319.97933279999</v>
      </c>
      <c r="K423" s="78">
        <v>191645.94258639999</v>
      </c>
      <c r="L423" s="78">
        <v>191402.6931991</v>
      </c>
      <c r="M423" s="78">
        <v>191005.0898746</v>
      </c>
      <c r="N423" s="78">
        <v>183590.1970477</v>
      </c>
      <c r="O423" s="78">
        <v>186374.66339490001</v>
      </c>
      <c r="P423" s="78">
        <v>188264.91559690001</v>
      </c>
      <c r="Q423" s="78">
        <f t="shared" si="6"/>
        <v>2242541.4653250999</v>
      </c>
    </row>
    <row r="424" spans="1:17" x14ac:dyDescent="0.3">
      <c r="A424" s="177" t="s">
        <v>162</v>
      </c>
      <c r="B424" s="177" t="s">
        <v>3024</v>
      </c>
      <c r="C424" s="78" t="s">
        <v>3025</v>
      </c>
      <c r="D424" s="78">
        <v>0</v>
      </c>
      <c r="E424" s="78">
        <v>50088.408415700003</v>
      </c>
      <c r="F424" s="78">
        <v>38738.374247699998</v>
      </c>
      <c r="G424" s="78">
        <v>33307.490497699997</v>
      </c>
      <c r="H424" s="78">
        <v>25704.006759299999</v>
      </c>
      <c r="I424" s="78">
        <v>24292.991759299999</v>
      </c>
      <c r="J424" s="78">
        <v>31453.054009300002</v>
      </c>
      <c r="K424" s="78">
        <v>26498.671515099999</v>
      </c>
      <c r="L424" s="78">
        <v>26128.289515100001</v>
      </c>
      <c r="M424" s="78">
        <v>26951.931765099998</v>
      </c>
      <c r="N424" s="78">
        <v>25987.939270899999</v>
      </c>
      <c r="O424" s="78">
        <v>27820.939270899999</v>
      </c>
      <c r="P424" s="78">
        <v>38929.616799800002</v>
      </c>
      <c r="Q424" s="78">
        <f t="shared" si="6"/>
        <v>375901.71382589999</v>
      </c>
    </row>
    <row r="425" spans="1:17" x14ac:dyDescent="0.3">
      <c r="A425" s="177" t="s">
        <v>162</v>
      </c>
      <c r="B425" s="177" t="s">
        <v>3026</v>
      </c>
      <c r="C425" s="78" t="s">
        <v>3027</v>
      </c>
      <c r="D425" s="78">
        <v>0</v>
      </c>
      <c r="E425" s="78">
        <v>0</v>
      </c>
      <c r="F425" s="78">
        <v>100</v>
      </c>
      <c r="G425" s="78">
        <v>500</v>
      </c>
      <c r="H425" s="78">
        <v>0</v>
      </c>
      <c r="I425" s="78">
        <v>100</v>
      </c>
      <c r="J425" s="78">
        <v>0</v>
      </c>
      <c r="K425" s="78">
        <v>100</v>
      </c>
      <c r="L425" s="78">
        <v>0</v>
      </c>
      <c r="M425" s="78">
        <v>100</v>
      </c>
      <c r="N425" s="78">
        <v>0</v>
      </c>
      <c r="O425" s="78">
        <v>100</v>
      </c>
      <c r="P425" s="78">
        <v>0</v>
      </c>
      <c r="Q425" s="78">
        <f t="shared" si="6"/>
        <v>1000</v>
      </c>
    </row>
    <row r="426" spans="1:17" x14ac:dyDescent="0.3">
      <c r="A426" s="177" t="s">
        <v>162</v>
      </c>
      <c r="B426" s="177" t="s">
        <v>3028</v>
      </c>
      <c r="C426" s="78" t="s">
        <v>3029</v>
      </c>
      <c r="D426" s="78">
        <v>0</v>
      </c>
      <c r="E426" s="78">
        <v>6000</v>
      </c>
      <c r="F426" s="78">
        <v>6000</v>
      </c>
      <c r="G426" s="78">
        <v>6000</v>
      </c>
      <c r="H426" s="78">
        <v>6000</v>
      </c>
      <c r="I426" s="78">
        <v>6000</v>
      </c>
      <c r="J426" s="78">
        <v>6000</v>
      </c>
      <c r="K426" s="78">
        <v>6000</v>
      </c>
      <c r="L426" s="78">
        <v>6000</v>
      </c>
      <c r="M426" s="78">
        <v>6000</v>
      </c>
      <c r="N426" s="78">
        <v>6000</v>
      </c>
      <c r="O426" s="78">
        <v>6000</v>
      </c>
      <c r="P426" s="78">
        <v>6000</v>
      </c>
      <c r="Q426" s="78">
        <f t="shared" si="6"/>
        <v>72000</v>
      </c>
    </row>
    <row r="427" spans="1:17" x14ac:dyDescent="0.3">
      <c r="A427" s="177" t="s">
        <v>162</v>
      </c>
      <c r="B427" s="177" t="s">
        <v>3030</v>
      </c>
      <c r="C427" s="78" t="s">
        <v>3031</v>
      </c>
      <c r="D427" s="78">
        <v>0</v>
      </c>
      <c r="E427" s="78">
        <v>96487.952605600003</v>
      </c>
      <c r="F427" s="78">
        <v>94502.899705599993</v>
      </c>
      <c r="G427" s="78">
        <v>103195.96310560001</v>
      </c>
      <c r="H427" s="78">
        <v>104634.4421349</v>
      </c>
      <c r="I427" s="78">
        <v>103116.69163489999</v>
      </c>
      <c r="J427" s="78">
        <v>112241.3403349</v>
      </c>
      <c r="K427" s="78">
        <v>106412.5589497</v>
      </c>
      <c r="L427" s="78">
        <v>107978.7999497</v>
      </c>
      <c r="M427" s="78">
        <v>108702.4964497</v>
      </c>
      <c r="N427" s="78">
        <v>106217.6650643</v>
      </c>
      <c r="O427" s="78">
        <v>110928.2400643</v>
      </c>
      <c r="P427" s="78">
        <v>133256.57413779999</v>
      </c>
      <c r="Q427" s="78">
        <f t="shared" si="6"/>
        <v>1287675.6241369997</v>
      </c>
    </row>
    <row r="428" spans="1:17" x14ac:dyDescent="0.3">
      <c r="A428" s="177" t="s">
        <v>162</v>
      </c>
      <c r="B428" s="177" t="s">
        <v>3032</v>
      </c>
      <c r="C428" s="78" t="s">
        <v>3033</v>
      </c>
      <c r="D428" s="78">
        <v>0</v>
      </c>
      <c r="E428" s="78">
        <v>13863.452563299999</v>
      </c>
      <c r="F428" s="78">
        <v>14372.452563299999</v>
      </c>
      <c r="G428" s="78">
        <v>14338.952563299999</v>
      </c>
      <c r="H428" s="78">
        <v>14008.719910399999</v>
      </c>
      <c r="I428" s="78">
        <v>14067.719910399999</v>
      </c>
      <c r="J428" s="78">
        <v>15996.094910399999</v>
      </c>
      <c r="K428" s="78">
        <v>13344.353584</v>
      </c>
      <c r="L428" s="78">
        <v>14158.353584</v>
      </c>
      <c r="M428" s="78">
        <v>14556.119584</v>
      </c>
      <c r="N428" s="78">
        <v>13763.987257500001</v>
      </c>
      <c r="O428" s="78">
        <v>15014.737257500001</v>
      </c>
      <c r="P428" s="78">
        <v>16777.204625400002</v>
      </c>
      <c r="Q428" s="78">
        <f t="shared" si="6"/>
        <v>174262.14831349999</v>
      </c>
    </row>
    <row r="429" spans="1:17" x14ac:dyDescent="0.3">
      <c r="A429" s="177" t="s">
        <v>162</v>
      </c>
      <c r="B429" s="177" t="s">
        <v>3034</v>
      </c>
      <c r="C429" s="78" t="s">
        <v>3035</v>
      </c>
      <c r="D429" s="78">
        <v>0</v>
      </c>
      <c r="E429" s="78">
        <v>5489.7266632999999</v>
      </c>
      <c r="F429" s="78">
        <v>5489.7266632999999</v>
      </c>
      <c r="G429" s="78">
        <v>5489.7266632999999</v>
      </c>
      <c r="H429" s="78">
        <v>6023.9733294999996</v>
      </c>
      <c r="I429" s="78">
        <v>6023.9733294999996</v>
      </c>
      <c r="J429" s="78">
        <v>6023.9733294999996</v>
      </c>
      <c r="K429" s="78">
        <v>6291.0966625999999</v>
      </c>
      <c r="L429" s="78">
        <v>6291.0966625999999</v>
      </c>
      <c r="M429" s="78">
        <v>6291.0966625999999</v>
      </c>
      <c r="N429" s="78">
        <v>6558.2199956000004</v>
      </c>
      <c r="O429" s="78">
        <v>6558.2199956000004</v>
      </c>
      <c r="P429" s="78">
        <v>7893.8366611000001</v>
      </c>
      <c r="Q429" s="78">
        <f t="shared" si="6"/>
        <v>74424.666618499992</v>
      </c>
    </row>
    <row r="430" spans="1:17" x14ac:dyDescent="0.3">
      <c r="A430" s="177" t="s">
        <v>162</v>
      </c>
      <c r="B430" s="177" t="s">
        <v>3036</v>
      </c>
      <c r="C430" s="78" t="s">
        <v>3037</v>
      </c>
      <c r="D430" s="78">
        <v>0</v>
      </c>
      <c r="E430" s="78">
        <v>41593.941544100002</v>
      </c>
      <c r="F430" s="78">
        <v>42106.941544100002</v>
      </c>
      <c r="G430" s="78">
        <v>62428.441544100002</v>
      </c>
      <c r="H430" s="78">
        <v>46180.407479000001</v>
      </c>
      <c r="I430" s="78">
        <v>60781.477479000001</v>
      </c>
      <c r="J430" s="78">
        <v>77050.407479000001</v>
      </c>
      <c r="K430" s="78">
        <v>47899.140446400001</v>
      </c>
      <c r="L430" s="78">
        <v>50136.938446400003</v>
      </c>
      <c r="M430" s="78">
        <v>57926.640446400001</v>
      </c>
      <c r="N430" s="78">
        <v>48271.873413900001</v>
      </c>
      <c r="O430" s="78">
        <v>42905.873413900001</v>
      </c>
      <c r="P430" s="78">
        <v>59909.338251000001</v>
      </c>
      <c r="Q430" s="78">
        <f t="shared" si="6"/>
        <v>637191.42148729996</v>
      </c>
    </row>
    <row r="431" spans="1:17" x14ac:dyDescent="0.3">
      <c r="A431" s="177" t="s">
        <v>162</v>
      </c>
      <c r="B431" s="177" t="s">
        <v>3038</v>
      </c>
      <c r="C431" s="78" t="s">
        <v>3039</v>
      </c>
      <c r="D431" s="78">
        <v>0</v>
      </c>
      <c r="E431" s="78">
        <v>83393.694248200001</v>
      </c>
      <c r="F431" s="78">
        <v>77692.386748200006</v>
      </c>
      <c r="G431" s="78">
        <v>88090.019873199999</v>
      </c>
      <c r="H431" s="78">
        <v>90899.534974199996</v>
      </c>
      <c r="I431" s="78">
        <v>83003.987474199996</v>
      </c>
      <c r="J431" s="78">
        <v>104734.00059919999</v>
      </c>
      <c r="K431" s="78">
        <v>83639.925337099994</v>
      </c>
      <c r="L431" s="78">
        <v>82062.083837099999</v>
      </c>
      <c r="M431" s="78">
        <v>107888.69096209999</v>
      </c>
      <c r="N431" s="78">
        <v>84257.315700100007</v>
      </c>
      <c r="O431" s="78">
        <v>94339.379200099997</v>
      </c>
      <c r="P431" s="78">
        <v>100209.3821399</v>
      </c>
      <c r="Q431" s="78">
        <f t="shared" si="6"/>
        <v>1080210.4010936001</v>
      </c>
    </row>
    <row r="432" spans="1:17" x14ac:dyDescent="0.3">
      <c r="A432" s="177" t="s">
        <v>162</v>
      </c>
      <c r="B432" s="177" t="s">
        <v>3040</v>
      </c>
      <c r="C432" s="78" t="s">
        <v>3041</v>
      </c>
      <c r="D432" s="78">
        <v>0</v>
      </c>
      <c r="E432" s="78">
        <v>22143.306421699999</v>
      </c>
      <c r="F432" s="78">
        <v>15297.306421699999</v>
      </c>
      <c r="G432" s="78">
        <v>11044.306421699999</v>
      </c>
      <c r="H432" s="78">
        <v>10854.84722</v>
      </c>
      <c r="I432" s="78">
        <v>11192.79722</v>
      </c>
      <c r="J432" s="78">
        <v>11447.84722</v>
      </c>
      <c r="K432" s="78">
        <v>11062.1176192</v>
      </c>
      <c r="L432" s="78">
        <v>11137.1176192</v>
      </c>
      <c r="M432" s="78">
        <v>11494.1176192</v>
      </c>
      <c r="N432" s="78">
        <v>12165.388018400001</v>
      </c>
      <c r="O432" s="78">
        <v>13275.388018400001</v>
      </c>
      <c r="P432" s="78">
        <v>18334.740014200001</v>
      </c>
      <c r="Q432" s="78">
        <f t="shared" si="6"/>
        <v>159449.27983370001</v>
      </c>
    </row>
    <row r="433" spans="1:17" x14ac:dyDescent="0.3">
      <c r="A433" s="177" t="s">
        <v>162</v>
      </c>
      <c r="B433" s="177" t="s">
        <v>3042</v>
      </c>
      <c r="C433" s="78" t="s">
        <v>3043</v>
      </c>
      <c r="D433" s="78">
        <v>0</v>
      </c>
      <c r="E433" s="78">
        <v>125509.1149325</v>
      </c>
      <c r="F433" s="78">
        <v>125772.9149325</v>
      </c>
      <c r="G433" s="78">
        <v>135407.13993249999</v>
      </c>
      <c r="H433" s="78">
        <v>171524.87467399999</v>
      </c>
      <c r="I433" s="78">
        <v>121385.2537649</v>
      </c>
      <c r="J433" s="78">
        <v>169461.52467399999</v>
      </c>
      <c r="K433" s="78">
        <v>122621.23204469999</v>
      </c>
      <c r="L433" s="78">
        <v>124544.38704469999</v>
      </c>
      <c r="M433" s="78">
        <v>149860.0070447</v>
      </c>
      <c r="N433" s="78">
        <v>164592.9394155</v>
      </c>
      <c r="O433" s="78">
        <v>138519.7144155</v>
      </c>
      <c r="P433" s="78">
        <v>232524.30126899999</v>
      </c>
      <c r="Q433" s="78">
        <f t="shared" si="6"/>
        <v>1781723.4041444999</v>
      </c>
    </row>
    <row r="434" spans="1:17" x14ac:dyDescent="0.3">
      <c r="A434" s="177" t="s">
        <v>162</v>
      </c>
      <c r="B434" s="177" t="s">
        <v>3044</v>
      </c>
      <c r="C434" s="78" t="s">
        <v>3045</v>
      </c>
      <c r="D434" s="78">
        <v>0</v>
      </c>
      <c r="E434" s="78">
        <v>1500</v>
      </c>
      <c r="F434" s="78">
        <v>1500</v>
      </c>
      <c r="G434" s="78">
        <v>1500</v>
      </c>
      <c r="H434" s="78">
        <v>1500</v>
      </c>
      <c r="I434" s="78">
        <v>1500</v>
      </c>
      <c r="J434" s="78">
        <v>1500</v>
      </c>
      <c r="K434" s="78">
        <v>1500</v>
      </c>
      <c r="L434" s="78">
        <v>1500</v>
      </c>
      <c r="M434" s="78">
        <v>1500</v>
      </c>
      <c r="N434" s="78">
        <v>1500</v>
      </c>
      <c r="O434" s="78">
        <v>1500</v>
      </c>
      <c r="P434" s="78">
        <v>1500</v>
      </c>
      <c r="Q434" s="78">
        <f t="shared" si="6"/>
        <v>18000</v>
      </c>
    </row>
    <row r="435" spans="1:17" x14ac:dyDescent="0.3">
      <c r="A435" s="177" t="s">
        <v>162</v>
      </c>
      <c r="B435" s="177" t="s">
        <v>3046</v>
      </c>
      <c r="C435" s="78" t="s">
        <v>3047</v>
      </c>
      <c r="D435" s="78">
        <v>0</v>
      </c>
      <c r="E435" s="78">
        <v>51368.288040899999</v>
      </c>
      <c r="F435" s="78">
        <v>182136.78627909999</v>
      </c>
      <c r="G435" s="78">
        <v>254322.09918220001</v>
      </c>
      <c r="H435" s="78">
        <v>136072.0951259</v>
      </c>
      <c r="I435" s="78">
        <v>148383.65559499999</v>
      </c>
      <c r="J435" s="78">
        <v>163440.82912040001</v>
      </c>
      <c r="K435" s="78">
        <v>185550.4885141</v>
      </c>
      <c r="L435" s="78">
        <v>340567.57842199999</v>
      </c>
      <c r="M435" s="78">
        <v>270191.9416201</v>
      </c>
      <c r="N435" s="78">
        <v>167227.43425429999</v>
      </c>
      <c r="O435" s="78">
        <v>144271.97790880001</v>
      </c>
      <c r="P435" s="78">
        <v>87906.215595799993</v>
      </c>
      <c r="Q435" s="78">
        <f t="shared" si="6"/>
        <v>2131439.3896586001</v>
      </c>
    </row>
    <row r="436" spans="1:17" x14ac:dyDescent="0.3">
      <c r="A436" s="177" t="s">
        <v>162</v>
      </c>
      <c r="B436" s="177" t="s">
        <v>3048</v>
      </c>
      <c r="C436" s="78" t="s">
        <v>3049</v>
      </c>
      <c r="D436" s="78">
        <v>0</v>
      </c>
      <c r="E436" s="78">
        <v>172285.7142857</v>
      </c>
      <c r="F436" s="78">
        <v>0</v>
      </c>
      <c r="G436" s="78">
        <v>77000</v>
      </c>
      <c r="H436" s="78">
        <v>0</v>
      </c>
      <c r="I436" s="78">
        <v>172285.7142857</v>
      </c>
      <c r="J436" s="78">
        <v>95285.7142857</v>
      </c>
      <c r="K436" s="78">
        <v>77000</v>
      </c>
      <c r="L436" s="78">
        <v>95285.7142857</v>
      </c>
      <c r="M436" s="78">
        <v>171285.7142857</v>
      </c>
      <c r="N436" s="78">
        <v>0</v>
      </c>
      <c r="O436" s="78">
        <v>170285.7142857</v>
      </c>
      <c r="P436" s="78">
        <v>95285.7142857</v>
      </c>
      <c r="Q436" s="78">
        <f t="shared" si="6"/>
        <v>1125999.9999998999</v>
      </c>
    </row>
    <row r="437" spans="1:17" x14ac:dyDescent="0.3">
      <c r="A437" s="177" t="s">
        <v>162</v>
      </c>
      <c r="B437" s="177" t="s">
        <v>3050</v>
      </c>
      <c r="C437" s="78" t="s">
        <v>3051</v>
      </c>
      <c r="D437" s="78">
        <v>0</v>
      </c>
      <c r="E437" s="78">
        <v>333.92028909999999</v>
      </c>
      <c r="F437" s="78">
        <v>333.92028909999999</v>
      </c>
      <c r="G437" s="78">
        <v>429.32608599999998</v>
      </c>
      <c r="H437" s="78">
        <v>477.02898449999998</v>
      </c>
      <c r="I437" s="78">
        <v>381.62318759999999</v>
      </c>
      <c r="J437" s="78">
        <v>357.7717384</v>
      </c>
      <c r="K437" s="78">
        <v>357.7717384</v>
      </c>
      <c r="L437" s="78">
        <v>357.7717384</v>
      </c>
      <c r="M437" s="78">
        <v>357.7717384</v>
      </c>
      <c r="N437" s="78">
        <v>429.32608599999998</v>
      </c>
      <c r="O437" s="78">
        <v>477.02898449999998</v>
      </c>
      <c r="P437" s="78">
        <v>477.02898449999998</v>
      </c>
      <c r="Q437" s="78">
        <f t="shared" si="6"/>
        <v>4770.2898448999986</v>
      </c>
    </row>
    <row r="438" spans="1:17" x14ac:dyDescent="0.3">
      <c r="A438" s="177" t="s">
        <v>162</v>
      </c>
      <c r="B438" s="177" t="s">
        <v>3052</v>
      </c>
      <c r="C438" s="78" t="s">
        <v>3053</v>
      </c>
      <c r="D438" s="78">
        <v>0</v>
      </c>
      <c r="E438" s="78">
        <v>16956.25</v>
      </c>
      <c r="F438" s="78">
        <v>16956.25</v>
      </c>
      <c r="G438" s="78">
        <v>16956.25</v>
      </c>
      <c r="H438" s="78">
        <v>17256.25</v>
      </c>
      <c r="I438" s="78">
        <v>17256.25</v>
      </c>
      <c r="J438" s="78">
        <v>53848.61</v>
      </c>
      <c r="K438" s="78">
        <v>17406.25</v>
      </c>
      <c r="L438" s="78">
        <v>17406.25</v>
      </c>
      <c r="M438" s="78">
        <v>17406.25</v>
      </c>
      <c r="N438" s="78">
        <v>17556.25</v>
      </c>
      <c r="O438" s="78">
        <v>17556.25</v>
      </c>
      <c r="P438" s="78">
        <v>18306.25</v>
      </c>
      <c r="Q438" s="78">
        <f t="shared" si="6"/>
        <v>244867.36</v>
      </c>
    </row>
    <row r="439" spans="1:17" x14ac:dyDescent="0.3">
      <c r="A439" s="177" t="s">
        <v>162</v>
      </c>
      <c r="B439" s="177" t="s">
        <v>3054</v>
      </c>
      <c r="C439" s="78" t="s">
        <v>3055</v>
      </c>
      <c r="D439" s="78">
        <v>0</v>
      </c>
      <c r="E439" s="78">
        <v>106689.3158333</v>
      </c>
      <c r="F439" s="78">
        <v>104744.0033333</v>
      </c>
      <c r="G439" s="78">
        <v>208119.0033333</v>
      </c>
      <c r="H439" s="78">
        <v>106689.3158333</v>
      </c>
      <c r="I439" s="78">
        <v>104744.0033333</v>
      </c>
      <c r="J439" s="78">
        <v>205619.0033333</v>
      </c>
      <c r="K439" s="78">
        <v>109689.3158333</v>
      </c>
      <c r="L439" s="78">
        <v>104744.0033333</v>
      </c>
      <c r="M439" s="78">
        <v>208119.0033333</v>
      </c>
      <c r="N439" s="78">
        <v>106689.3158333</v>
      </c>
      <c r="O439" s="78">
        <v>104744.0033333</v>
      </c>
      <c r="P439" s="78">
        <v>213859.0033333</v>
      </c>
      <c r="Q439" s="78">
        <f t="shared" si="6"/>
        <v>1684449.2899995996</v>
      </c>
    </row>
    <row r="440" spans="1:17" x14ac:dyDescent="0.3">
      <c r="A440" s="177" t="s">
        <v>162</v>
      </c>
      <c r="B440" s="177" t="s">
        <v>3056</v>
      </c>
      <c r="C440" s="78" t="s">
        <v>3057</v>
      </c>
      <c r="D440" s="78">
        <v>0</v>
      </c>
      <c r="E440" s="78">
        <v>188256.2086792</v>
      </c>
      <c r="F440" s="78">
        <v>203257.20833369999</v>
      </c>
      <c r="G440" s="78">
        <v>223256.2086792</v>
      </c>
      <c r="H440" s="78">
        <v>213257.2086792</v>
      </c>
      <c r="I440" s="78">
        <v>257868.71179170001</v>
      </c>
      <c r="J440" s="78">
        <v>213257.2086792</v>
      </c>
      <c r="K440" s="78">
        <v>213256.2086792</v>
      </c>
      <c r="L440" s="78">
        <v>233257.2086792</v>
      </c>
      <c r="M440" s="78">
        <v>218257.2086792</v>
      </c>
      <c r="N440" s="78">
        <v>226590.2086792</v>
      </c>
      <c r="O440" s="78">
        <v>230757.2086792</v>
      </c>
      <c r="P440" s="78">
        <v>201860.2086792</v>
      </c>
      <c r="Q440" s="78">
        <f t="shared" si="6"/>
        <v>2623131.0069174003</v>
      </c>
    </row>
    <row r="441" spans="1:17" x14ac:dyDescent="0.3">
      <c r="A441" s="177" t="s">
        <v>162</v>
      </c>
      <c r="B441" s="177" t="s">
        <v>3058</v>
      </c>
      <c r="C441" s="78" t="s">
        <v>3059</v>
      </c>
      <c r="D441" s="78">
        <v>0</v>
      </c>
      <c r="E441" s="78">
        <v>682904.91540509998</v>
      </c>
      <c r="F441" s="78">
        <v>237968.2184706</v>
      </c>
      <c r="G441" s="78">
        <v>254832.4128972</v>
      </c>
      <c r="H441" s="78">
        <v>498467.74362760002</v>
      </c>
      <c r="I441" s="78">
        <v>308012.49796770001</v>
      </c>
      <c r="J441" s="78">
        <v>305098.5727203</v>
      </c>
      <c r="K441" s="78">
        <v>410340.1084808</v>
      </c>
      <c r="L441" s="78">
        <v>347955.80304119998</v>
      </c>
      <c r="M441" s="78">
        <v>402316.78067349998</v>
      </c>
      <c r="N441" s="78">
        <v>337143.40121809999</v>
      </c>
      <c r="O441" s="78">
        <v>281994.49263739999</v>
      </c>
      <c r="P441" s="78">
        <v>247206.10029830001</v>
      </c>
      <c r="Q441" s="78">
        <f t="shared" si="6"/>
        <v>4314241.0474378001</v>
      </c>
    </row>
    <row r="442" spans="1:17" x14ac:dyDescent="0.3">
      <c r="A442" s="177" t="s">
        <v>162</v>
      </c>
      <c r="B442" s="177" t="s">
        <v>3060</v>
      </c>
      <c r="C442" s="78" t="s">
        <v>3061</v>
      </c>
      <c r="D442" s="78">
        <v>0</v>
      </c>
      <c r="E442" s="78">
        <v>0</v>
      </c>
      <c r="F442" s="78">
        <v>0</v>
      </c>
      <c r="G442" s="78">
        <v>55000</v>
      </c>
      <c r="H442" s="78">
        <v>0</v>
      </c>
      <c r="I442" s="78">
        <v>55000</v>
      </c>
      <c r="J442" s="78">
        <v>20000</v>
      </c>
      <c r="K442" s="78">
        <v>55000</v>
      </c>
      <c r="L442" s="78">
        <v>0</v>
      </c>
      <c r="M442" s="78">
        <v>75000</v>
      </c>
      <c r="N442" s="78">
        <v>0</v>
      </c>
      <c r="O442" s="78">
        <v>20000</v>
      </c>
      <c r="P442" s="78">
        <v>0</v>
      </c>
      <c r="Q442" s="78">
        <f t="shared" si="6"/>
        <v>280000</v>
      </c>
    </row>
    <row r="443" spans="1:17" x14ac:dyDescent="0.3">
      <c r="A443" s="177" t="s">
        <v>162</v>
      </c>
      <c r="B443" s="177" t="s">
        <v>3062</v>
      </c>
      <c r="C443" s="78" t="s">
        <v>3063</v>
      </c>
      <c r="D443" s="78">
        <v>0</v>
      </c>
      <c r="E443" s="78">
        <v>5652123.6378798997</v>
      </c>
      <c r="F443" s="78">
        <v>8158676.8433279004</v>
      </c>
      <c r="G443" s="78">
        <v>9232344.5363500994</v>
      </c>
      <c r="H443" s="78">
        <v>7628787.6955151996</v>
      </c>
      <c r="I443" s="78">
        <v>5847290.4097429998</v>
      </c>
      <c r="J443" s="78">
        <v>5853791.0013103001</v>
      </c>
      <c r="K443" s="78">
        <v>6512790.5999157997</v>
      </c>
      <c r="L443" s="78">
        <v>6242662.6537137004</v>
      </c>
      <c r="M443" s="78">
        <v>8261795.9100259999</v>
      </c>
      <c r="N443" s="78">
        <v>9716563.4649429992</v>
      </c>
      <c r="O443" s="78">
        <v>7855996.4195136996</v>
      </c>
      <c r="P443" s="78">
        <v>6504531.1385198003</v>
      </c>
      <c r="Q443" s="78">
        <f t="shared" si="6"/>
        <v>87467354.310758412</v>
      </c>
    </row>
    <row r="444" spans="1:17" x14ac:dyDescent="0.3">
      <c r="A444" s="177" t="s">
        <v>162</v>
      </c>
      <c r="B444" s="177" t="s">
        <v>3064</v>
      </c>
      <c r="C444" s="78" t="s">
        <v>3065</v>
      </c>
      <c r="D444" s="78">
        <v>0</v>
      </c>
      <c r="E444" s="78">
        <v>106</v>
      </c>
      <c r="F444" s="78">
        <v>0</v>
      </c>
      <c r="G444" s="78">
        <v>795</v>
      </c>
      <c r="H444" s="78">
        <v>2223</v>
      </c>
      <c r="I444" s="78">
        <v>622</v>
      </c>
      <c r="J444" s="78">
        <v>2126</v>
      </c>
      <c r="K444" s="78">
        <v>1534</v>
      </c>
      <c r="L444" s="78">
        <v>0</v>
      </c>
      <c r="M444" s="78">
        <v>265</v>
      </c>
      <c r="N444" s="78">
        <v>24</v>
      </c>
      <c r="O444" s="78">
        <v>162</v>
      </c>
      <c r="P444" s="78">
        <v>290</v>
      </c>
      <c r="Q444" s="78">
        <f t="shared" si="6"/>
        <v>8147</v>
      </c>
    </row>
    <row r="445" spans="1:17" x14ac:dyDescent="0.3">
      <c r="A445" s="177" t="s">
        <v>162</v>
      </c>
      <c r="B445" s="177" t="s">
        <v>3066</v>
      </c>
      <c r="C445" s="78" t="s">
        <v>3067</v>
      </c>
      <c r="D445" s="78">
        <v>0</v>
      </c>
      <c r="E445" s="78">
        <v>2387124.4849999999</v>
      </c>
      <c r="F445" s="78">
        <v>2387141.4849999999</v>
      </c>
      <c r="G445" s="78">
        <v>2387141.4849999999</v>
      </c>
      <c r="H445" s="78">
        <v>2387989.4849999999</v>
      </c>
      <c r="I445" s="78">
        <v>2387141.4849999999</v>
      </c>
      <c r="J445" s="78">
        <v>2387191.4849999999</v>
      </c>
      <c r="K445" s="78">
        <v>2387224.4849999999</v>
      </c>
      <c r="L445" s="78">
        <v>2387141.4849999999</v>
      </c>
      <c r="M445" s="78">
        <v>2387194.4849999999</v>
      </c>
      <c r="N445" s="78">
        <v>2387141.4849999999</v>
      </c>
      <c r="O445" s="78">
        <v>2387141.4849999999</v>
      </c>
      <c r="P445" s="78">
        <v>2392655.1430000002</v>
      </c>
      <c r="Q445" s="78">
        <f t="shared" si="6"/>
        <v>28652228.477999996</v>
      </c>
    </row>
    <row r="446" spans="1:17" x14ac:dyDescent="0.3">
      <c r="A446" s="177" t="s">
        <v>162</v>
      </c>
      <c r="B446" s="177" t="s">
        <v>3068</v>
      </c>
      <c r="C446" s="78" t="s">
        <v>3069</v>
      </c>
      <c r="D446" s="78">
        <v>0</v>
      </c>
      <c r="E446" s="78">
        <v>417.60075890000002</v>
      </c>
      <c r="F446" s="78">
        <v>416.60075890000002</v>
      </c>
      <c r="G446" s="78">
        <v>4030.4866900000002</v>
      </c>
      <c r="H446" s="78">
        <v>422.42965559999999</v>
      </c>
      <c r="I446" s="78">
        <v>526.19372439999995</v>
      </c>
      <c r="J446" s="78">
        <v>4007.5722417000002</v>
      </c>
      <c r="K446" s="78">
        <v>417.57224170000001</v>
      </c>
      <c r="L446" s="78">
        <v>427.57224170000001</v>
      </c>
      <c r="M446" s="78">
        <v>1417.5722416999999</v>
      </c>
      <c r="N446" s="78">
        <v>720.48668999999995</v>
      </c>
      <c r="O446" s="78">
        <v>2925.4296555999999</v>
      </c>
      <c r="P446" s="78">
        <v>1422.4296555999999</v>
      </c>
      <c r="Q446" s="78">
        <f t="shared" si="6"/>
        <v>17151.946555800001</v>
      </c>
    </row>
    <row r="447" spans="1:17" x14ac:dyDescent="0.3">
      <c r="A447" s="177" t="s">
        <v>162</v>
      </c>
      <c r="B447" s="177" t="s">
        <v>3070</v>
      </c>
      <c r="C447" s="78" t="s">
        <v>3071</v>
      </c>
      <c r="D447" s="78">
        <v>0</v>
      </c>
      <c r="E447" s="78">
        <v>350000</v>
      </c>
      <c r="F447" s="78">
        <v>350000</v>
      </c>
      <c r="G447" s="78">
        <v>350000</v>
      </c>
      <c r="H447" s="78">
        <v>350000</v>
      </c>
      <c r="I447" s="78">
        <v>350000</v>
      </c>
      <c r="J447" s="78">
        <v>350000</v>
      </c>
      <c r="K447" s="78">
        <v>350000</v>
      </c>
      <c r="L447" s="78">
        <v>350000</v>
      </c>
      <c r="M447" s="78">
        <v>350000</v>
      </c>
      <c r="N447" s="78">
        <v>350000</v>
      </c>
      <c r="O447" s="78">
        <v>350000</v>
      </c>
      <c r="P447" s="78">
        <v>350000</v>
      </c>
      <c r="Q447" s="78">
        <f t="shared" si="6"/>
        <v>4200000</v>
      </c>
    </row>
    <row r="448" spans="1:17" x14ac:dyDescent="0.3">
      <c r="A448" s="177" t="s">
        <v>162</v>
      </c>
      <c r="B448" s="177" t="s">
        <v>3072</v>
      </c>
      <c r="C448" s="78" t="s">
        <v>3073</v>
      </c>
      <c r="D448" s="78">
        <v>0</v>
      </c>
      <c r="E448" s="78">
        <v>250</v>
      </c>
      <c r="F448" s="78">
        <v>250</v>
      </c>
      <c r="G448" s="78">
        <v>250</v>
      </c>
      <c r="H448" s="78">
        <v>250</v>
      </c>
      <c r="I448" s="78">
        <v>250</v>
      </c>
      <c r="J448" s="78">
        <v>250</v>
      </c>
      <c r="K448" s="78">
        <v>250</v>
      </c>
      <c r="L448" s="78">
        <v>250</v>
      </c>
      <c r="M448" s="78">
        <v>250</v>
      </c>
      <c r="N448" s="78">
        <v>250</v>
      </c>
      <c r="O448" s="78">
        <v>250</v>
      </c>
      <c r="P448" s="78">
        <v>250</v>
      </c>
      <c r="Q448" s="78">
        <f t="shared" si="6"/>
        <v>3000</v>
      </c>
    </row>
    <row r="449" spans="1:17" x14ac:dyDescent="0.3">
      <c r="A449" s="177" t="s">
        <v>162</v>
      </c>
      <c r="B449" s="177" t="s">
        <v>3074</v>
      </c>
      <c r="C449" s="78" t="s">
        <v>3075</v>
      </c>
      <c r="D449" s="78">
        <v>0</v>
      </c>
      <c r="E449" s="78">
        <v>12764.207844</v>
      </c>
      <c r="F449" s="78">
        <v>12764.207844</v>
      </c>
      <c r="G449" s="78">
        <v>12764.207844</v>
      </c>
      <c r="H449" s="78">
        <v>14587.6661074</v>
      </c>
      <c r="I449" s="78">
        <v>14587.6661074</v>
      </c>
      <c r="J449" s="78">
        <v>14587.6661074</v>
      </c>
      <c r="K449" s="78">
        <v>15499.3952391</v>
      </c>
      <c r="L449" s="78">
        <v>15499.3952391</v>
      </c>
      <c r="M449" s="78">
        <v>15499.3952391</v>
      </c>
      <c r="N449" s="78">
        <v>16411.124370900001</v>
      </c>
      <c r="O449" s="78">
        <v>16411.124370900001</v>
      </c>
      <c r="P449" s="78">
        <v>20969.770029399999</v>
      </c>
      <c r="Q449" s="78">
        <f t="shared" si="6"/>
        <v>182345.82634270005</v>
      </c>
    </row>
    <row r="450" spans="1:17" x14ac:dyDescent="0.3">
      <c r="A450" s="177" t="s">
        <v>162</v>
      </c>
      <c r="B450" s="177" t="s">
        <v>3076</v>
      </c>
      <c r="C450" s="78" t="s">
        <v>3077</v>
      </c>
      <c r="D450" s="78">
        <v>0</v>
      </c>
      <c r="E450" s="78">
        <v>1615002.5931939001</v>
      </c>
      <c r="F450" s="78">
        <v>1390472.5052579001</v>
      </c>
      <c r="G450" s="78">
        <v>1447465.0798778001</v>
      </c>
      <c r="H450" s="78">
        <v>1627285.9210327</v>
      </c>
      <c r="I450" s="78">
        <v>1567441.6395163001</v>
      </c>
      <c r="J450" s="78">
        <v>1554116.6086704</v>
      </c>
      <c r="K450" s="78">
        <v>1675369.3477704001</v>
      </c>
      <c r="L450" s="78">
        <v>1564406.5299704</v>
      </c>
      <c r="M450" s="78">
        <v>1603722.5766371</v>
      </c>
      <c r="N450" s="78">
        <v>1403336.5286077999</v>
      </c>
      <c r="O450" s="78">
        <v>1469594.6060327</v>
      </c>
      <c r="P450" s="78">
        <v>1772492.1310327</v>
      </c>
      <c r="Q450" s="78">
        <f t="shared" si="6"/>
        <v>18690706.067600105</v>
      </c>
    </row>
    <row r="451" spans="1:17" x14ac:dyDescent="0.3">
      <c r="A451" s="177" t="s">
        <v>162</v>
      </c>
      <c r="B451" s="177" t="s">
        <v>3078</v>
      </c>
      <c r="C451" s="78" t="s">
        <v>3079</v>
      </c>
      <c r="D451" s="78">
        <v>0</v>
      </c>
      <c r="E451" s="78">
        <v>0</v>
      </c>
      <c r="F451" s="78">
        <v>0</v>
      </c>
      <c r="G451" s="78">
        <v>8400</v>
      </c>
      <c r="H451" s="78">
        <v>0</v>
      </c>
      <c r="I451" s="78">
        <v>8400</v>
      </c>
      <c r="J451" s="78">
        <v>12600</v>
      </c>
      <c r="K451" s="78">
        <v>8400</v>
      </c>
      <c r="L451" s="78">
        <v>0</v>
      </c>
      <c r="M451" s="78">
        <v>4200</v>
      </c>
      <c r="N451" s="78">
        <v>12600</v>
      </c>
      <c r="O451" s="78">
        <v>0</v>
      </c>
      <c r="P451" s="78">
        <v>0</v>
      </c>
      <c r="Q451" s="78">
        <f t="shared" si="6"/>
        <v>54600</v>
      </c>
    </row>
    <row r="452" spans="1:17" x14ac:dyDescent="0.3">
      <c r="A452" s="177" t="s">
        <v>162</v>
      </c>
      <c r="B452" s="177" t="s">
        <v>3080</v>
      </c>
      <c r="C452" s="78" t="s">
        <v>3081</v>
      </c>
      <c r="D452" s="78">
        <v>0</v>
      </c>
      <c r="E452" s="78">
        <v>203303.25040779999</v>
      </c>
      <c r="F452" s="78">
        <v>203303.25040779999</v>
      </c>
      <c r="G452" s="78">
        <v>203303.25040779999</v>
      </c>
      <c r="H452" s="78">
        <v>203303.25040779999</v>
      </c>
      <c r="I452" s="78">
        <v>203303.25040779999</v>
      </c>
      <c r="J452" s="78">
        <v>203303.25040779999</v>
      </c>
      <c r="K452" s="78">
        <v>203303.25040779999</v>
      </c>
      <c r="L452" s="78">
        <v>203303.25040779999</v>
      </c>
      <c r="M452" s="78">
        <v>203303.25040779999</v>
      </c>
      <c r="N452" s="78">
        <v>203303.25040779999</v>
      </c>
      <c r="O452" s="78">
        <v>203303.25040779999</v>
      </c>
      <c r="P452" s="78">
        <v>203303.25040779999</v>
      </c>
      <c r="Q452" s="78">
        <f t="shared" si="6"/>
        <v>2439639.0048936005</v>
      </c>
    </row>
    <row r="453" spans="1:17" x14ac:dyDescent="0.3">
      <c r="A453" s="177" t="s">
        <v>162</v>
      </c>
      <c r="B453" s="177" t="s">
        <v>3082</v>
      </c>
      <c r="C453" s="78" t="s">
        <v>3083</v>
      </c>
      <c r="D453" s="78">
        <v>0</v>
      </c>
      <c r="E453" s="78">
        <v>4063129</v>
      </c>
      <c r="F453" s="78">
        <v>2430454</v>
      </c>
      <c r="G453" s="78">
        <v>1727102</v>
      </c>
      <c r="H453" s="78">
        <v>1291047</v>
      </c>
      <c r="I453" s="78">
        <v>0</v>
      </c>
      <c r="J453" s="78">
        <v>0</v>
      </c>
      <c r="K453" s="78">
        <v>1410539</v>
      </c>
      <c r="L453" s="78">
        <v>0</v>
      </c>
      <c r="M453" s="78">
        <v>0</v>
      </c>
      <c r="N453" s="78">
        <v>0</v>
      </c>
      <c r="O453" s="78">
        <v>0</v>
      </c>
      <c r="P453" s="78">
        <v>4004657</v>
      </c>
      <c r="Q453" s="78">
        <f t="shared" si="6"/>
        <v>14926928</v>
      </c>
    </row>
    <row r="454" spans="1:17" x14ac:dyDescent="0.3">
      <c r="A454" s="177" t="s">
        <v>162</v>
      </c>
      <c r="B454" s="177" t="s">
        <v>3084</v>
      </c>
      <c r="C454" s="78" t="s">
        <v>3085</v>
      </c>
      <c r="D454" s="78">
        <v>0</v>
      </c>
      <c r="E454" s="78">
        <v>51851076</v>
      </c>
      <c r="F454" s="78">
        <v>45887724</v>
      </c>
      <c r="G454" s="78">
        <v>46938187</v>
      </c>
      <c r="H454" s="78">
        <v>47795285</v>
      </c>
      <c r="I454" s="78">
        <v>55389377</v>
      </c>
      <c r="J454" s="78">
        <v>61695569</v>
      </c>
      <c r="K454" s="78">
        <v>66201281</v>
      </c>
      <c r="L454" s="78">
        <v>68559020</v>
      </c>
      <c r="M454" s="78">
        <v>62981722</v>
      </c>
      <c r="N454" s="78">
        <v>59338517</v>
      </c>
      <c r="O454" s="78">
        <v>50511699</v>
      </c>
      <c r="P454" s="78">
        <v>52669665</v>
      </c>
      <c r="Q454" s="78">
        <f t="shared" si="6"/>
        <v>669819122</v>
      </c>
    </row>
    <row r="455" spans="1:17" x14ac:dyDescent="0.3">
      <c r="A455" s="177" t="s">
        <v>162</v>
      </c>
      <c r="B455" s="177" t="s">
        <v>3086</v>
      </c>
      <c r="C455" s="78" t="s">
        <v>3087</v>
      </c>
      <c r="D455" s="78">
        <v>0</v>
      </c>
      <c r="E455" s="78">
        <v>67058.333333300005</v>
      </c>
      <c r="F455" s="78">
        <v>67058.333333300005</v>
      </c>
      <c r="G455" s="78">
        <v>65616.333333300005</v>
      </c>
      <c r="H455" s="78">
        <v>0</v>
      </c>
      <c r="I455" s="78">
        <v>65616.333333300005</v>
      </c>
      <c r="J455" s="78">
        <v>65616.333333300005</v>
      </c>
      <c r="K455" s="78">
        <v>65616.333333300005</v>
      </c>
      <c r="L455" s="78">
        <v>65616.333333300005</v>
      </c>
      <c r="M455" s="78">
        <v>64971.333333299997</v>
      </c>
      <c r="N455" s="78">
        <v>64971.333333299997</v>
      </c>
      <c r="O455" s="78">
        <v>64971.333333299997</v>
      </c>
      <c r="P455" s="78">
        <v>64971.333333299997</v>
      </c>
      <c r="Q455" s="78">
        <f t="shared" si="6"/>
        <v>722083.66666629992</v>
      </c>
    </row>
    <row r="456" spans="1:17" x14ac:dyDescent="0.3">
      <c r="A456" s="177" t="s">
        <v>162</v>
      </c>
      <c r="B456" s="177" t="s">
        <v>3088</v>
      </c>
      <c r="C456" s="78" t="s">
        <v>3089</v>
      </c>
      <c r="D456" s="78">
        <v>0</v>
      </c>
      <c r="E456" s="78">
        <v>-5</v>
      </c>
      <c r="F456" s="78">
        <v>0</v>
      </c>
      <c r="G456" s="78">
        <v>0</v>
      </c>
      <c r="H456" s="78">
        <v>-5</v>
      </c>
      <c r="I456" s="78">
        <v>0</v>
      </c>
      <c r="J456" s="78">
        <v>0</v>
      </c>
      <c r="K456" s="78">
        <v>-5</v>
      </c>
      <c r="L456" s="78">
        <v>0</v>
      </c>
      <c r="M456" s="78">
        <v>0</v>
      </c>
      <c r="N456" s="78">
        <v>-5</v>
      </c>
      <c r="O456" s="78">
        <v>0</v>
      </c>
      <c r="P456" s="78">
        <v>0</v>
      </c>
      <c r="Q456" s="78">
        <f t="shared" si="6"/>
        <v>-20</v>
      </c>
    </row>
    <row r="457" spans="1:17" x14ac:dyDescent="0.3">
      <c r="A457" s="177" t="s">
        <v>162</v>
      </c>
      <c r="B457" s="177" t="s">
        <v>3090</v>
      </c>
      <c r="C457" s="78" t="s">
        <v>3091</v>
      </c>
      <c r="D457" s="78">
        <v>0</v>
      </c>
      <c r="E457" s="78">
        <v>3864376.6364250001</v>
      </c>
      <c r="F457" s="78">
        <v>3983168.6522621</v>
      </c>
      <c r="G457" s="78">
        <v>1989239.6562014001</v>
      </c>
      <c r="H457" s="78">
        <v>4272180.1007372001</v>
      </c>
      <c r="I457" s="78">
        <v>622037.57177719998</v>
      </c>
      <c r="J457" s="78">
        <v>267668.28000000003</v>
      </c>
      <c r="K457" s="78">
        <v>63859.319890899998</v>
      </c>
      <c r="L457" s="78">
        <v>66494.354080899997</v>
      </c>
      <c r="M457" s="78">
        <v>253418.23410219999</v>
      </c>
      <c r="N457" s="78">
        <v>970591.4039415</v>
      </c>
      <c r="O457" s="78">
        <v>187476.06071280001</v>
      </c>
      <c r="P457" s="78">
        <v>242744.75343360001</v>
      </c>
      <c r="Q457" s="78">
        <f t="shared" si="6"/>
        <v>16783255.023564801</v>
      </c>
    </row>
    <row r="458" spans="1:17" x14ac:dyDescent="0.3">
      <c r="A458" s="177" t="s">
        <v>162</v>
      </c>
      <c r="B458" s="177" t="s">
        <v>3092</v>
      </c>
      <c r="C458" s="78" t="s">
        <v>3093</v>
      </c>
      <c r="D458" s="78">
        <v>0</v>
      </c>
      <c r="E458" s="78">
        <v>864.23749999999995</v>
      </c>
      <c r="F458" s="78">
        <v>929.08124999999995</v>
      </c>
      <c r="G458" s="78">
        <v>864.23749999999995</v>
      </c>
      <c r="H458" s="78">
        <v>864.23749999999995</v>
      </c>
      <c r="I458" s="78">
        <v>864.23749999999995</v>
      </c>
      <c r="J458" s="78">
        <v>1864.2375</v>
      </c>
      <c r="K458" s="78">
        <v>1929.08125</v>
      </c>
      <c r="L458" s="78">
        <v>1864.2375</v>
      </c>
      <c r="M458" s="78">
        <v>1864.2375</v>
      </c>
      <c r="N458" s="78">
        <v>1864.2375</v>
      </c>
      <c r="O458" s="78">
        <v>1864.2375</v>
      </c>
      <c r="P458" s="78">
        <v>1933.23125</v>
      </c>
      <c r="Q458" s="78">
        <f t="shared" si="6"/>
        <v>17569.531249999996</v>
      </c>
    </row>
    <row r="459" spans="1:17" x14ac:dyDescent="0.3">
      <c r="A459" s="177" t="s">
        <v>162</v>
      </c>
      <c r="B459" s="177" t="s">
        <v>3094</v>
      </c>
      <c r="C459" s="78" t="s">
        <v>3095</v>
      </c>
      <c r="D459" s="78">
        <v>0</v>
      </c>
      <c r="E459" s="78">
        <v>20785.518019499999</v>
      </c>
      <c r="F459" s="78">
        <v>21654.0580195</v>
      </c>
      <c r="G459" s="78">
        <v>28359.820787000001</v>
      </c>
      <c r="H459" s="78">
        <v>25343.347170699999</v>
      </c>
      <c r="I459" s="78">
        <v>21952.014403199999</v>
      </c>
      <c r="J459" s="78">
        <v>23968.531211400001</v>
      </c>
      <c r="K459" s="78">
        <v>28606.531211400001</v>
      </c>
      <c r="L459" s="78">
        <v>21815.531211400001</v>
      </c>
      <c r="M459" s="78">
        <v>22614.531211400001</v>
      </c>
      <c r="N459" s="78">
        <v>21359.820787000001</v>
      </c>
      <c r="O459" s="78">
        <v>26521.347170699999</v>
      </c>
      <c r="P459" s="78">
        <v>24889.347170699999</v>
      </c>
      <c r="Q459" s="78">
        <f t="shared" si="6"/>
        <v>287870.39837389998</v>
      </c>
    </row>
    <row r="460" spans="1:17" x14ac:dyDescent="0.3">
      <c r="A460" s="177" t="s">
        <v>162</v>
      </c>
      <c r="B460" s="177" t="s">
        <v>3096</v>
      </c>
      <c r="C460" s="78" t="s">
        <v>3097</v>
      </c>
      <c r="D460" s="78">
        <v>0</v>
      </c>
      <c r="E460" s="78">
        <v>79870.755423800001</v>
      </c>
      <c r="F460" s="78">
        <v>81399.615423800002</v>
      </c>
      <c r="G460" s="78">
        <v>84232.387898400004</v>
      </c>
      <c r="H460" s="78">
        <v>81545.914135800005</v>
      </c>
      <c r="I460" s="78">
        <v>83490.361661100003</v>
      </c>
      <c r="J460" s="78">
        <v>82005.418542500003</v>
      </c>
      <c r="K460" s="78">
        <v>81296.418542500003</v>
      </c>
      <c r="L460" s="78">
        <v>82869.418542500003</v>
      </c>
      <c r="M460" s="78">
        <v>81794.418542500003</v>
      </c>
      <c r="N460" s="78">
        <v>78938.407898399993</v>
      </c>
      <c r="O460" s="78">
        <v>85564.734135799998</v>
      </c>
      <c r="P460" s="78">
        <v>85534.734135799998</v>
      </c>
      <c r="Q460" s="78">
        <f t="shared" si="6"/>
        <v>988542.58488290012</v>
      </c>
    </row>
    <row r="461" spans="1:17" x14ac:dyDescent="0.3">
      <c r="A461" s="177" t="s">
        <v>162</v>
      </c>
      <c r="B461" s="177" t="s">
        <v>3098</v>
      </c>
      <c r="C461" s="78" t="s">
        <v>3099</v>
      </c>
      <c r="D461" s="78">
        <v>0</v>
      </c>
      <c r="E461" s="78">
        <v>440342.4483173</v>
      </c>
      <c r="F461" s="78">
        <v>410342.4483173</v>
      </c>
      <c r="G461" s="78">
        <v>495842.4483173</v>
      </c>
      <c r="H461" s="78">
        <v>441776.219599</v>
      </c>
      <c r="I461" s="78">
        <v>441776.219599</v>
      </c>
      <c r="J461" s="78">
        <v>441776.219599</v>
      </c>
      <c r="K461" s="78">
        <v>457493.1052398</v>
      </c>
      <c r="L461" s="78">
        <v>457493.1052398</v>
      </c>
      <c r="M461" s="78">
        <v>457493.1052398</v>
      </c>
      <c r="N461" s="78">
        <v>473209.9908808</v>
      </c>
      <c r="O461" s="78">
        <v>473209.9908808</v>
      </c>
      <c r="P461" s="78">
        <v>466294.419085</v>
      </c>
      <c r="Q461" s="78">
        <f t="shared" si="6"/>
        <v>5457049.7203149013</v>
      </c>
    </row>
    <row r="462" spans="1:17" x14ac:dyDescent="0.3">
      <c r="A462" s="177" t="s">
        <v>162</v>
      </c>
      <c r="B462" s="177" t="s">
        <v>3100</v>
      </c>
      <c r="C462" s="78" t="s">
        <v>3101</v>
      </c>
      <c r="D462" s="78">
        <v>0</v>
      </c>
      <c r="E462" s="78">
        <v>41851.352707999999</v>
      </c>
      <c r="F462" s="78">
        <v>22112.5</v>
      </c>
      <c r="G462" s="78">
        <v>22112.5</v>
      </c>
      <c r="H462" s="78">
        <v>22377.3571429</v>
      </c>
      <c r="I462" s="78">
        <v>22377.3571429</v>
      </c>
      <c r="J462" s="78">
        <v>22377.3571429</v>
      </c>
      <c r="K462" s="78">
        <v>22509.7857143</v>
      </c>
      <c r="L462" s="78">
        <v>22509.7857143</v>
      </c>
      <c r="M462" s="78">
        <v>22509.7857143</v>
      </c>
      <c r="N462" s="78">
        <v>22642.2142857</v>
      </c>
      <c r="O462" s="78">
        <v>22642.2142857</v>
      </c>
      <c r="P462" s="78">
        <v>23304.3571429</v>
      </c>
      <c r="Q462" s="78">
        <f t="shared" si="6"/>
        <v>289326.56699389999</v>
      </c>
    </row>
    <row r="463" spans="1:17" x14ac:dyDescent="0.3">
      <c r="A463" s="177" t="s">
        <v>162</v>
      </c>
      <c r="B463" s="177" t="s">
        <v>3102</v>
      </c>
      <c r="C463" s="78" t="s">
        <v>3103</v>
      </c>
      <c r="D463" s="78">
        <v>0</v>
      </c>
      <c r="E463" s="78">
        <v>2000</v>
      </c>
      <c r="F463" s="78">
        <v>2000</v>
      </c>
      <c r="G463" s="78">
        <v>2000</v>
      </c>
      <c r="H463" s="78">
        <v>2000</v>
      </c>
      <c r="I463" s="78">
        <v>2000</v>
      </c>
      <c r="J463" s="78">
        <v>2000</v>
      </c>
      <c r="K463" s="78">
        <v>2000</v>
      </c>
      <c r="L463" s="78">
        <v>2000</v>
      </c>
      <c r="M463" s="78">
        <v>2000</v>
      </c>
      <c r="N463" s="78">
        <v>2000</v>
      </c>
      <c r="O463" s="78">
        <v>2000</v>
      </c>
      <c r="P463" s="78">
        <v>2000</v>
      </c>
      <c r="Q463" s="78">
        <f t="shared" ref="Q463:Q526" si="7">SUM(D463:P463)</f>
        <v>24000</v>
      </c>
    </row>
    <row r="464" spans="1:17" x14ac:dyDescent="0.3">
      <c r="A464" s="177" t="s">
        <v>162</v>
      </c>
      <c r="B464" s="177" t="s">
        <v>3104</v>
      </c>
      <c r="C464" s="78" t="s">
        <v>3105</v>
      </c>
      <c r="D464" s="78">
        <v>0</v>
      </c>
      <c r="E464" s="78">
        <v>57932.717939299997</v>
      </c>
      <c r="F464" s="78">
        <v>52156.8303313</v>
      </c>
      <c r="G464" s="78">
        <v>57932.717939299997</v>
      </c>
      <c r="H464" s="78">
        <v>61614.987597599997</v>
      </c>
      <c r="I464" s="78">
        <v>61614.987597599997</v>
      </c>
      <c r="J464" s="78">
        <v>61614.987597599997</v>
      </c>
      <c r="K464" s="78">
        <v>63456.1224267</v>
      </c>
      <c r="L464" s="78">
        <v>63456.1224267</v>
      </c>
      <c r="M464" s="78">
        <v>63456.1224267</v>
      </c>
      <c r="N464" s="78">
        <v>65297.257255899996</v>
      </c>
      <c r="O464" s="78">
        <v>65297.257255899996</v>
      </c>
      <c r="P464" s="78">
        <v>74502.931401599999</v>
      </c>
      <c r="Q464" s="78">
        <f t="shared" si="7"/>
        <v>748333.04219619988</v>
      </c>
    </row>
    <row r="465" spans="1:17" x14ac:dyDescent="0.3">
      <c r="A465" s="177" t="s">
        <v>162</v>
      </c>
      <c r="B465" s="177" t="s">
        <v>3106</v>
      </c>
      <c r="C465" s="78" t="s">
        <v>3107</v>
      </c>
      <c r="D465" s="78">
        <v>0</v>
      </c>
      <c r="E465" s="78">
        <v>7482.6022497000004</v>
      </c>
      <c r="F465" s="78">
        <v>7482.6022497000004</v>
      </c>
      <c r="G465" s="78">
        <v>7490.4886066999998</v>
      </c>
      <c r="H465" s="78">
        <v>7644.4317853000002</v>
      </c>
      <c r="I465" s="78">
        <v>7936.5454282000001</v>
      </c>
      <c r="J465" s="78">
        <v>7634.5738388999998</v>
      </c>
      <c r="K465" s="78">
        <v>7709.5738388999998</v>
      </c>
      <c r="L465" s="78">
        <v>7709.5738388999998</v>
      </c>
      <c r="M465" s="78">
        <v>7709.5738388999998</v>
      </c>
      <c r="N465" s="78">
        <v>7790.4886066999998</v>
      </c>
      <c r="O465" s="78">
        <v>7794.4317853000002</v>
      </c>
      <c r="P465" s="78">
        <v>8169.4317853000002</v>
      </c>
      <c r="Q465" s="78">
        <f t="shared" si="7"/>
        <v>92554.317852500011</v>
      </c>
    </row>
    <row r="466" spans="1:17" x14ac:dyDescent="0.3">
      <c r="A466" s="177" t="s">
        <v>162</v>
      </c>
      <c r="B466" s="177" t="s">
        <v>3108</v>
      </c>
      <c r="C466" s="78" t="s">
        <v>3109</v>
      </c>
      <c r="D466" s="78">
        <v>0</v>
      </c>
      <c r="E466" s="78">
        <v>42.700755999999998</v>
      </c>
      <c r="F466" s="78">
        <v>17.700755999999998</v>
      </c>
      <c r="G466" s="78">
        <v>188.70075600000001</v>
      </c>
      <c r="H466" s="78">
        <v>20.2294354</v>
      </c>
      <c r="I466" s="78">
        <v>20.2294354</v>
      </c>
      <c r="J466" s="78">
        <v>38.2294354</v>
      </c>
      <c r="K466" s="78">
        <v>21.493775100000001</v>
      </c>
      <c r="L466" s="78">
        <v>34.493775100000001</v>
      </c>
      <c r="M466" s="78">
        <v>50.493775100000001</v>
      </c>
      <c r="N466" s="78">
        <v>22.758114899999999</v>
      </c>
      <c r="O466" s="78">
        <v>22.758114899999999</v>
      </c>
      <c r="P466" s="78">
        <v>29.079813399999999</v>
      </c>
      <c r="Q466" s="78">
        <f t="shared" si="7"/>
        <v>508.86794270000001</v>
      </c>
    </row>
    <row r="467" spans="1:17" x14ac:dyDescent="0.3">
      <c r="A467" s="177" t="s">
        <v>162</v>
      </c>
      <c r="B467" s="177" t="s">
        <v>3110</v>
      </c>
      <c r="C467" s="78" t="s">
        <v>3111</v>
      </c>
      <c r="D467" s="78">
        <v>0</v>
      </c>
      <c r="E467" s="78">
        <v>679051.41537379997</v>
      </c>
      <c r="F467" s="78">
        <v>640060.6953738</v>
      </c>
      <c r="G467" s="78">
        <v>1394372.1696961999</v>
      </c>
      <c r="H467" s="78">
        <v>1276690.3519025</v>
      </c>
      <c r="I467" s="78">
        <v>1279869.7220596999</v>
      </c>
      <c r="J467" s="78">
        <v>799539.19275389996</v>
      </c>
      <c r="K467" s="78">
        <v>646828.57771360001</v>
      </c>
      <c r="L467" s="78">
        <v>663131.57771360001</v>
      </c>
      <c r="M467" s="78">
        <v>899916.10219320003</v>
      </c>
      <c r="N467" s="78">
        <v>1475602.7095351</v>
      </c>
      <c r="O467" s="78">
        <v>1456932.5994565</v>
      </c>
      <c r="P467" s="78">
        <v>905124.99977540004</v>
      </c>
      <c r="Q467" s="78">
        <f t="shared" si="7"/>
        <v>12117120.113547301</v>
      </c>
    </row>
    <row r="468" spans="1:17" x14ac:dyDescent="0.3">
      <c r="A468" s="177" t="s">
        <v>162</v>
      </c>
      <c r="B468" s="177" t="s">
        <v>3112</v>
      </c>
      <c r="C468" s="78" t="s">
        <v>3113</v>
      </c>
      <c r="D468" s="78">
        <v>0</v>
      </c>
      <c r="E468" s="78">
        <v>3708</v>
      </c>
      <c r="F468" s="78">
        <v>3708</v>
      </c>
      <c r="G468" s="78">
        <v>3708</v>
      </c>
      <c r="H468" s="78">
        <v>3708</v>
      </c>
      <c r="I468" s="78">
        <v>3708</v>
      </c>
      <c r="J468" s="78">
        <v>3708</v>
      </c>
      <c r="K468" s="78">
        <v>3708</v>
      </c>
      <c r="L468" s="78">
        <v>3708</v>
      </c>
      <c r="M468" s="78">
        <v>3708</v>
      </c>
      <c r="N468" s="78">
        <v>3708</v>
      </c>
      <c r="O468" s="78">
        <v>3708</v>
      </c>
      <c r="P468" s="78">
        <v>3708</v>
      </c>
      <c r="Q468" s="78">
        <f t="shared" si="7"/>
        <v>44496</v>
      </c>
    </row>
    <row r="469" spans="1:17" x14ac:dyDescent="0.3">
      <c r="A469" s="177" t="s">
        <v>162</v>
      </c>
      <c r="B469" s="177" t="s">
        <v>3114</v>
      </c>
      <c r="C469" s="78" t="s">
        <v>3115</v>
      </c>
      <c r="D469" s="78">
        <v>0</v>
      </c>
      <c r="E469" s="78">
        <v>18037.565999999999</v>
      </c>
      <c r="F469" s="78">
        <v>18037.565999999999</v>
      </c>
      <c r="G469" s="78">
        <v>18037.565999999999</v>
      </c>
      <c r="H469" s="78">
        <v>20614.361142900001</v>
      </c>
      <c r="I469" s="78">
        <v>20614.361142900001</v>
      </c>
      <c r="J469" s="78">
        <v>20614.361142900001</v>
      </c>
      <c r="K469" s="78">
        <v>21902.758714299998</v>
      </c>
      <c r="L469" s="78">
        <v>21902.758714299998</v>
      </c>
      <c r="M469" s="78">
        <v>21902.758714299998</v>
      </c>
      <c r="N469" s="78">
        <v>23191.156285699999</v>
      </c>
      <c r="O469" s="78">
        <v>23191.156285699999</v>
      </c>
      <c r="P469" s="78">
        <v>29633.144142900001</v>
      </c>
      <c r="Q469" s="78">
        <f t="shared" si="7"/>
        <v>257679.51428590002</v>
      </c>
    </row>
    <row r="470" spans="1:17" x14ac:dyDescent="0.3">
      <c r="A470" s="177" t="s">
        <v>162</v>
      </c>
      <c r="B470" s="177" t="s">
        <v>3116</v>
      </c>
      <c r="C470" s="78" t="s">
        <v>3117</v>
      </c>
      <c r="D470" s="78">
        <v>0</v>
      </c>
      <c r="E470" s="78">
        <v>14371.043386400001</v>
      </c>
      <c r="F470" s="78">
        <v>13174.043386400001</v>
      </c>
      <c r="G470" s="78">
        <v>13063.043386400001</v>
      </c>
      <c r="H470" s="78">
        <v>13736.043386400001</v>
      </c>
      <c r="I470" s="78">
        <v>13933.043386400001</v>
      </c>
      <c r="J470" s="78">
        <v>12713.043386400001</v>
      </c>
      <c r="K470" s="78">
        <v>14099.043386400001</v>
      </c>
      <c r="L470" s="78">
        <v>14250.043386400001</v>
      </c>
      <c r="M470" s="78">
        <v>13971.043386400001</v>
      </c>
      <c r="N470" s="78">
        <v>14574.043386400001</v>
      </c>
      <c r="O470" s="78">
        <v>14681.043386400001</v>
      </c>
      <c r="P470" s="78">
        <v>16024.043386400001</v>
      </c>
      <c r="Q470" s="78">
        <f t="shared" si="7"/>
        <v>168589.52063680007</v>
      </c>
    </row>
    <row r="471" spans="1:17" x14ac:dyDescent="0.3">
      <c r="A471" s="177" t="s">
        <v>162</v>
      </c>
      <c r="B471" s="177" t="s">
        <v>3118</v>
      </c>
      <c r="C471" s="78" t="s">
        <v>3119</v>
      </c>
      <c r="D471" s="78">
        <v>0</v>
      </c>
      <c r="E471" s="78">
        <v>-30219.9433393</v>
      </c>
      <c r="F471" s="78">
        <v>-39844.071460899999</v>
      </c>
      <c r="G471" s="78">
        <v>-40157.159083400002</v>
      </c>
      <c r="H471" s="78">
        <v>-1045.3038899000001</v>
      </c>
      <c r="I471" s="78">
        <v>-35682.926110400003</v>
      </c>
      <c r="J471" s="78">
        <v>-5743.7696740000001</v>
      </c>
      <c r="K471" s="78">
        <v>-32446.660654800002</v>
      </c>
      <c r="L471" s="78">
        <v>26977.605917600002</v>
      </c>
      <c r="M471" s="78">
        <v>-24417.219306200001</v>
      </c>
      <c r="N471" s="78">
        <v>-29943.776946000002</v>
      </c>
      <c r="O471" s="78">
        <v>-27604.7982591</v>
      </c>
      <c r="P471" s="78">
        <v>4282.9126439000001</v>
      </c>
      <c r="Q471" s="78">
        <f t="shared" si="7"/>
        <v>-235845.11016250003</v>
      </c>
    </row>
    <row r="472" spans="1:17" x14ac:dyDescent="0.3">
      <c r="A472" s="177" t="s">
        <v>162</v>
      </c>
      <c r="B472" s="177" t="s">
        <v>3120</v>
      </c>
      <c r="C472" s="78" t="s">
        <v>3121</v>
      </c>
      <c r="D472" s="78">
        <v>0</v>
      </c>
      <c r="E472" s="78">
        <v>261048.3367137</v>
      </c>
      <c r="F472" s="78">
        <v>262861.33671369997</v>
      </c>
      <c r="G472" s="78">
        <v>477176.7819385</v>
      </c>
      <c r="H472" s="78">
        <v>437422.07513180003</v>
      </c>
      <c r="I472" s="78">
        <v>412393.48771999998</v>
      </c>
      <c r="J472" s="78">
        <v>278329.4352675</v>
      </c>
      <c r="K472" s="78">
        <v>286282.38722460001</v>
      </c>
      <c r="L472" s="78">
        <v>291167.38722460001</v>
      </c>
      <c r="M472" s="78">
        <v>314685.38722460001</v>
      </c>
      <c r="N472" s="78">
        <v>325575.92310040002</v>
      </c>
      <c r="O472" s="78">
        <v>321880.31237940001</v>
      </c>
      <c r="P472" s="78">
        <v>361611.07216510002</v>
      </c>
      <c r="Q472" s="78">
        <f t="shared" si="7"/>
        <v>4030433.9228039011</v>
      </c>
    </row>
    <row r="473" spans="1:17" x14ac:dyDescent="0.3">
      <c r="A473" s="177" t="s">
        <v>162</v>
      </c>
      <c r="B473" s="177" t="s">
        <v>3122</v>
      </c>
      <c r="C473" s="78" t="s">
        <v>3123</v>
      </c>
      <c r="D473" s="78">
        <v>0</v>
      </c>
      <c r="E473" s="78">
        <v>59166.67</v>
      </c>
      <c r="F473" s="78">
        <v>59166.67</v>
      </c>
      <c r="G473" s="78">
        <v>59166.67</v>
      </c>
      <c r="H473" s="78">
        <v>59166.67</v>
      </c>
      <c r="I473" s="78">
        <v>39166.67</v>
      </c>
      <c r="J473" s="78">
        <v>-833.33</v>
      </c>
      <c r="K473" s="78">
        <v>-833.33</v>
      </c>
      <c r="L473" s="78">
        <v>-833.33</v>
      </c>
      <c r="M473" s="78">
        <v>-833.33</v>
      </c>
      <c r="N473" s="78">
        <v>-833.33</v>
      </c>
      <c r="O473" s="78">
        <v>-833.33</v>
      </c>
      <c r="P473" s="78">
        <v>-833.33</v>
      </c>
      <c r="Q473" s="78">
        <f t="shared" si="7"/>
        <v>270000.03999999986</v>
      </c>
    </row>
    <row r="474" spans="1:17" x14ac:dyDescent="0.3">
      <c r="A474" s="177" t="s">
        <v>162</v>
      </c>
      <c r="B474" s="177" t="s">
        <v>3124</v>
      </c>
      <c r="C474" s="78" t="s">
        <v>3125</v>
      </c>
      <c r="D474" s="78">
        <v>0</v>
      </c>
      <c r="E474" s="78">
        <v>-1725065.7784523999</v>
      </c>
      <c r="F474" s="78">
        <v>-1727614.7172747001</v>
      </c>
      <c r="G474" s="78">
        <v>-1729720.8993408</v>
      </c>
      <c r="H474" s="78">
        <v>-1729277.5543643001</v>
      </c>
      <c r="I474" s="78">
        <v>-1726066.3547282</v>
      </c>
      <c r="J474" s="78">
        <v>-1741153.7410637999</v>
      </c>
      <c r="K474" s="78">
        <v>-1805980.2710186001</v>
      </c>
      <c r="L474" s="78">
        <v>-1741463.3943357</v>
      </c>
      <c r="M474" s="78">
        <v>-1741683.7347176</v>
      </c>
      <c r="N474" s="78">
        <v>-1742507.3504818999</v>
      </c>
      <c r="O474" s="78">
        <v>-1745609.9023996</v>
      </c>
      <c r="P474" s="78">
        <v>-1764659.5982856001</v>
      </c>
      <c r="Q474" s="78">
        <f t="shared" si="7"/>
        <v>-20920803.296463203</v>
      </c>
    </row>
    <row r="475" spans="1:17" x14ac:dyDescent="0.3">
      <c r="A475" s="177" t="s">
        <v>162</v>
      </c>
      <c r="B475" s="177" t="s">
        <v>3128</v>
      </c>
      <c r="C475" s="78" t="s">
        <v>3129</v>
      </c>
      <c r="D475" s="78">
        <v>0</v>
      </c>
      <c r="E475" s="78">
        <v>0</v>
      </c>
      <c r="F475" s="78">
        <v>0</v>
      </c>
      <c r="G475" s="78">
        <v>0</v>
      </c>
      <c r="H475" s="78">
        <v>0</v>
      </c>
      <c r="I475" s="78">
        <v>0</v>
      </c>
      <c r="J475" s="78">
        <v>0</v>
      </c>
      <c r="K475" s="78">
        <v>0</v>
      </c>
      <c r="L475" s="78">
        <v>0</v>
      </c>
      <c r="M475" s="78">
        <v>0</v>
      </c>
      <c r="N475" s="78">
        <v>0</v>
      </c>
      <c r="O475" s="78">
        <v>0</v>
      </c>
      <c r="P475" s="78">
        <v>626921.64185040002</v>
      </c>
      <c r="Q475" s="78">
        <f t="shared" si="7"/>
        <v>626921.64185040002</v>
      </c>
    </row>
    <row r="476" spans="1:17" x14ac:dyDescent="0.3">
      <c r="A476" s="177" t="s">
        <v>162</v>
      </c>
      <c r="B476" s="177" t="s">
        <v>3130</v>
      </c>
      <c r="C476" s="78" t="s">
        <v>3131</v>
      </c>
      <c r="D476" s="78">
        <v>0</v>
      </c>
      <c r="E476" s="78">
        <v>3833.0832961999999</v>
      </c>
      <c r="F476" s="78">
        <v>3833.03</v>
      </c>
      <c r="G476" s="78">
        <v>3833.03</v>
      </c>
      <c r="H476" s="78">
        <v>3833.03</v>
      </c>
      <c r="I476" s="78">
        <v>3833.03</v>
      </c>
      <c r="J476" s="78">
        <v>3833.03</v>
      </c>
      <c r="K476" s="78">
        <v>3833.03</v>
      </c>
      <c r="L476" s="78">
        <v>3833.03</v>
      </c>
      <c r="M476" s="78">
        <v>3833.03</v>
      </c>
      <c r="N476" s="78">
        <v>3833.03</v>
      </c>
      <c r="O476" s="78">
        <v>3833.03</v>
      </c>
      <c r="P476" s="78">
        <v>3833.03</v>
      </c>
      <c r="Q476" s="78">
        <f t="shared" si="7"/>
        <v>45996.413296199993</v>
      </c>
    </row>
    <row r="477" spans="1:17" x14ac:dyDescent="0.3">
      <c r="A477" s="177" t="s">
        <v>162</v>
      </c>
      <c r="B477" s="177" t="s">
        <v>3132</v>
      </c>
      <c r="C477" s="78" t="s">
        <v>3133</v>
      </c>
      <c r="D477" s="78">
        <v>0</v>
      </c>
      <c r="E477" s="78">
        <v>25220.0776415</v>
      </c>
      <c r="F477" s="78">
        <v>25220.02</v>
      </c>
      <c r="G477" s="78">
        <v>25220.02</v>
      </c>
      <c r="H477" s="78">
        <v>25220.02</v>
      </c>
      <c r="I477" s="78">
        <v>25220.02</v>
      </c>
      <c r="J477" s="78">
        <v>25220.02</v>
      </c>
      <c r="K477" s="78">
        <v>25220.02</v>
      </c>
      <c r="L477" s="78">
        <v>25220.02</v>
      </c>
      <c r="M477" s="78">
        <v>25220.02</v>
      </c>
      <c r="N477" s="78">
        <v>25220.02</v>
      </c>
      <c r="O477" s="78">
        <v>25220.02</v>
      </c>
      <c r="P477" s="78">
        <v>25220.02</v>
      </c>
      <c r="Q477" s="78">
        <f t="shared" si="7"/>
        <v>302640.29764150002</v>
      </c>
    </row>
    <row r="478" spans="1:17" x14ac:dyDescent="0.3">
      <c r="A478" s="177" t="s">
        <v>162</v>
      </c>
      <c r="B478" s="177" t="s">
        <v>3134</v>
      </c>
      <c r="C478" s="78" t="s">
        <v>3135</v>
      </c>
      <c r="D478" s="78">
        <v>0</v>
      </c>
      <c r="E478" s="78">
        <v>4770.1499999999996</v>
      </c>
      <c r="F478" s="78">
        <v>4770.1499999999996</v>
      </c>
      <c r="G478" s="78">
        <v>4770.1499999999996</v>
      </c>
      <c r="H478" s="78">
        <v>4770.1499999999996</v>
      </c>
      <c r="I478" s="78">
        <v>4770.1499999999996</v>
      </c>
      <c r="J478" s="78">
        <v>5247.11</v>
      </c>
      <c r="K478" s="78">
        <v>5247.17</v>
      </c>
      <c r="L478" s="78">
        <v>5247.17</v>
      </c>
      <c r="M478" s="78">
        <v>5247.17</v>
      </c>
      <c r="N478" s="78">
        <v>5247.17</v>
      </c>
      <c r="O478" s="78">
        <v>5247.17</v>
      </c>
      <c r="P478" s="78">
        <v>5247.17</v>
      </c>
      <c r="Q478" s="78">
        <f t="shared" si="7"/>
        <v>60580.87999999999</v>
      </c>
    </row>
    <row r="479" spans="1:17" x14ac:dyDescent="0.3">
      <c r="A479" s="177" t="s">
        <v>162</v>
      </c>
      <c r="B479" s="177" t="s">
        <v>3136</v>
      </c>
      <c r="C479" s="78" t="s">
        <v>3137</v>
      </c>
      <c r="D479" s="78">
        <v>0</v>
      </c>
      <c r="E479" s="78">
        <v>1361534.78</v>
      </c>
      <c r="F479" s="78">
        <v>1361534.78</v>
      </c>
      <c r="G479" s="78">
        <v>1361534.78</v>
      </c>
      <c r="H479" s="78">
        <v>1361534.78</v>
      </c>
      <c r="I479" s="78">
        <v>1361534.78</v>
      </c>
      <c r="J479" s="78">
        <v>1497296.1153561</v>
      </c>
      <c r="K479" s="78">
        <v>1497296.18</v>
      </c>
      <c r="L479" s="78">
        <v>1497296.18</v>
      </c>
      <c r="M479" s="78">
        <v>1497296.18</v>
      </c>
      <c r="N479" s="78">
        <v>1497296.18</v>
      </c>
      <c r="O479" s="78">
        <v>1497296.18</v>
      </c>
      <c r="P479" s="78">
        <v>1497296.18</v>
      </c>
      <c r="Q479" s="78">
        <f t="shared" si="7"/>
        <v>17288747.095356099</v>
      </c>
    </row>
    <row r="480" spans="1:17" x14ac:dyDescent="0.3">
      <c r="A480" s="177" t="s">
        <v>162</v>
      </c>
      <c r="B480" s="177" t="s">
        <v>3138</v>
      </c>
      <c r="C480" s="78" t="s">
        <v>3139</v>
      </c>
      <c r="D480" s="78">
        <v>0</v>
      </c>
      <c r="E480" s="78">
        <v>6202.2823920999999</v>
      </c>
      <c r="F480" s="78">
        <v>6202.31</v>
      </c>
      <c r="G480" s="78">
        <v>6202.31</v>
      </c>
      <c r="H480" s="78">
        <v>6202.31</v>
      </c>
      <c r="I480" s="78">
        <v>6202.31</v>
      </c>
      <c r="J480" s="78">
        <v>6202.31</v>
      </c>
      <c r="K480" s="78">
        <v>6202.31</v>
      </c>
      <c r="L480" s="78">
        <v>6202.31</v>
      </c>
      <c r="M480" s="78">
        <v>6202.31</v>
      </c>
      <c r="N480" s="78">
        <v>6202.31</v>
      </c>
      <c r="O480" s="78">
        <v>6202.31</v>
      </c>
      <c r="P480" s="78">
        <v>6202.31</v>
      </c>
      <c r="Q480" s="78">
        <f t="shared" si="7"/>
        <v>74427.692392099998</v>
      </c>
    </row>
    <row r="481" spans="1:17" x14ac:dyDescent="0.3">
      <c r="A481" s="177" t="s">
        <v>162</v>
      </c>
      <c r="B481" s="177" t="s">
        <v>3140</v>
      </c>
      <c r="C481" s="78" t="s">
        <v>3141</v>
      </c>
      <c r="D481" s="78">
        <v>0</v>
      </c>
      <c r="E481" s="78">
        <v>311566.98814209999</v>
      </c>
      <c r="F481" s="78">
        <v>311566.98814209999</v>
      </c>
      <c r="G481" s="78">
        <v>311566.98814209999</v>
      </c>
      <c r="H481" s="78">
        <v>311566.98814209999</v>
      </c>
      <c r="I481" s="78">
        <v>311566.98814209999</v>
      </c>
      <c r="J481" s="78">
        <v>311566.98814209999</v>
      </c>
      <c r="K481" s="78">
        <v>311566.98814209999</v>
      </c>
      <c r="L481" s="78">
        <v>311566.98814209999</v>
      </c>
      <c r="M481" s="78">
        <v>311566.98814209999</v>
      </c>
      <c r="N481" s="78">
        <v>311566.98814209999</v>
      </c>
      <c r="O481" s="78">
        <v>311566.98814209999</v>
      </c>
      <c r="P481" s="78">
        <v>311566.98814209999</v>
      </c>
      <c r="Q481" s="78">
        <f t="shared" si="7"/>
        <v>3738803.8577052006</v>
      </c>
    </row>
    <row r="482" spans="1:17" x14ac:dyDescent="0.3">
      <c r="A482" s="177" t="s">
        <v>162</v>
      </c>
      <c r="B482" s="177" t="s">
        <v>3142</v>
      </c>
      <c r="C482" s="78" t="s">
        <v>3143</v>
      </c>
      <c r="D482" s="78">
        <v>0</v>
      </c>
      <c r="E482" s="78">
        <v>5939</v>
      </c>
      <c r="F482" s="78">
        <v>5939</v>
      </c>
      <c r="G482" s="78">
        <v>5939</v>
      </c>
      <c r="H482" s="78">
        <v>5939</v>
      </c>
      <c r="I482" s="78">
        <v>5939</v>
      </c>
      <c r="J482" s="78">
        <v>5939</v>
      </c>
      <c r="K482" s="78">
        <v>5939</v>
      </c>
      <c r="L482" s="78">
        <v>5939</v>
      </c>
      <c r="M482" s="78">
        <v>5939</v>
      </c>
      <c r="N482" s="78">
        <v>5939</v>
      </c>
      <c r="O482" s="78">
        <v>5939</v>
      </c>
      <c r="P482" s="78">
        <v>5939</v>
      </c>
      <c r="Q482" s="78">
        <f t="shared" si="7"/>
        <v>71268</v>
      </c>
    </row>
    <row r="483" spans="1:17" x14ac:dyDescent="0.3">
      <c r="A483" s="177" t="s">
        <v>162</v>
      </c>
      <c r="B483" s="177" t="s">
        <v>3144</v>
      </c>
      <c r="C483" s="78" t="s">
        <v>3145</v>
      </c>
      <c r="D483" s="78">
        <v>0</v>
      </c>
      <c r="E483" s="78">
        <v>1115434.83</v>
      </c>
      <c r="F483" s="78">
        <v>1115434.83</v>
      </c>
      <c r="G483" s="78">
        <v>1285425.97</v>
      </c>
      <c r="H483" s="78">
        <v>1285425.95</v>
      </c>
      <c r="I483" s="78">
        <v>1285425.95</v>
      </c>
      <c r="J483" s="78">
        <v>1285425.95</v>
      </c>
      <c r="K483" s="78">
        <v>1285425.95</v>
      </c>
      <c r="L483" s="78">
        <v>1285425.95</v>
      </c>
      <c r="M483" s="78">
        <v>1285425.95</v>
      </c>
      <c r="N483" s="78">
        <v>1285425.95</v>
      </c>
      <c r="O483" s="78">
        <v>1285425.95</v>
      </c>
      <c r="P483" s="78">
        <v>1285425.95</v>
      </c>
      <c r="Q483" s="78">
        <f t="shared" si="7"/>
        <v>15085129.179999996</v>
      </c>
    </row>
    <row r="484" spans="1:17" x14ac:dyDescent="0.3">
      <c r="A484" s="177" t="s">
        <v>162</v>
      </c>
      <c r="B484" s="177" t="s">
        <v>3146</v>
      </c>
      <c r="C484" s="78" t="s">
        <v>3147</v>
      </c>
      <c r="D484" s="78">
        <v>0</v>
      </c>
      <c r="E484" s="78">
        <v>16478.28</v>
      </c>
      <c r="F484" s="78">
        <v>16478.28</v>
      </c>
      <c r="G484" s="78">
        <v>16478.28</v>
      </c>
      <c r="H484" s="78">
        <v>16478.28</v>
      </c>
      <c r="I484" s="78">
        <v>16478.28</v>
      </c>
      <c r="J484" s="78">
        <v>18124.7277072</v>
      </c>
      <c r="K484" s="78">
        <v>18124.740000000002</v>
      </c>
      <c r="L484" s="78">
        <v>18124.740000000002</v>
      </c>
      <c r="M484" s="78">
        <v>18124.740000000002</v>
      </c>
      <c r="N484" s="78">
        <v>18124.740000000002</v>
      </c>
      <c r="O484" s="78">
        <v>18124.740000000002</v>
      </c>
      <c r="P484" s="78">
        <v>18124.740000000002</v>
      </c>
      <c r="Q484" s="78">
        <f t="shared" si="7"/>
        <v>209264.56770719995</v>
      </c>
    </row>
    <row r="485" spans="1:17" x14ac:dyDescent="0.3">
      <c r="A485" s="177" t="s">
        <v>162</v>
      </c>
      <c r="B485" s="177" t="s">
        <v>3148</v>
      </c>
      <c r="C485" s="78" t="s">
        <v>3149</v>
      </c>
      <c r="D485" s="78">
        <v>0</v>
      </c>
      <c r="E485" s="78">
        <v>412.83415380000002</v>
      </c>
      <c r="F485" s="78">
        <v>412.82</v>
      </c>
      <c r="G485" s="78">
        <v>412.82</v>
      </c>
      <c r="H485" s="78">
        <v>412.82</v>
      </c>
      <c r="I485" s="78">
        <v>412.82</v>
      </c>
      <c r="J485" s="78">
        <v>412.82</v>
      </c>
      <c r="K485" s="78">
        <v>412.82</v>
      </c>
      <c r="L485" s="78">
        <v>412.82</v>
      </c>
      <c r="M485" s="78">
        <v>412.82</v>
      </c>
      <c r="N485" s="78">
        <v>412.82</v>
      </c>
      <c r="O485" s="78">
        <v>412.82</v>
      </c>
      <c r="P485" s="78">
        <v>412.82</v>
      </c>
      <c r="Q485" s="78">
        <f t="shared" si="7"/>
        <v>4953.8541537999999</v>
      </c>
    </row>
    <row r="486" spans="1:17" x14ac:dyDescent="0.3">
      <c r="A486" s="177" t="s">
        <v>162</v>
      </c>
      <c r="B486" s="177" t="s">
        <v>3150</v>
      </c>
      <c r="C486" s="78" t="s">
        <v>3151</v>
      </c>
      <c r="D486" s="78">
        <v>0</v>
      </c>
      <c r="E486" s="78">
        <v>110.25</v>
      </c>
      <c r="F486" s="78">
        <v>110.25</v>
      </c>
      <c r="G486" s="78">
        <v>110.25</v>
      </c>
      <c r="H486" s="78">
        <v>110.25</v>
      </c>
      <c r="I486" s="78">
        <v>110.25</v>
      </c>
      <c r="J486" s="78">
        <v>110.25</v>
      </c>
      <c r="K486" s="78">
        <v>110.25</v>
      </c>
      <c r="L486" s="78">
        <v>110.25</v>
      </c>
      <c r="M486" s="78">
        <v>110.25</v>
      </c>
      <c r="N486" s="78">
        <v>110.25</v>
      </c>
      <c r="O486" s="78">
        <v>110.25</v>
      </c>
      <c r="P486" s="78">
        <v>110.25</v>
      </c>
      <c r="Q486" s="78">
        <f t="shared" si="7"/>
        <v>1323</v>
      </c>
    </row>
    <row r="487" spans="1:17" x14ac:dyDescent="0.3">
      <c r="A487" s="177" t="s">
        <v>162</v>
      </c>
      <c r="B487" s="177" t="s">
        <v>3152</v>
      </c>
      <c r="C487" s="78" t="s">
        <v>3153</v>
      </c>
      <c r="D487" s="78">
        <v>0</v>
      </c>
      <c r="E487" s="78">
        <v>106.72</v>
      </c>
      <c r="F487" s="78">
        <v>106.72</v>
      </c>
      <c r="G487" s="78">
        <v>106.72</v>
      </c>
      <c r="H487" s="78">
        <v>106.72</v>
      </c>
      <c r="I487" s="78">
        <v>106.72</v>
      </c>
      <c r="J487" s="78">
        <v>106.72</v>
      </c>
      <c r="K487" s="78">
        <v>106.72</v>
      </c>
      <c r="L487" s="78">
        <v>106.72</v>
      </c>
      <c r="M487" s="78">
        <v>106.72</v>
      </c>
      <c r="N487" s="78">
        <v>106.72</v>
      </c>
      <c r="O487" s="78">
        <v>106.72</v>
      </c>
      <c r="P487" s="78">
        <v>106.72</v>
      </c>
      <c r="Q487" s="78">
        <f t="shared" si="7"/>
        <v>1280.6400000000001</v>
      </c>
    </row>
    <row r="488" spans="1:17" x14ac:dyDescent="0.3">
      <c r="A488" s="177" t="s">
        <v>162</v>
      </c>
      <c r="B488" s="177" t="s">
        <v>3154</v>
      </c>
      <c r="C488" s="78" t="s">
        <v>3155</v>
      </c>
      <c r="D488" s="78">
        <v>0</v>
      </c>
      <c r="E488" s="78">
        <v>46378</v>
      </c>
      <c r="F488" s="78">
        <v>46378</v>
      </c>
      <c r="G488" s="78">
        <v>49820</v>
      </c>
      <c r="H488" s="78">
        <v>46378</v>
      </c>
      <c r="I488" s="78">
        <v>46378</v>
      </c>
      <c r="J488" s="78">
        <v>51443</v>
      </c>
      <c r="K488" s="78">
        <v>48001</v>
      </c>
      <c r="L488" s="78">
        <v>48001</v>
      </c>
      <c r="M488" s="78">
        <v>51443</v>
      </c>
      <c r="N488" s="78">
        <v>48001</v>
      </c>
      <c r="O488" s="78">
        <v>48001</v>
      </c>
      <c r="P488" s="78">
        <v>51443</v>
      </c>
      <c r="Q488" s="78">
        <f t="shared" si="7"/>
        <v>581665</v>
      </c>
    </row>
    <row r="489" spans="1:17" x14ac:dyDescent="0.3">
      <c r="A489" s="177" t="s">
        <v>162</v>
      </c>
      <c r="B489" s="177" t="s">
        <v>3156</v>
      </c>
      <c r="C489" s="78" t="s">
        <v>3157</v>
      </c>
      <c r="D489" s="78">
        <v>0</v>
      </c>
      <c r="E489" s="78">
        <v>323879.34000000003</v>
      </c>
      <c r="F489" s="78">
        <v>323879.34000000003</v>
      </c>
      <c r="G489" s="78">
        <v>383268.63</v>
      </c>
      <c r="H489" s="78">
        <v>383268.67</v>
      </c>
      <c r="I489" s="78">
        <v>383268.67</v>
      </c>
      <c r="J489" s="78">
        <v>383268.67</v>
      </c>
      <c r="K489" s="78">
        <v>383268.67</v>
      </c>
      <c r="L489" s="78">
        <v>383268.67</v>
      </c>
      <c r="M489" s="78">
        <v>383268.67</v>
      </c>
      <c r="N489" s="78">
        <v>383268.67</v>
      </c>
      <c r="O489" s="78">
        <v>383268.67</v>
      </c>
      <c r="P489" s="78">
        <v>383268.67</v>
      </c>
      <c r="Q489" s="78">
        <f t="shared" si="7"/>
        <v>4480445.34</v>
      </c>
    </row>
    <row r="490" spans="1:17" x14ac:dyDescent="0.3">
      <c r="A490" s="177" t="s">
        <v>162</v>
      </c>
      <c r="B490" s="177" t="s">
        <v>3158</v>
      </c>
      <c r="C490" s="78" t="s">
        <v>3159</v>
      </c>
      <c r="D490" s="78">
        <v>0</v>
      </c>
      <c r="E490" s="78">
        <v>58495.101560000003</v>
      </c>
      <c r="F490" s="78">
        <v>58495.07</v>
      </c>
      <c r="G490" s="78">
        <v>58495.07</v>
      </c>
      <c r="H490" s="78">
        <v>58495.07</v>
      </c>
      <c r="I490" s="78">
        <v>58537.6156233</v>
      </c>
      <c r="J490" s="78">
        <v>58537.66</v>
      </c>
      <c r="K490" s="78">
        <v>58537.66</v>
      </c>
      <c r="L490" s="78">
        <v>64723.904999999999</v>
      </c>
      <c r="M490" s="78">
        <v>64724</v>
      </c>
      <c r="N490" s="78">
        <v>64724</v>
      </c>
      <c r="O490" s="78">
        <v>64724</v>
      </c>
      <c r="P490" s="78">
        <v>64739.087975000002</v>
      </c>
      <c r="Q490" s="78">
        <f t="shared" si="7"/>
        <v>733228.24015830015</v>
      </c>
    </row>
    <row r="491" spans="1:17" x14ac:dyDescent="0.3">
      <c r="A491" s="177" t="s">
        <v>162</v>
      </c>
      <c r="B491" s="177" t="s">
        <v>3160</v>
      </c>
      <c r="C491" s="78" t="s">
        <v>3161</v>
      </c>
      <c r="D491" s="78">
        <v>0</v>
      </c>
      <c r="E491" s="78">
        <v>3184.8333333</v>
      </c>
      <c r="F491" s="78">
        <v>3184.8333333</v>
      </c>
      <c r="G491" s="78">
        <v>3184.8333333</v>
      </c>
      <c r="H491" s="78">
        <v>4700.8333333</v>
      </c>
      <c r="I491" s="78">
        <v>3184.8333333</v>
      </c>
      <c r="J491" s="78">
        <v>3184.8333333</v>
      </c>
      <c r="K491" s="78">
        <v>3184.8333333</v>
      </c>
      <c r="L491" s="78">
        <v>3184.8333333</v>
      </c>
      <c r="M491" s="78">
        <v>3184.8333333</v>
      </c>
      <c r="N491" s="78">
        <v>3184.8333333</v>
      </c>
      <c r="O491" s="78">
        <v>3184.8333333</v>
      </c>
      <c r="P491" s="78">
        <v>3184.8333333</v>
      </c>
      <c r="Q491" s="78">
        <f t="shared" si="7"/>
        <v>39733.999999599997</v>
      </c>
    </row>
    <row r="492" spans="1:17" x14ac:dyDescent="0.3">
      <c r="A492" s="177" t="s">
        <v>162</v>
      </c>
      <c r="B492" s="177" t="s">
        <v>3162</v>
      </c>
      <c r="C492" s="78" t="s">
        <v>3163</v>
      </c>
      <c r="D492" s="78">
        <v>0</v>
      </c>
      <c r="E492" s="78">
        <v>6427.9066249999996</v>
      </c>
      <c r="F492" s="78">
        <v>6427.9066249999996</v>
      </c>
      <c r="G492" s="78">
        <v>6427.9066249999996</v>
      </c>
      <c r="H492" s="78">
        <v>6427.9066249999996</v>
      </c>
      <c r="I492" s="78">
        <v>6427.9066249999996</v>
      </c>
      <c r="J492" s="78">
        <v>6427.9066249999996</v>
      </c>
      <c r="K492" s="78">
        <v>6427.9066249999996</v>
      </c>
      <c r="L492" s="78">
        <v>6427.9066249999996</v>
      </c>
      <c r="M492" s="78">
        <v>6427.9066249999996</v>
      </c>
      <c r="N492" s="78">
        <v>6427.9066249999996</v>
      </c>
      <c r="O492" s="78">
        <v>6427.9066249999996</v>
      </c>
      <c r="P492" s="78">
        <v>6427.9066249999996</v>
      </c>
      <c r="Q492" s="78">
        <f t="shared" si="7"/>
        <v>77134.87950000001</v>
      </c>
    </row>
    <row r="493" spans="1:17" x14ac:dyDescent="0.3">
      <c r="A493" s="177" t="s">
        <v>162</v>
      </c>
      <c r="B493" s="177" t="s">
        <v>3164</v>
      </c>
      <c r="C493" s="78" t="s">
        <v>3165</v>
      </c>
      <c r="D493" s="78">
        <v>0</v>
      </c>
      <c r="E493" s="78">
        <v>52</v>
      </c>
      <c r="F493" s="78">
        <v>160</v>
      </c>
      <c r="G493" s="78">
        <v>2</v>
      </c>
      <c r="H493" s="78">
        <v>1568</v>
      </c>
      <c r="I493" s="78">
        <v>21</v>
      </c>
      <c r="J493" s="78">
        <v>0</v>
      </c>
      <c r="K493" s="78">
        <v>0</v>
      </c>
      <c r="L493" s="78">
        <v>0</v>
      </c>
      <c r="M493" s="78">
        <v>0</v>
      </c>
      <c r="N493" s="78">
        <v>0</v>
      </c>
      <c r="O493" s="78">
        <v>0</v>
      </c>
      <c r="P493" s="78">
        <v>4651</v>
      </c>
      <c r="Q493" s="78">
        <f t="shared" si="7"/>
        <v>6454</v>
      </c>
    </row>
    <row r="494" spans="1:17" x14ac:dyDescent="0.3">
      <c r="A494" s="177" t="s">
        <v>162</v>
      </c>
      <c r="B494" s="177" t="s">
        <v>3166</v>
      </c>
      <c r="C494" s="78" t="s">
        <v>3167</v>
      </c>
      <c r="D494" s="78">
        <v>0</v>
      </c>
      <c r="E494" s="78">
        <v>33084</v>
      </c>
      <c r="F494" s="78">
        <v>33084</v>
      </c>
      <c r="G494" s="78">
        <v>33084</v>
      </c>
      <c r="H494" s="78">
        <v>34772</v>
      </c>
      <c r="I494" s="78">
        <v>33084</v>
      </c>
      <c r="J494" s="78">
        <v>33084</v>
      </c>
      <c r="K494" s="78">
        <v>33084</v>
      </c>
      <c r="L494" s="78">
        <v>33084</v>
      </c>
      <c r="M494" s="78">
        <v>33084</v>
      </c>
      <c r="N494" s="78">
        <v>33084</v>
      </c>
      <c r="O494" s="78">
        <v>33084</v>
      </c>
      <c r="P494" s="78">
        <v>33084</v>
      </c>
      <c r="Q494" s="78">
        <f t="shared" si="7"/>
        <v>398696</v>
      </c>
    </row>
    <row r="495" spans="1:17" x14ac:dyDescent="0.3">
      <c r="A495" s="177" t="s">
        <v>162</v>
      </c>
      <c r="B495" s="177" t="s">
        <v>3168</v>
      </c>
      <c r="C495" s="78" t="s">
        <v>3169</v>
      </c>
      <c r="D495" s="78">
        <v>0</v>
      </c>
      <c r="E495" s="78">
        <v>115833</v>
      </c>
      <c r="F495" s="78">
        <v>115833</v>
      </c>
      <c r="G495" s="78">
        <v>115833</v>
      </c>
      <c r="H495" s="78">
        <v>115833</v>
      </c>
      <c r="I495" s="78">
        <v>115833</v>
      </c>
      <c r="J495" s="78">
        <v>115833</v>
      </c>
      <c r="K495" s="78">
        <v>115833</v>
      </c>
      <c r="L495" s="78">
        <v>115833</v>
      </c>
      <c r="M495" s="78">
        <v>115833</v>
      </c>
      <c r="N495" s="78">
        <v>115833</v>
      </c>
      <c r="O495" s="78">
        <v>115833</v>
      </c>
      <c r="P495" s="78">
        <v>132337</v>
      </c>
      <c r="Q495" s="78">
        <f t="shared" si="7"/>
        <v>1406500</v>
      </c>
    </row>
    <row r="496" spans="1:17" x14ac:dyDescent="0.3">
      <c r="A496" s="177" t="s">
        <v>162</v>
      </c>
      <c r="B496" s="177" t="s">
        <v>3170</v>
      </c>
      <c r="C496" s="78" t="s">
        <v>3171</v>
      </c>
      <c r="D496" s="78">
        <v>0</v>
      </c>
      <c r="E496" s="78">
        <v>122850.254875</v>
      </c>
      <c r="F496" s="78">
        <v>122850.254875</v>
      </c>
      <c r="G496" s="78">
        <v>122850.254875</v>
      </c>
      <c r="H496" s="78">
        <v>122850.254875</v>
      </c>
      <c r="I496" s="78">
        <v>122850.254875</v>
      </c>
      <c r="J496" s="78">
        <v>122850.254875</v>
      </c>
      <c r="K496" s="78">
        <v>122850.254875</v>
      </c>
      <c r="L496" s="78">
        <v>122850.254875</v>
      </c>
      <c r="M496" s="78">
        <v>122850.254875</v>
      </c>
      <c r="N496" s="78">
        <v>122850.254875</v>
      </c>
      <c r="O496" s="78">
        <v>122850.254875</v>
      </c>
      <c r="P496" s="78">
        <v>122850.254875</v>
      </c>
      <c r="Q496" s="78">
        <f t="shared" si="7"/>
        <v>1474203.0585000003</v>
      </c>
    </row>
    <row r="497" spans="1:17" x14ac:dyDescent="0.3">
      <c r="A497" s="177" t="s">
        <v>162</v>
      </c>
      <c r="B497" s="177" t="s">
        <v>3172</v>
      </c>
      <c r="C497" s="78" t="s">
        <v>3173</v>
      </c>
      <c r="D497" s="78">
        <v>0</v>
      </c>
      <c r="E497" s="78">
        <v>14089.880625</v>
      </c>
      <c r="F497" s="78">
        <v>14138.480625</v>
      </c>
      <c r="G497" s="78">
        <v>14138.480625</v>
      </c>
      <c r="H497" s="78">
        <v>14138.480625</v>
      </c>
      <c r="I497" s="78">
        <v>14175.620625</v>
      </c>
      <c r="J497" s="78">
        <v>14175.620625</v>
      </c>
      <c r="K497" s="78">
        <v>14175.620625</v>
      </c>
      <c r="L497" s="78">
        <v>14175.620625</v>
      </c>
      <c r="M497" s="78">
        <v>14175.620625</v>
      </c>
      <c r="N497" s="78">
        <v>14175.620625</v>
      </c>
      <c r="O497" s="78">
        <v>14175.620625</v>
      </c>
      <c r="P497" s="78">
        <v>14175.620625</v>
      </c>
      <c r="Q497" s="78">
        <f t="shared" si="7"/>
        <v>169910.28750000001</v>
      </c>
    </row>
    <row r="498" spans="1:17" x14ac:dyDescent="0.3">
      <c r="A498" s="177" t="s">
        <v>162</v>
      </c>
      <c r="B498" s="177" t="s">
        <v>3174</v>
      </c>
      <c r="C498" s="78" t="s">
        <v>3175</v>
      </c>
      <c r="D498" s="78">
        <v>0</v>
      </c>
      <c r="E498" s="78">
        <v>57804.7</v>
      </c>
      <c r="F498" s="78">
        <v>14646</v>
      </c>
      <c r="G498" s="78">
        <v>14646</v>
      </c>
      <c r="H498" s="78">
        <v>14646</v>
      </c>
      <c r="I498" s="78">
        <v>14646</v>
      </c>
      <c r="J498" s="78">
        <v>14646</v>
      </c>
      <c r="K498" s="78">
        <v>14646</v>
      </c>
      <c r="L498" s="78">
        <v>14646</v>
      </c>
      <c r="M498" s="78">
        <v>14646</v>
      </c>
      <c r="N498" s="78">
        <v>14646</v>
      </c>
      <c r="O498" s="78">
        <v>14646</v>
      </c>
      <c r="P498" s="78">
        <v>14646</v>
      </c>
      <c r="Q498" s="78">
        <f t="shared" si="7"/>
        <v>218910.7</v>
      </c>
    </row>
    <row r="499" spans="1:17" x14ac:dyDescent="0.3">
      <c r="A499" s="177" t="s">
        <v>162</v>
      </c>
      <c r="B499" s="177" t="s">
        <v>3176</v>
      </c>
      <c r="C499" s="78" t="s">
        <v>3177</v>
      </c>
      <c r="D499" s="78">
        <v>0</v>
      </c>
      <c r="E499" s="78">
        <v>4500</v>
      </c>
      <c r="F499" s="78">
        <v>4500</v>
      </c>
      <c r="G499" s="78">
        <v>4500</v>
      </c>
      <c r="H499" s="78">
        <v>4500</v>
      </c>
      <c r="I499" s="78">
        <v>4500</v>
      </c>
      <c r="J499" s="78">
        <v>4500</v>
      </c>
      <c r="K499" s="78">
        <v>4500</v>
      </c>
      <c r="L499" s="78">
        <v>4500</v>
      </c>
      <c r="M499" s="78">
        <v>4500</v>
      </c>
      <c r="N499" s="78">
        <v>4500</v>
      </c>
      <c r="O499" s="78">
        <v>4500</v>
      </c>
      <c r="P499" s="78">
        <v>4500</v>
      </c>
      <c r="Q499" s="78">
        <f t="shared" si="7"/>
        <v>54000</v>
      </c>
    </row>
    <row r="500" spans="1:17" x14ac:dyDescent="0.3">
      <c r="A500" s="177" t="s">
        <v>162</v>
      </c>
      <c r="B500" s="177" t="s">
        <v>3178</v>
      </c>
      <c r="C500" s="78" t="s">
        <v>3179</v>
      </c>
      <c r="D500" s="78">
        <v>0</v>
      </c>
      <c r="E500" s="78">
        <v>263044.44071400003</v>
      </c>
      <c r="F500" s="78">
        <v>263176.77071399998</v>
      </c>
      <c r="G500" s="78">
        <v>264995.74071400001</v>
      </c>
      <c r="H500" s="78">
        <v>267818.100714</v>
      </c>
      <c r="I500" s="78">
        <v>265293.850714</v>
      </c>
      <c r="J500" s="78">
        <v>264327.53071399999</v>
      </c>
      <c r="K500" s="78">
        <v>264376.53071399999</v>
      </c>
      <c r="L500" s="78">
        <v>264231.53071399999</v>
      </c>
      <c r="M500" s="78">
        <v>263995.53071399999</v>
      </c>
      <c r="N500" s="78">
        <v>265496.53071399999</v>
      </c>
      <c r="O500" s="78">
        <v>269191.03071399999</v>
      </c>
      <c r="P500" s="78">
        <v>267238.83071399998</v>
      </c>
      <c r="Q500" s="78">
        <f t="shared" si="7"/>
        <v>3183186.4185680002</v>
      </c>
    </row>
    <row r="501" spans="1:17" x14ac:dyDescent="0.3">
      <c r="A501" s="177" t="s">
        <v>162</v>
      </c>
      <c r="B501" s="177" t="s">
        <v>3180</v>
      </c>
      <c r="C501" s="78" t="s">
        <v>3181</v>
      </c>
      <c r="D501" s="78">
        <v>0</v>
      </c>
      <c r="E501" s="78">
        <v>7500</v>
      </c>
      <c r="F501" s="78">
        <v>7500</v>
      </c>
      <c r="G501" s="78">
        <v>7500</v>
      </c>
      <c r="H501" s="78">
        <v>7500</v>
      </c>
      <c r="I501" s="78">
        <v>7500</v>
      </c>
      <c r="J501" s="78">
        <v>7500</v>
      </c>
      <c r="K501" s="78">
        <v>7500</v>
      </c>
      <c r="L501" s="78">
        <v>7500</v>
      </c>
      <c r="M501" s="78">
        <v>7500</v>
      </c>
      <c r="N501" s="78">
        <v>7500</v>
      </c>
      <c r="O501" s="78">
        <v>7500</v>
      </c>
      <c r="P501" s="78">
        <v>7500</v>
      </c>
      <c r="Q501" s="78">
        <f t="shared" si="7"/>
        <v>90000</v>
      </c>
    </row>
    <row r="502" spans="1:17" x14ac:dyDescent="0.3">
      <c r="A502" s="177" t="s">
        <v>162</v>
      </c>
      <c r="B502" s="177" t="s">
        <v>3182</v>
      </c>
      <c r="C502" s="78" t="s">
        <v>3183</v>
      </c>
      <c r="D502" s="78">
        <v>0</v>
      </c>
      <c r="E502" s="78">
        <v>143177.85887600001</v>
      </c>
      <c r="F502" s="78">
        <v>143177.85887600001</v>
      </c>
      <c r="G502" s="78">
        <v>148177.85887600001</v>
      </c>
      <c r="H502" s="78">
        <v>155638.4330011</v>
      </c>
      <c r="I502" s="78">
        <v>160417.55300109999</v>
      </c>
      <c r="J502" s="78">
        <v>170417.55300109999</v>
      </c>
      <c r="K502" s="78">
        <v>174037.40006370001</v>
      </c>
      <c r="L502" s="78">
        <v>174037.40006370001</v>
      </c>
      <c r="M502" s="78">
        <v>154037.40006370001</v>
      </c>
      <c r="N502" s="78">
        <v>157657.2471263</v>
      </c>
      <c r="O502" s="78">
        <v>217657.2471263</v>
      </c>
      <c r="P502" s="78">
        <v>235756.48243909999</v>
      </c>
      <c r="Q502" s="78">
        <f t="shared" si="7"/>
        <v>2034190.2925141</v>
      </c>
    </row>
    <row r="503" spans="1:17" x14ac:dyDescent="0.3">
      <c r="A503" s="177" t="s">
        <v>162</v>
      </c>
      <c r="B503" s="177" t="s">
        <v>3184</v>
      </c>
      <c r="C503" s="78" t="s">
        <v>3185</v>
      </c>
      <c r="D503" s="78">
        <v>0</v>
      </c>
      <c r="E503" s="78">
        <v>8940.2666666999994</v>
      </c>
      <c r="F503" s="78">
        <v>8940.2666666999994</v>
      </c>
      <c r="G503" s="78">
        <v>8940.2666666999994</v>
      </c>
      <c r="H503" s="78">
        <v>8940.2666666999994</v>
      </c>
      <c r="I503" s="78">
        <v>8940.2666666999994</v>
      </c>
      <c r="J503" s="78">
        <v>8940.2666666999994</v>
      </c>
      <c r="K503" s="78">
        <v>8940.2666666999994</v>
      </c>
      <c r="L503" s="78">
        <v>8940.2666666999994</v>
      </c>
      <c r="M503" s="78">
        <v>8940.2666666999994</v>
      </c>
      <c r="N503" s="78">
        <v>8940.2666666999994</v>
      </c>
      <c r="O503" s="78">
        <v>8940.2666666999994</v>
      </c>
      <c r="P503" s="78">
        <v>8948.5666667000005</v>
      </c>
      <c r="Q503" s="78">
        <f t="shared" si="7"/>
        <v>107291.5000004</v>
      </c>
    </row>
    <row r="504" spans="1:17" x14ac:dyDescent="0.3">
      <c r="A504" s="177" t="s">
        <v>162</v>
      </c>
      <c r="B504" s="177" t="s">
        <v>3362</v>
      </c>
      <c r="C504" s="78" t="s">
        <v>3363</v>
      </c>
      <c r="D504" s="78">
        <v>0</v>
      </c>
      <c r="E504" s="78">
        <v>-19750</v>
      </c>
      <c r="F504" s="78">
        <v>-19750</v>
      </c>
      <c r="G504" s="78">
        <v>-19750</v>
      </c>
      <c r="H504" s="78">
        <v>-19750</v>
      </c>
      <c r="I504" s="78">
        <v>-19750</v>
      </c>
      <c r="J504" s="78">
        <v>-19750</v>
      </c>
      <c r="K504" s="78">
        <v>-19750</v>
      </c>
      <c r="L504" s="78">
        <v>-19750</v>
      </c>
      <c r="M504" s="78">
        <v>-19750</v>
      </c>
      <c r="N504" s="78">
        <v>-19750</v>
      </c>
      <c r="O504" s="78">
        <v>-19750</v>
      </c>
      <c r="P504" s="78">
        <v>-19750</v>
      </c>
      <c r="Q504" s="78">
        <f t="shared" si="7"/>
        <v>-237000</v>
      </c>
    </row>
    <row r="505" spans="1:17" x14ac:dyDescent="0.3">
      <c r="A505" s="177" t="s">
        <v>162</v>
      </c>
      <c r="B505" s="177" t="s">
        <v>3186</v>
      </c>
      <c r="C505" s="78" t="s">
        <v>3187</v>
      </c>
      <c r="D505" s="78">
        <v>0</v>
      </c>
      <c r="E505" s="78">
        <v>-32719</v>
      </c>
      <c r="F505" s="78">
        <v>-32719</v>
      </c>
      <c r="G505" s="78">
        <v>-32719</v>
      </c>
      <c r="H505" s="78">
        <v>-32719</v>
      </c>
      <c r="I505" s="78">
        <v>-32719</v>
      </c>
      <c r="J505" s="78">
        <v>-32719</v>
      </c>
      <c r="K505" s="78">
        <v>-32719</v>
      </c>
      <c r="L505" s="78">
        <v>-32719</v>
      </c>
      <c r="M505" s="78">
        <v>-32719</v>
      </c>
      <c r="N505" s="78">
        <v>-32719</v>
      </c>
      <c r="O505" s="78">
        <v>-32719</v>
      </c>
      <c r="P505" s="78">
        <v>-32719</v>
      </c>
      <c r="Q505" s="78">
        <f t="shared" si="7"/>
        <v>-392628</v>
      </c>
    </row>
    <row r="506" spans="1:17" x14ac:dyDescent="0.3">
      <c r="A506" s="177" t="s">
        <v>162</v>
      </c>
      <c r="B506" s="177" t="s">
        <v>3364</v>
      </c>
      <c r="C506" s="78" t="s">
        <v>3365</v>
      </c>
      <c r="D506" s="78">
        <v>0</v>
      </c>
      <c r="E506" s="78">
        <v>0</v>
      </c>
      <c r="F506" s="78">
        <v>0</v>
      </c>
      <c r="G506" s="78">
        <v>2722.2596087000002</v>
      </c>
      <c r="H506" s="78">
        <v>2722.2596087000002</v>
      </c>
      <c r="I506" s="78">
        <v>2722.2596087000002</v>
      </c>
      <c r="J506" s="78">
        <v>2722.2596087000002</v>
      </c>
      <c r="K506" s="78">
        <v>2722.2596087000002</v>
      </c>
      <c r="L506" s="78">
        <v>2722.2596087000002</v>
      </c>
      <c r="M506" s="78">
        <v>2722.2596087000002</v>
      </c>
      <c r="N506" s="78">
        <v>2722.2596087000002</v>
      </c>
      <c r="O506" s="78">
        <v>2722.2596087000002</v>
      </c>
      <c r="P506" s="78">
        <v>2722.2596087000002</v>
      </c>
      <c r="Q506" s="78">
        <f t="shared" si="7"/>
        <v>27222.596086999998</v>
      </c>
    </row>
    <row r="507" spans="1:17" x14ac:dyDescent="0.3">
      <c r="A507" s="177" t="s">
        <v>162</v>
      </c>
      <c r="B507" s="177" t="s">
        <v>3188</v>
      </c>
      <c r="C507" s="78" t="s">
        <v>3189</v>
      </c>
      <c r="D507" s="78">
        <v>0</v>
      </c>
      <c r="E507" s="78">
        <v>-54397</v>
      </c>
      <c r="F507" s="78">
        <v>-54397</v>
      </c>
      <c r="G507" s="78">
        <v>-83102</v>
      </c>
      <c r="H507" s="78">
        <v>-83102</v>
      </c>
      <c r="I507" s="78">
        <v>-83102</v>
      </c>
      <c r="J507" s="78">
        <v>-83102</v>
      </c>
      <c r="K507" s="78">
        <v>-83102</v>
      </c>
      <c r="L507" s="78">
        <v>-83102</v>
      </c>
      <c r="M507" s="78">
        <v>-83102</v>
      </c>
      <c r="N507" s="78">
        <v>-83102</v>
      </c>
      <c r="O507" s="78">
        <v>-83102</v>
      </c>
      <c r="P507" s="78">
        <v>-83102</v>
      </c>
      <c r="Q507" s="78">
        <f t="shared" si="7"/>
        <v>-939814</v>
      </c>
    </row>
    <row r="508" spans="1:17" x14ac:dyDescent="0.3">
      <c r="A508" s="177" t="s">
        <v>162</v>
      </c>
      <c r="B508" s="177" t="s">
        <v>3190</v>
      </c>
      <c r="C508" s="78" t="s">
        <v>3191</v>
      </c>
      <c r="D508" s="78">
        <v>0</v>
      </c>
      <c r="E508" s="78">
        <v>485.55</v>
      </c>
      <c r="F508" s="78">
        <v>0</v>
      </c>
      <c r="G508" s="78">
        <v>0</v>
      </c>
      <c r="H508" s="78">
        <v>485.55</v>
      </c>
      <c r="I508" s="78">
        <v>0</v>
      </c>
      <c r="J508" s="78">
        <v>0</v>
      </c>
      <c r="K508" s="78">
        <v>485.55</v>
      </c>
      <c r="L508" s="78">
        <v>0</v>
      </c>
      <c r="M508" s="78">
        <v>0</v>
      </c>
      <c r="N508" s="78">
        <v>488.66250000000002</v>
      </c>
      <c r="O508" s="78">
        <v>0</v>
      </c>
      <c r="P508" s="78">
        <v>0</v>
      </c>
      <c r="Q508" s="78">
        <f t="shared" si="7"/>
        <v>1945.3125</v>
      </c>
    </row>
    <row r="509" spans="1:17" x14ac:dyDescent="0.3">
      <c r="A509" s="177" t="s">
        <v>162</v>
      </c>
      <c r="B509" s="177" t="s">
        <v>3192</v>
      </c>
      <c r="C509" s="78" t="s">
        <v>3193</v>
      </c>
      <c r="D509" s="78">
        <v>0</v>
      </c>
      <c r="E509" s="78">
        <v>535004.08548150002</v>
      </c>
      <c r="F509" s="78">
        <v>416854.43843610003</v>
      </c>
      <c r="G509" s="78">
        <v>394595.26702500001</v>
      </c>
      <c r="H509" s="78">
        <v>496259.70926839998</v>
      </c>
      <c r="I509" s="78">
        <v>476106.71931050002</v>
      </c>
      <c r="J509" s="78">
        <v>475209.16333120002</v>
      </c>
      <c r="K509" s="78">
        <v>481730.64659289998</v>
      </c>
      <c r="L509" s="78">
        <v>442112.22286059998</v>
      </c>
      <c r="M509" s="78">
        <v>556668.11251939996</v>
      </c>
      <c r="N509" s="78">
        <v>492223.62028540001</v>
      </c>
      <c r="O509" s="78">
        <v>482058.76406670001</v>
      </c>
      <c r="P509" s="78">
        <v>547957.67691379995</v>
      </c>
      <c r="Q509" s="78">
        <f t="shared" si="7"/>
        <v>5796780.4260914996</v>
      </c>
    </row>
    <row r="510" spans="1:17" x14ac:dyDescent="0.3">
      <c r="A510" s="177" t="s">
        <v>162</v>
      </c>
      <c r="B510" s="177" t="s">
        <v>3194</v>
      </c>
      <c r="C510" s="78" t="s">
        <v>3195</v>
      </c>
      <c r="D510" s="78">
        <v>0</v>
      </c>
      <c r="E510" s="78">
        <v>0</v>
      </c>
      <c r="F510" s="78">
        <v>0</v>
      </c>
      <c r="G510" s="78">
        <v>175000</v>
      </c>
      <c r="H510" s="78">
        <v>0</v>
      </c>
      <c r="I510" s="78">
        <v>0</v>
      </c>
      <c r="J510" s="78">
        <v>175000</v>
      </c>
      <c r="K510" s="78">
        <v>0</v>
      </c>
      <c r="L510" s="78">
        <v>0</v>
      </c>
      <c r="M510" s="78">
        <v>175000</v>
      </c>
      <c r="N510" s="78">
        <v>0</v>
      </c>
      <c r="O510" s="78">
        <v>0</v>
      </c>
      <c r="P510" s="78">
        <v>175000</v>
      </c>
      <c r="Q510" s="78">
        <f t="shared" si="7"/>
        <v>700000</v>
      </c>
    </row>
    <row r="511" spans="1:17" x14ac:dyDescent="0.3">
      <c r="A511" s="177" t="s">
        <v>162</v>
      </c>
      <c r="B511" s="177" t="s">
        <v>3196</v>
      </c>
      <c r="C511" s="78" t="s">
        <v>3197</v>
      </c>
      <c r="D511" s="78">
        <v>0</v>
      </c>
      <c r="E511" s="78">
        <v>0</v>
      </c>
      <c r="F511" s="78">
        <v>0</v>
      </c>
      <c r="G511" s="78">
        <v>100352.0522388</v>
      </c>
      <c r="H511" s="78">
        <v>0</v>
      </c>
      <c r="I511" s="78">
        <v>0</v>
      </c>
      <c r="J511" s="78">
        <v>100352.0522388</v>
      </c>
      <c r="K511" s="78">
        <v>0</v>
      </c>
      <c r="L511" s="78">
        <v>0</v>
      </c>
      <c r="M511" s="78">
        <v>100352.0522388</v>
      </c>
      <c r="N511" s="78">
        <v>0</v>
      </c>
      <c r="O511" s="78">
        <v>0</v>
      </c>
      <c r="P511" s="78">
        <v>100352.0522388</v>
      </c>
      <c r="Q511" s="78">
        <f t="shared" si="7"/>
        <v>401408.20895519998</v>
      </c>
    </row>
    <row r="512" spans="1:17" x14ac:dyDescent="0.3">
      <c r="A512" s="177" t="s">
        <v>162</v>
      </c>
      <c r="B512" s="177" t="s">
        <v>3198</v>
      </c>
      <c r="C512" s="78" t="s">
        <v>3199</v>
      </c>
      <c r="D512" s="78">
        <v>0</v>
      </c>
      <c r="E512" s="78">
        <v>97997</v>
      </c>
      <c r="F512" s="78">
        <v>10000</v>
      </c>
      <c r="G512" s="78">
        <v>16470</v>
      </c>
      <c r="H512" s="78">
        <v>26647</v>
      </c>
      <c r="I512" s="78">
        <v>11290</v>
      </c>
      <c r="J512" s="78">
        <v>13385</v>
      </c>
      <c r="K512" s="78">
        <v>24197</v>
      </c>
      <c r="L512" s="78">
        <v>11500</v>
      </c>
      <c r="M512" s="78">
        <v>26500</v>
      </c>
      <c r="N512" s="78">
        <v>54516</v>
      </c>
      <c r="O512" s="78">
        <v>29500</v>
      </c>
      <c r="P512" s="78">
        <v>13000</v>
      </c>
      <c r="Q512" s="78">
        <f t="shared" si="7"/>
        <v>335002</v>
      </c>
    </row>
    <row r="513" spans="1:17" x14ac:dyDescent="0.3">
      <c r="A513" s="177" t="s">
        <v>162</v>
      </c>
      <c r="B513" s="177" t="s">
        <v>3200</v>
      </c>
      <c r="C513" s="78" t="s">
        <v>3201</v>
      </c>
      <c r="D513" s="78">
        <v>0</v>
      </c>
      <c r="E513" s="78">
        <v>644232.60549999995</v>
      </c>
      <c r="F513" s="78">
        <v>20000</v>
      </c>
      <c r="G513" s="78">
        <v>815438.63715870003</v>
      </c>
      <c r="H513" s="78">
        <v>43400</v>
      </c>
      <c r="I513" s="78">
        <v>15000</v>
      </c>
      <c r="J513" s="78">
        <v>761438.63715870003</v>
      </c>
      <c r="K513" s="78">
        <v>50000</v>
      </c>
      <c r="L513" s="78">
        <v>39400</v>
      </c>
      <c r="M513" s="78">
        <v>765558.63715870003</v>
      </c>
      <c r="N513" s="78">
        <v>17319</v>
      </c>
      <c r="O513" s="78">
        <v>40000.01</v>
      </c>
      <c r="P513" s="78">
        <v>251996.04165870001</v>
      </c>
      <c r="Q513" s="78">
        <f t="shared" si="7"/>
        <v>3463783.5686348001</v>
      </c>
    </row>
    <row r="514" spans="1:17" x14ac:dyDescent="0.3">
      <c r="A514" s="177" t="s">
        <v>162</v>
      </c>
      <c r="B514" s="177" t="s">
        <v>3202</v>
      </c>
      <c r="C514" s="78" t="s">
        <v>3203</v>
      </c>
      <c r="D514" s="78">
        <v>0</v>
      </c>
      <c r="E514" s="78">
        <v>375250</v>
      </c>
      <c r="F514" s="78">
        <v>173500</v>
      </c>
      <c r="G514" s="78">
        <v>144584</v>
      </c>
      <c r="H514" s="78">
        <v>248100</v>
      </c>
      <c r="I514" s="78">
        <v>157750</v>
      </c>
      <c r="J514" s="78">
        <v>228350</v>
      </c>
      <c r="K514" s="78">
        <v>134750</v>
      </c>
      <c r="L514" s="78">
        <v>553400</v>
      </c>
      <c r="M514" s="78">
        <v>126750</v>
      </c>
      <c r="N514" s="78">
        <v>148950</v>
      </c>
      <c r="O514" s="78">
        <v>65900</v>
      </c>
      <c r="P514" s="78">
        <v>255750</v>
      </c>
      <c r="Q514" s="78">
        <f t="shared" si="7"/>
        <v>2613034</v>
      </c>
    </row>
    <row r="515" spans="1:17" x14ac:dyDescent="0.3">
      <c r="A515" s="177" t="s">
        <v>162</v>
      </c>
      <c r="B515" s="177" t="s">
        <v>3204</v>
      </c>
      <c r="C515" s="78" t="s">
        <v>3205</v>
      </c>
      <c r="D515" s="78">
        <v>0</v>
      </c>
      <c r="E515" s="78">
        <v>30833</v>
      </c>
      <c r="F515" s="78">
        <v>30833</v>
      </c>
      <c r="G515" s="78">
        <v>30833</v>
      </c>
      <c r="H515" s="78">
        <v>30833</v>
      </c>
      <c r="I515" s="78">
        <v>30833</v>
      </c>
      <c r="J515" s="78">
        <v>30833</v>
      </c>
      <c r="K515" s="78">
        <v>30833</v>
      </c>
      <c r="L515" s="78">
        <v>30833</v>
      </c>
      <c r="M515" s="78">
        <v>30833</v>
      </c>
      <c r="N515" s="78">
        <v>30833</v>
      </c>
      <c r="O515" s="78">
        <v>30833</v>
      </c>
      <c r="P515" s="78">
        <v>30833</v>
      </c>
      <c r="Q515" s="78">
        <f t="shared" si="7"/>
        <v>369996</v>
      </c>
    </row>
    <row r="516" spans="1:17" x14ac:dyDescent="0.3">
      <c r="A516" s="177" t="s">
        <v>162</v>
      </c>
      <c r="B516" s="177" t="s">
        <v>3206</v>
      </c>
      <c r="C516" s="78" t="s">
        <v>3207</v>
      </c>
      <c r="D516" s="78">
        <v>0</v>
      </c>
      <c r="E516" s="78">
        <v>5000</v>
      </c>
      <c r="F516" s="78">
        <v>5000</v>
      </c>
      <c r="G516" s="78">
        <v>5000</v>
      </c>
      <c r="H516" s="78">
        <v>5000</v>
      </c>
      <c r="I516" s="78">
        <v>5000</v>
      </c>
      <c r="J516" s="78">
        <v>5000</v>
      </c>
      <c r="K516" s="78">
        <v>11000</v>
      </c>
      <c r="L516" s="78">
        <v>5000</v>
      </c>
      <c r="M516" s="78">
        <v>5000</v>
      </c>
      <c r="N516" s="78">
        <v>5000</v>
      </c>
      <c r="O516" s="78">
        <v>5000</v>
      </c>
      <c r="P516" s="78">
        <v>11000</v>
      </c>
      <c r="Q516" s="78">
        <f t="shared" si="7"/>
        <v>72000</v>
      </c>
    </row>
    <row r="517" spans="1:17" x14ac:dyDescent="0.3">
      <c r="A517" s="177" t="s">
        <v>162</v>
      </c>
      <c r="B517" s="177" t="s">
        <v>3208</v>
      </c>
      <c r="C517" s="78" t="s">
        <v>3209</v>
      </c>
      <c r="D517" s="78">
        <v>0</v>
      </c>
      <c r="E517" s="78">
        <v>242670.96</v>
      </c>
      <c r="F517" s="78">
        <v>49479</v>
      </c>
      <c r="G517" s="78">
        <v>49479</v>
      </c>
      <c r="H517" s="78">
        <v>242670.96</v>
      </c>
      <c r="I517" s="78">
        <v>49479</v>
      </c>
      <c r="J517" s="78">
        <v>49479</v>
      </c>
      <c r="K517" s="78">
        <v>242670.96</v>
      </c>
      <c r="L517" s="78">
        <v>49479</v>
      </c>
      <c r="M517" s="78">
        <v>49479</v>
      </c>
      <c r="N517" s="78">
        <v>242670.96</v>
      </c>
      <c r="O517" s="78">
        <v>49479</v>
      </c>
      <c r="P517" s="78">
        <v>49479</v>
      </c>
      <c r="Q517" s="78">
        <f t="shared" si="7"/>
        <v>1366515.8399999999</v>
      </c>
    </row>
    <row r="518" spans="1:17" x14ac:dyDescent="0.3">
      <c r="A518" s="177" t="s">
        <v>162</v>
      </c>
      <c r="B518" s="177" t="s">
        <v>3210</v>
      </c>
      <c r="C518" s="78" t="s">
        <v>3211</v>
      </c>
      <c r="D518" s="78">
        <v>0</v>
      </c>
      <c r="E518" s="78">
        <v>350</v>
      </c>
      <c r="F518" s="78">
        <v>0</v>
      </c>
      <c r="G518" s="78">
        <v>0</v>
      </c>
      <c r="H518" s="78">
        <v>0</v>
      </c>
      <c r="I518" s="78">
        <v>887.5</v>
      </c>
      <c r="J518" s="78">
        <v>0</v>
      </c>
      <c r="K518" s="78">
        <v>0</v>
      </c>
      <c r="L518" s="78">
        <v>0</v>
      </c>
      <c r="M518" s="78">
        <v>15000</v>
      </c>
      <c r="N518" s="78">
        <v>1000</v>
      </c>
      <c r="O518" s="78">
        <v>0</v>
      </c>
      <c r="P518" s="78">
        <v>0</v>
      </c>
      <c r="Q518" s="78">
        <f t="shared" si="7"/>
        <v>17237.5</v>
      </c>
    </row>
    <row r="519" spans="1:17" x14ac:dyDescent="0.3">
      <c r="A519" s="177" t="s">
        <v>162</v>
      </c>
      <c r="B519" s="177" t="s">
        <v>3212</v>
      </c>
      <c r="C519" s="78" t="s">
        <v>3213</v>
      </c>
      <c r="D519" s="78">
        <v>0</v>
      </c>
      <c r="E519" s="78">
        <v>11931.25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0</v>
      </c>
      <c r="O519" s="78">
        <v>0</v>
      </c>
      <c r="P519" s="78">
        <v>0</v>
      </c>
      <c r="Q519" s="78">
        <f t="shared" si="7"/>
        <v>11931.25</v>
      </c>
    </row>
    <row r="520" spans="1:17" x14ac:dyDescent="0.3">
      <c r="A520" s="177" t="s">
        <v>162</v>
      </c>
      <c r="B520" s="177" t="s">
        <v>3214</v>
      </c>
      <c r="C520" s="78" t="s">
        <v>3215</v>
      </c>
      <c r="D520" s="78">
        <v>0</v>
      </c>
      <c r="E520" s="78">
        <v>-19050</v>
      </c>
      <c r="F520" s="78">
        <v>-19050</v>
      </c>
      <c r="G520" s="78">
        <v>-18450</v>
      </c>
      <c r="H520" s="78">
        <v>-18150</v>
      </c>
      <c r="I520" s="78">
        <v>-18750</v>
      </c>
      <c r="J520" s="78">
        <v>-18900</v>
      </c>
      <c r="K520" s="78">
        <v>-18900</v>
      </c>
      <c r="L520" s="78">
        <v>-18900</v>
      </c>
      <c r="M520" s="78">
        <v>113400.49</v>
      </c>
      <c r="N520" s="78">
        <v>113850.49</v>
      </c>
      <c r="O520" s="78">
        <v>114150.49</v>
      </c>
      <c r="P520" s="78">
        <v>114150.5</v>
      </c>
      <c r="Q520" s="78">
        <f t="shared" si="7"/>
        <v>305401.97000000003</v>
      </c>
    </row>
    <row r="521" spans="1:17" x14ac:dyDescent="0.3">
      <c r="A521" s="177" t="s">
        <v>162</v>
      </c>
      <c r="B521" s="177" t="s">
        <v>3216</v>
      </c>
      <c r="C521" s="78" t="s">
        <v>3217</v>
      </c>
      <c r="D521" s="78">
        <v>0</v>
      </c>
      <c r="E521" s="78">
        <v>0</v>
      </c>
      <c r="F521" s="78">
        <v>75000</v>
      </c>
      <c r="G521" s="78">
        <v>0</v>
      </c>
      <c r="H521" s="78">
        <v>0</v>
      </c>
      <c r="I521" s="78">
        <v>0</v>
      </c>
      <c r="J521" s="78">
        <v>0</v>
      </c>
      <c r="K521" s="78">
        <v>0</v>
      </c>
      <c r="L521" s="78">
        <v>0</v>
      </c>
      <c r="M521" s="78">
        <v>0</v>
      </c>
      <c r="N521" s="78">
        <v>0</v>
      </c>
      <c r="O521" s="78">
        <v>0</v>
      </c>
      <c r="P521" s="78">
        <v>0</v>
      </c>
      <c r="Q521" s="78">
        <f t="shared" si="7"/>
        <v>75000</v>
      </c>
    </row>
    <row r="522" spans="1:17" x14ac:dyDescent="0.3">
      <c r="A522" s="177" t="s">
        <v>162</v>
      </c>
      <c r="B522" s="177" t="s">
        <v>3218</v>
      </c>
      <c r="C522" s="78" t="s">
        <v>3219</v>
      </c>
      <c r="D522" s="78">
        <v>0</v>
      </c>
      <c r="E522" s="78">
        <v>19983</v>
      </c>
      <c r="F522" s="78">
        <v>6610</v>
      </c>
      <c r="G522" s="78">
        <v>82767.72</v>
      </c>
      <c r="H522" s="78">
        <v>11057</v>
      </c>
      <c r="I522" s="78">
        <v>8033</v>
      </c>
      <c r="J522" s="78">
        <v>8004</v>
      </c>
      <c r="K522" s="78">
        <v>13917</v>
      </c>
      <c r="L522" s="78">
        <v>7550</v>
      </c>
      <c r="M522" s="78">
        <v>10750</v>
      </c>
      <c r="N522" s="78">
        <v>7550</v>
      </c>
      <c r="O522" s="78">
        <v>7550</v>
      </c>
      <c r="P522" s="78">
        <v>10232</v>
      </c>
      <c r="Q522" s="78">
        <f t="shared" si="7"/>
        <v>194003.72</v>
      </c>
    </row>
    <row r="523" spans="1:17" x14ac:dyDescent="0.3">
      <c r="A523" s="177" t="s">
        <v>162</v>
      </c>
      <c r="B523" s="177" t="s">
        <v>3220</v>
      </c>
      <c r="C523" s="78" t="s">
        <v>3221</v>
      </c>
      <c r="D523" s="78">
        <v>0</v>
      </c>
      <c r="E523" s="78">
        <v>123485</v>
      </c>
      <c r="F523" s="78">
        <v>0</v>
      </c>
      <c r="G523" s="78">
        <v>0</v>
      </c>
      <c r="H523" s="78">
        <v>0</v>
      </c>
      <c r="I523" s="78">
        <v>0</v>
      </c>
      <c r="J523" s="78">
        <v>0</v>
      </c>
      <c r="K523" s="78">
        <v>0</v>
      </c>
      <c r="L523" s="78">
        <v>0</v>
      </c>
      <c r="M523" s="78">
        <v>0</v>
      </c>
      <c r="N523" s="78">
        <v>0</v>
      </c>
      <c r="O523" s="78">
        <v>0</v>
      </c>
      <c r="P523" s="78">
        <v>0</v>
      </c>
      <c r="Q523" s="78">
        <f t="shared" si="7"/>
        <v>123485</v>
      </c>
    </row>
    <row r="524" spans="1:17" x14ac:dyDescent="0.3">
      <c r="A524" s="177" t="s">
        <v>162</v>
      </c>
      <c r="B524" s="177" t="s">
        <v>3222</v>
      </c>
      <c r="C524" s="78" t="s">
        <v>3223</v>
      </c>
      <c r="D524" s="78">
        <v>0</v>
      </c>
      <c r="E524" s="78">
        <v>131730.55650820001</v>
      </c>
      <c r="F524" s="78">
        <v>131560.55650820001</v>
      </c>
      <c r="G524" s="78">
        <v>137451.99900819999</v>
      </c>
      <c r="H524" s="78">
        <v>137509.61900820001</v>
      </c>
      <c r="I524" s="78">
        <v>137505.55650820001</v>
      </c>
      <c r="J524" s="78">
        <v>139831.99900819999</v>
      </c>
      <c r="K524" s="78">
        <v>137505.55650820001</v>
      </c>
      <c r="L524" s="78">
        <v>137535.55650820001</v>
      </c>
      <c r="M524" s="78">
        <v>139801.99900819999</v>
      </c>
      <c r="N524" s="78">
        <v>137509.61900820001</v>
      </c>
      <c r="O524" s="78">
        <v>137531.49400820001</v>
      </c>
      <c r="P524" s="78">
        <v>139831.99900819999</v>
      </c>
      <c r="Q524" s="78">
        <f t="shared" si="7"/>
        <v>1645306.5105983999</v>
      </c>
    </row>
    <row r="525" spans="1:17" x14ac:dyDescent="0.3">
      <c r="A525" s="177" t="s">
        <v>162</v>
      </c>
      <c r="B525" s="177" t="s">
        <v>3224</v>
      </c>
      <c r="C525" s="78" t="s">
        <v>3225</v>
      </c>
      <c r="D525" s="78">
        <v>0</v>
      </c>
      <c r="E525" s="78">
        <v>4037374.8501594998</v>
      </c>
      <c r="F525" s="78">
        <v>3720082.0670616999</v>
      </c>
      <c r="G525" s="78">
        <v>3439481.0530312001</v>
      </c>
      <c r="H525" s="78">
        <v>3571006.6774676</v>
      </c>
      <c r="I525" s="78">
        <v>4209030.7708675005</v>
      </c>
      <c r="J525" s="78">
        <v>5082439.8394774003</v>
      </c>
      <c r="K525" s="78">
        <v>4528833.6338497</v>
      </c>
      <c r="L525" s="78">
        <v>5010282.8574468</v>
      </c>
      <c r="M525" s="78">
        <v>5246677.8534394996</v>
      </c>
      <c r="N525" s="78">
        <v>4751796.3215822997</v>
      </c>
      <c r="O525" s="78">
        <v>3986007.6441111998</v>
      </c>
      <c r="P525" s="78">
        <v>3763729.6651086002</v>
      </c>
      <c r="Q525" s="78">
        <f t="shared" si="7"/>
        <v>51346743.233603001</v>
      </c>
    </row>
    <row r="526" spans="1:17" x14ac:dyDescent="0.3">
      <c r="A526" s="177" t="s">
        <v>162</v>
      </c>
      <c r="B526" s="177" t="s">
        <v>3226</v>
      </c>
      <c r="C526" s="78" t="s">
        <v>3227</v>
      </c>
      <c r="D526" s="78">
        <v>0</v>
      </c>
      <c r="E526" s="78">
        <v>-2916666.6666667</v>
      </c>
      <c r="F526" s="78">
        <v>-2916666.6666667</v>
      </c>
      <c r="G526" s="78">
        <v>-2916666.6666667</v>
      </c>
      <c r="H526" s="78">
        <v>-2916666.6666667</v>
      </c>
      <c r="I526" s="78">
        <v>-2916666.6666667</v>
      </c>
      <c r="J526" s="78">
        <v>-2916666.6666667</v>
      </c>
      <c r="K526" s="78">
        <v>-2916666.6666667</v>
      </c>
      <c r="L526" s="78">
        <v>-2916666.6666667</v>
      </c>
      <c r="M526" s="78">
        <v>-2916666.6666667</v>
      </c>
      <c r="N526" s="78">
        <v>-2916666.6666667</v>
      </c>
      <c r="O526" s="78">
        <v>-2916666.6666667</v>
      </c>
      <c r="P526" s="78">
        <v>-2916666.6666667</v>
      </c>
      <c r="Q526" s="78">
        <f t="shared" si="7"/>
        <v>-35000000.00000041</v>
      </c>
    </row>
    <row r="527" spans="1:17" x14ac:dyDescent="0.3">
      <c r="A527" s="177" t="s">
        <v>162</v>
      </c>
      <c r="B527" s="177" t="s">
        <v>3228</v>
      </c>
      <c r="C527" s="78" t="s">
        <v>3229</v>
      </c>
      <c r="D527" s="78">
        <v>0</v>
      </c>
      <c r="E527" s="78">
        <v>72229.074248000004</v>
      </c>
      <c r="F527" s="78">
        <v>72229.074248000004</v>
      </c>
      <c r="G527" s="78">
        <v>72314.074248000004</v>
      </c>
      <c r="H527" s="78">
        <v>82333.227712000007</v>
      </c>
      <c r="I527" s="78">
        <v>82333.227712000007</v>
      </c>
      <c r="J527" s="78">
        <v>82333.227712000007</v>
      </c>
      <c r="K527" s="78">
        <v>87385.304443999994</v>
      </c>
      <c r="L527" s="78">
        <v>87385.304443999994</v>
      </c>
      <c r="M527" s="78">
        <v>87385.304443999994</v>
      </c>
      <c r="N527" s="78">
        <v>92437.381175999995</v>
      </c>
      <c r="O527" s="78">
        <v>92437.381175999995</v>
      </c>
      <c r="P527" s="78">
        <v>117697.764836</v>
      </c>
      <c r="Q527" s="78">
        <f t="shared" ref="Q527:Q574" si="8">SUM(D527:P527)</f>
        <v>1028500.3464000002</v>
      </c>
    </row>
    <row r="528" spans="1:17" x14ac:dyDescent="0.3">
      <c r="A528" s="177" t="s">
        <v>162</v>
      </c>
      <c r="B528" s="177" t="s">
        <v>3230</v>
      </c>
      <c r="C528" s="78" t="s">
        <v>3231</v>
      </c>
      <c r="D528" s="78">
        <v>0</v>
      </c>
      <c r="E528" s="78">
        <v>89261.816545599999</v>
      </c>
      <c r="F528" s="78">
        <v>200261.81654560001</v>
      </c>
      <c r="G528" s="78">
        <v>224261.81654560001</v>
      </c>
      <c r="H528" s="78">
        <v>93217.265087299995</v>
      </c>
      <c r="I528" s="78">
        <v>93217.265087299995</v>
      </c>
      <c r="J528" s="78">
        <v>93217.265087299995</v>
      </c>
      <c r="K528" s="78">
        <v>95194.989358199993</v>
      </c>
      <c r="L528" s="78">
        <v>95194.989358199993</v>
      </c>
      <c r="M528" s="78">
        <v>163194.98935819999</v>
      </c>
      <c r="N528" s="78">
        <v>165172.71362900001</v>
      </c>
      <c r="O528" s="78">
        <v>177172.71362900001</v>
      </c>
      <c r="P528" s="78">
        <v>119061.3349833</v>
      </c>
      <c r="Q528" s="78">
        <f t="shared" si="8"/>
        <v>1608428.9752145996</v>
      </c>
    </row>
    <row r="529" spans="1:17" x14ac:dyDescent="0.3">
      <c r="A529" s="177" t="s">
        <v>162</v>
      </c>
      <c r="B529" s="177" t="s">
        <v>3232</v>
      </c>
      <c r="C529" s="78" t="s">
        <v>3233</v>
      </c>
      <c r="D529" s="78">
        <v>0</v>
      </c>
      <c r="E529" s="78">
        <v>93911.578487999999</v>
      </c>
      <c r="F529" s="78">
        <v>93911.578487999999</v>
      </c>
      <c r="G529" s="78">
        <v>93911.578487999999</v>
      </c>
      <c r="H529" s="78">
        <v>107284.6611292</v>
      </c>
      <c r="I529" s="78">
        <v>107284.6611292</v>
      </c>
      <c r="J529" s="78">
        <v>107284.6611292</v>
      </c>
      <c r="K529" s="78">
        <v>113971.20244969999</v>
      </c>
      <c r="L529" s="78">
        <v>113971.20244969999</v>
      </c>
      <c r="M529" s="78">
        <v>113971.20244969999</v>
      </c>
      <c r="N529" s="78">
        <v>120657.7437703</v>
      </c>
      <c r="O529" s="78">
        <v>120657.7437703</v>
      </c>
      <c r="P529" s="78">
        <v>154090.4503732</v>
      </c>
      <c r="Q529" s="78">
        <f t="shared" si="8"/>
        <v>1340908.2641145</v>
      </c>
    </row>
    <row r="530" spans="1:17" x14ac:dyDescent="0.3">
      <c r="A530" s="177" t="s">
        <v>162</v>
      </c>
      <c r="B530" s="177" t="s">
        <v>3234</v>
      </c>
      <c r="C530" s="78" t="s">
        <v>3235</v>
      </c>
      <c r="D530" s="78">
        <v>0</v>
      </c>
      <c r="E530" s="78">
        <v>21959.75</v>
      </c>
      <c r="F530" s="78">
        <v>58959.75</v>
      </c>
      <c r="G530" s="78">
        <v>66959.75</v>
      </c>
      <c r="H530" s="78">
        <v>21959.75</v>
      </c>
      <c r="I530" s="78">
        <v>21959.75</v>
      </c>
      <c r="J530" s="78">
        <v>21959.75</v>
      </c>
      <c r="K530" s="78">
        <v>21959.75</v>
      </c>
      <c r="L530" s="78">
        <v>21959.75</v>
      </c>
      <c r="M530" s="78">
        <v>44626.416666700003</v>
      </c>
      <c r="N530" s="78">
        <v>44626.416666700003</v>
      </c>
      <c r="O530" s="78">
        <v>48626.416666700003</v>
      </c>
      <c r="P530" s="78">
        <v>25959.75</v>
      </c>
      <c r="Q530" s="78">
        <f t="shared" si="8"/>
        <v>421517.00000009994</v>
      </c>
    </row>
    <row r="531" spans="1:17" x14ac:dyDescent="0.3">
      <c r="A531" s="177" t="s">
        <v>162</v>
      </c>
      <c r="B531" s="177" t="s">
        <v>3236</v>
      </c>
      <c r="C531" s="78" t="s">
        <v>3237</v>
      </c>
      <c r="D531" s="78">
        <v>0</v>
      </c>
      <c r="E531" s="78">
        <v>11134.578</v>
      </c>
      <c r="F531" s="78">
        <v>11134.578</v>
      </c>
      <c r="G531" s="78">
        <v>11134.578</v>
      </c>
      <c r="H531" s="78">
        <v>11134.578</v>
      </c>
      <c r="I531" s="78">
        <v>11134.578</v>
      </c>
      <c r="J531" s="78">
        <v>11134.578</v>
      </c>
      <c r="K531" s="78">
        <v>11134.578</v>
      </c>
      <c r="L531" s="78">
        <v>11134.578</v>
      </c>
      <c r="M531" s="78">
        <v>11134.578</v>
      </c>
      <c r="N531" s="78">
        <v>11134.578</v>
      </c>
      <c r="O531" s="78">
        <v>11134.578</v>
      </c>
      <c r="P531" s="78">
        <v>11134.578</v>
      </c>
      <c r="Q531" s="78">
        <f t="shared" si="8"/>
        <v>133614.93599999996</v>
      </c>
    </row>
    <row r="532" spans="1:17" x14ac:dyDescent="0.3">
      <c r="A532" s="177" t="s">
        <v>162</v>
      </c>
      <c r="B532" s="177" t="s">
        <v>3238</v>
      </c>
      <c r="C532" s="78" t="s">
        <v>3239</v>
      </c>
      <c r="D532" s="78">
        <v>0</v>
      </c>
      <c r="E532" s="78">
        <v>863284.77520439995</v>
      </c>
      <c r="F532" s="78">
        <v>863284.77520439995</v>
      </c>
      <c r="G532" s="78">
        <v>1212839.8554282</v>
      </c>
      <c r="H532" s="78">
        <v>863284.77520439995</v>
      </c>
      <c r="I532" s="78">
        <v>863284.77520439995</v>
      </c>
      <c r="J532" s="78">
        <v>1212839.8554282</v>
      </c>
      <c r="K532" s="78">
        <v>863284.77520439995</v>
      </c>
      <c r="L532" s="78">
        <v>863284.77520439995</v>
      </c>
      <c r="M532" s="78">
        <v>1212839.8554282</v>
      </c>
      <c r="N532" s="78">
        <v>863284.77520439995</v>
      </c>
      <c r="O532" s="78">
        <v>863284.77520439995</v>
      </c>
      <c r="P532" s="78">
        <v>1212839.8554282</v>
      </c>
      <c r="Q532" s="78">
        <f t="shared" si="8"/>
        <v>11757637.623347998</v>
      </c>
    </row>
    <row r="533" spans="1:17" x14ac:dyDescent="0.3">
      <c r="A533" s="177" t="s">
        <v>162</v>
      </c>
      <c r="B533" s="177" t="s">
        <v>3240</v>
      </c>
      <c r="C533" s="78" t="s">
        <v>3241</v>
      </c>
      <c r="D533" s="78">
        <v>0</v>
      </c>
      <c r="E533" s="78">
        <v>0</v>
      </c>
      <c r="F533" s="78">
        <v>0</v>
      </c>
      <c r="G533" s="78">
        <v>0</v>
      </c>
      <c r="H533" s="78">
        <v>0</v>
      </c>
      <c r="I533" s="78">
        <v>0</v>
      </c>
      <c r="J533" s="78">
        <v>51.875</v>
      </c>
      <c r="K533" s="78">
        <v>0</v>
      </c>
      <c r="L533" s="78">
        <v>0</v>
      </c>
      <c r="M533" s="78">
        <v>0</v>
      </c>
      <c r="N533" s="78">
        <v>0</v>
      </c>
      <c r="O533" s="78">
        <v>0</v>
      </c>
      <c r="P533" s="78">
        <v>51.875</v>
      </c>
      <c r="Q533" s="78">
        <f t="shared" si="8"/>
        <v>103.75</v>
      </c>
    </row>
    <row r="534" spans="1:17" x14ac:dyDescent="0.3">
      <c r="A534" s="177" t="s">
        <v>162</v>
      </c>
      <c r="B534" s="177" t="s">
        <v>3242</v>
      </c>
      <c r="C534" s="78" t="s">
        <v>3243</v>
      </c>
      <c r="D534" s="78">
        <v>0</v>
      </c>
      <c r="E534" s="78">
        <v>89067.828961599997</v>
      </c>
      <c r="F534" s="78">
        <v>100459.16371379999</v>
      </c>
      <c r="G534" s="78">
        <v>114990.7377083</v>
      </c>
      <c r="H534" s="78">
        <v>126668.1678141</v>
      </c>
      <c r="I534" s="78">
        <v>104492.04525</v>
      </c>
      <c r="J534" s="78">
        <v>119233.63933609999</v>
      </c>
      <c r="K534" s="78">
        <v>774417.63231540006</v>
      </c>
      <c r="L534" s="78">
        <v>111977.73252790001</v>
      </c>
      <c r="M534" s="78">
        <v>121832.399881</v>
      </c>
      <c r="N534" s="78">
        <v>121807.7344626</v>
      </c>
      <c r="O534" s="78">
        <v>114742.3950619</v>
      </c>
      <c r="P534" s="78">
        <v>109643.1860261</v>
      </c>
      <c r="Q534" s="78">
        <f t="shared" si="8"/>
        <v>2009332.6630587999</v>
      </c>
    </row>
    <row r="535" spans="1:17" x14ac:dyDescent="0.3">
      <c r="A535" s="177" t="s">
        <v>162</v>
      </c>
      <c r="B535" s="177" t="s">
        <v>3244</v>
      </c>
      <c r="C535" s="78" t="s">
        <v>3245</v>
      </c>
      <c r="D535" s="78">
        <v>0</v>
      </c>
      <c r="E535" s="78">
        <v>95221.055555600004</v>
      </c>
      <c r="F535" s="78">
        <v>95221.055555600004</v>
      </c>
      <c r="G535" s="78">
        <v>95221.055555600004</v>
      </c>
      <c r="H535" s="78">
        <v>95221.055555600004</v>
      </c>
      <c r="I535" s="78">
        <v>95221.055555600004</v>
      </c>
      <c r="J535" s="78">
        <v>95221.055555600004</v>
      </c>
      <c r="K535" s="78">
        <v>95221.055555600004</v>
      </c>
      <c r="L535" s="78">
        <v>95221.055555600004</v>
      </c>
      <c r="M535" s="78">
        <v>95221.055555600004</v>
      </c>
      <c r="N535" s="78">
        <v>95221.055555600004</v>
      </c>
      <c r="O535" s="78">
        <v>95221.055555600004</v>
      </c>
      <c r="P535" s="78">
        <v>95221.055555600004</v>
      </c>
      <c r="Q535" s="78">
        <f t="shared" si="8"/>
        <v>1142652.6666671999</v>
      </c>
    </row>
    <row r="536" spans="1:17" x14ac:dyDescent="0.3">
      <c r="A536" s="177" t="s">
        <v>162</v>
      </c>
      <c r="B536" s="177" t="s">
        <v>3246</v>
      </c>
      <c r="C536" s="78" t="s">
        <v>3247</v>
      </c>
      <c r="D536" s="78">
        <v>0</v>
      </c>
      <c r="E536" s="78">
        <v>-512033.55366660003</v>
      </c>
      <c r="F536" s="78">
        <v>-512033.53366660001</v>
      </c>
      <c r="G536" s="78">
        <v>-512033.53366660001</v>
      </c>
      <c r="H536" s="78">
        <v>-512033.53366660001</v>
      </c>
      <c r="I536" s="78">
        <v>-512033.53366660001</v>
      </c>
      <c r="J536" s="78">
        <v>-512033.53366660001</v>
      </c>
      <c r="K536" s="78">
        <v>-512033.53366660001</v>
      </c>
      <c r="L536" s="78">
        <v>-512033.53366660001</v>
      </c>
      <c r="M536" s="78">
        <v>-512033.53366660001</v>
      </c>
      <c r="N536" s="78">
        <v>-512033.53366660001</v>
      </c>
      <c r="O536" s="78">
        <v>-499033.53366660001</v>
      </c>
      <c r="P536" s="78">
        <v>-512033.53366660001</v>
      </c>
      <c r="Q536" s="78">
        <f t="shared" si="8"/>
        <v>-6131402.4239991996</v>
      </c>
    </row>
    <row r="537" spans="1:17" x14ac:dyDescent="0.3">
      <c r="A537" s="177" t="s">
        <v>162</v>
      </c>
      <c r="B537" s="177" t="s">
        <v>3248</v>
      </c>
      <c r="C537" s="78" t="s">
        <v>3249</v>
      </c>
      <c r="D537" s="78">
        <v>0</v>
      </c>
      <c r="E537" s="78">
        <v>37826.326414900002</v>
      </c>
      <c r="F537" s="78">
        <v>37826.326414900002</v>
      </c>
      <c r="G537" s="78">
        <v>37826.326414900002</v>
      </c>
      <c r="H537" s="78">
        <v>37826.326414900002</v>
      </c>
      <c r="I537" s="78">
        <v>37826.326414900002</v>
      </c>
      <c r="J537" s="78">
        <v>37826.326414900002</v>
      </c>
      <c r="K537" s="78">
        <v>37826.326414900002</v>
      </c>
      <c r="L537" s="78">
        <v>37826.326414900002</v>
      </c>
      <c r="M537" s="78">
        <v>37826.326414900002</v>
      </c>
      <c r="N537" s="78">
        <v>37826.326414900002</v>
      </c>
      <c r="O537" s="78">
        <v>37826.326414900002</v>
      </c>
      <c r="P537" s="78">
        <v>37826.326414900002</v>
      </c>
      <c r="Q537" s="78">
        <f t="shared" si="8"/>
        <v>453915.91697880015</v>
      </c>
    </row>
    <row r="538" spans="1:17" x14ac:dyDescent="0.3">
      <c r="A538" s="177" t="s">
        <v>162</v>
      </c>
      <c r="B538" s="177" t="s">
        <v>3250</v>
      </c>
      <c r="C538" s="78" t="s">
        <v>3251</v>
      </c>
      <c r="D538" s="78">
        <v>0</v>
      </c>
      <c r="E538" s="78">
        <v>20351</v>
      </c>
      <c r="F538" s="78">
        <v>20351</v>
      </c>
      <c r="G538" s="78">
        <v>20351</v>
      </c>
      <c r="H538" s="78">
        <v>20351</v>
      </c>
      <c r="I538" s="78">
        <v>20351</v>
      </c>
      <c r="J538" s="78">
        <v>20351</v>
      </c>
      <c r="K538" s="78">
        <v>20351</v>
      </c>
      <c r="L538" s="78">
        <v>20351</v>
      </c>
      <c r="M538" s="78">
        <v>20351</v>
      </c>
      <c r="N538" s="78">
        <v>20351</v>
      </c>
      <c r="O538" s="78">
        <v>20351</v>
      </c>
      <c r="P538" s="78">
        <v>20351</v>
      </c>
      <c r="Q538" s="78">
        <f t="shared" si="8"/>
        <v>244212</v>
      </c>
    </row>
    <row r="539" spans="1:17" x14ac:dyDescent="0.3">
      <c r="A539" s="177" t="s">
        <v>162</v>
      </c>
      <c r="B539" s="177" t="s">
        <v>3252</v>
      </c>
      <c r="C539" s="78" t="s">
        <v>3253</v>
      </c>
      <c r="D539" s="78">
        <v>0</v>
      </c>
      <c r="E539" s="78">
        <v>88521.9</v>
      </c>
      <c r="F539" s="78">
        <v>89082.09</v>
      </c>
      <c r="G539" s="78">
        <v>89675.7</v>
      </c>
      <c r="H539" s="78">
        <v>90260.75</v>
      </c>
      <c r="I539" s="78">
        <v>90848.87</v>
      </c>
      <c r="J539" s="78">
        <v>91353.1</v>
      </c>
      <c r="K539" s="78">
        <v>91905.34</v>
      </c>
      <c r="L539" s="78">
        <v>91848.77</v>
      </c>
      <c r="M539" s="78">
        <v>92068.57</v>
      </c>
      <c r="N539" s="78">
        <v>92543.64</v>
      </c>
      <c r="O539" s="78">
        <v>92868.55</v>
      </c>
      <c r="P539" s="78">
        <v>93547.9</v>
      </c>
      <c r="Q539" s="78">
        <f t="shared" si="8"/>
        <v>1094525.1800000002</v>
      </c>
    </row>
    <row r="540" spans="1:17" x14ac:dyDescent="0.3">
      <c r="A540" s="177" t="s">
        <v>162</v>
      </c>
      <c r="B540" s="177" t="s">
        <v>3254</v>
      </c>
      <c r="C540" s="78" t="s">
        <v>3255</v>
      </c>
      <c r="D540" s="78">
        <v>0</v>
      </c>
      <c r="E540" s="78">
        <v>957035</v>
      </c>
      <c r="F540" s="78">
        <v>957035</v>
      </c>
      <c r="G540" s="78">
        <v>957035</v>
      </c>
      <c r="H540" s="78">
        <v>957035</v>
      </c>
      <c r="I540" s="78">
        <v>957035</v>
      </c>
      <c r="J540" s="78">
        <v>957035</v>
      </c>
      <c r="K540" s="78">
        <v>957035</v>
      </c>
      <c r="L540" s="78">
        <v>956805.83</v>
      </c>
      <c r="M540" s="78">
        <v>956618</v>
      </c>
      <c r="N540" s="78">
        <v>960114</v>
      </c>
      <c r="O540" s="78">
        <v>960114</v>
      </c>
      <c r="P540" s="78">
        <v>960114</v>
      </c>
      <c r="Q540" s="78">
        <f t="shared" si="8"/>
        <v>11493010.83</v>
      </c>
    </row>
    <row r="541" spans="1:17" x14ac:dyDescent="0.3">
      <c r="A541" s="177" t="s">
        <v>162</v>
      </c>
      <c r="B541" s="177" t="s">
        <v>3256</v>
      </c>
      <c r="C541" s="78" t="s">
        <v>3257</v>
      </c>
      <c r="D541" s="78">
        <v>0</v>
      </c>
      <c r="E541" s="78">
        <v>1294745.4240786</v>
      </c>
      <c r="F541" s="78">
        <v>1339137.1729093001</v>
      </c>
      <c r="G541" s="78">
        <v>1384623.6603232</v>
      </c>
      <c r="H541" s="78">
        <v>1438621.3583996</v>
      </c>
      <c r="I541" s="78">
        <v>1487894.5003622</v>
      </c>
      <c r="J541" s="78">
        <v>1525000.9171136001</v>
      </c>
      <c r="K541" s="78">
        <v>1572318.4901097999</v>
      </c>
      <c r="L541" s="78">
        <v>1616101.5160360001</v>
      </c>
      <c r="M541" s="78">
        <v>1659635.4105457</v>
      </c>
      <c r="N541" s="78">
        <v>1704798.8179595999</v>
      </c>
      <c r="O541" s="78">
        <v>1744137.3853734999</v>
      </c>
      <c r="P541" s="78">
        <v>1791274.4634499</v>
      </c>
      <c r="Q541" s="78">
        <f t="shared" si="8"/>
        <v>18558289.116660997</v>
      </c>
    </row>
    <row r="542" spans="1:17" x14ac:dyDescent="0.3">
      <c r="A542" s="177" t="s">
        <v>162</v>
      </c>
      <c r="B542" s="177" t="s">
        <v>3258</v>
      </c>
      <c r="C542" s="78" t="s">
        <v>3259</v>
      </c>
      <c r="D542" s="78">
        <v>0</v>
      </c>
      <c r="E542" s="78">
        <v>69809</v>
      </c>
      <c r="F542" s="78">
        <v>69809</v>
      </c>
      <c r="G542" s="78">
        <v>69809</v>
      </c>
      <c r="H542" s="78">
        <v>69809</v>
      </c>
      <c r="I542" s="78">
        <v>69809</v>
      </c>
      <c r="J542" s="78">
        <v>69809</v>
      </c>
      <c r="K542" s="78">
        <v>69809</v>
      </c>
      <c r="L542" s="78">
        <v>69809</v>
      </c>
      <c r="M542" s="78">
        <v>69809</v>
      </c>
      <c r="N542" s="78">
        <v>69809</v>
      </c>
      <c r="O542" s="78">
        <v>69809</v>
      </c>
      <c r="P542" s="78">
        <v>69809</v>
      </c>
      <c r="Q542" s="78">
        <f t="shared" si="8"/>
        <v>837708</v>
      </c>
    </row>
    <row r="543" spans="1:17" x14ac:dyDescent="0.3">
      <c r="A543" s="177" t="s">
        <v>162</v>
      </c>
      <c r="B543" s="177" t="s">
        <v>3260</v>
      </c>
      <c r="C543" s="78" t="s">
        <v>3261</v>
      </c>
      <c r="D543" s="78">
        <v>0</v>
      </c>
      <c r="E543" s="78">
        <v>4481459.5605683997</v>
      </c>
      <c r="F543" s="78">
        <v>4198459.2116328003</v>
      </c>
      <c r="G543" s="78">
        <v>4091325.9603840001</v>
      </c>
      <c r="H543" s="78">
        <v>4296593.9251164002</v>
      </c>
      <c r="I543" s="78">
        <v>4716576.5708892001</v>
      </c>
      <c r="J543" s="78">
        <v>5400089.8853328004</v>
      </c>
      <c r="K543" s="78">
        <v>5662819.773786</v>
      </c>
      <c r="L543" s="78">
        <v>5629526.3755991999</v>
      </c>
      <c r="M543" s="78">
        <v>5762219.7652200004</v>
      </c>
      <c r="N543" s="78">
        <v>5208692.4721619999</v>
      </c>
      <c r="O543" s="78">
        <v>4515596.8313771999</v>
      </c>
      <c r="P543" s="78">
        <v>4299450.8745600004</v>
      </c>
      <c r="Q543" s="78">
        <f t="shared" si="8"/>
        <v>58262811.206628002</v>
      </c>
    </row>
    <row r="544" spans="1:17" x14ac:dyDescent="0.3">
      <c r="A544" s="177" t="s">
        <v>162</v>
      </c>
      <c r="B544" s="177" t="s">
        <v>3262</v>
      </c>
      <c r="C544" s="78" t="s">
        <v>3263</v>
      </c>
      <c r="D544" s="78">
        <v>0</v>
      </c>
      <c r="E544" s="78">
        <v>4711301.5182499997</v>
      </c>
      <c r="F544" s="78">
        <v>4371892.5765000004</v>
      </c>
      <c r="G544" s="78">
        <v>4229595.1500000004</v>
      </c>
      <c r="H544" s="78">
        <v>4451442.2507499997</v>
      </c>
      <c r="I544" s="78">
        <v>4942012.7847499996</v>
      </c>
      <c r="J544" s="78">
        <v>5741312.0990000004</v>
      </c>
      <c r="K544" s="78">
        <v>6056092.0512499996</v>
      </c>
      <c r="L544" s="78">
        <v>6011446.1835000003</v>
      </c>
      <c r="M544" s="78">
        <v>6170113.2525000004</v>
      </c>
      <c r="N544" s="78">
        <v>5507465.0062499996</v>
      </c>
      <c r="O544" s="78">
        <v>4696995.3497500001</v>
      </c>
      <c r="P544" s="78">
        <v>4467366.9000000004</v>
      </c>
      <c r="Q544" s="78">
        <f t="shared" si="8"/>
        <v>61357035.122499995</v>
      </c>
    </row>
    <row r="545" spans="1:17" x14ac:dyDescent="0.3">
      <c r="A545" s="177" t="s">
        <v>162</v>
      </c>
      <c r="B545" s="177" t="s">
        <v>3264</v>
      </c>
      <c r="C545" s="78" t="s">
        <v>3265</v>
      </c>
      <c r="D545" s="78">
        <v>0</v>
      </c>
      <c r="E545" s="78">
        <v>1273061.6519617999</v>
      </c>
      <c r="F545" s="78">
        <v>1163582.3462828</v>
      </c>
      <c r="G545" s="78">
        <v>1171905.6012358</v>
      </c>
      <c r="H545" s="78">
        <v>1243655.0964987001</v>
      </c>
      <c r="I545" s="78">
        <v>1288368.6438116</v>
      </c>
      <c r="J545" s="78">
        <v>1123090.4361059</v>
      </c>
      <c r="K545" s="78">
        <v>1298922.194988</v>
      </c>
      <c r="L545" s="78">
        <v>1240741.5587357001</v>
      </c>
      <c r="M545" s="78">
        <v>1182944.2566430001</v>
      </c>
      <c r="N545" s="78">
        <v>1309729.9195055999</v>
      </c>
      <c r="O545" s="78">
        <v>1191542.8282983</v>
      </c>
      <c r="P545" s="78">
        <v>1248443.5795175</v>
      </c>
      <c r="Q545" s="78">
        <f t="shared" si="8"/>
        <v>14735988.113584699</v>
      </c>
    </row>
    <row r="546" spans="1:17" x14ac:dyDescent="0.3">
      <c r="A546" s="177" t="s">
        <v>162</v>
      </c>
      <c r="B546" s="177" t="s">
        <v>3266</v>
      </c>
      <c r="C546" s="78" t="s">
        <v>3267</v>
      </c>
      <c r="D546" s="78">
        <v>0</v>
      </c>
      <c r="E546" s="78">
        <v>188042</v>
      </c>
      <c r="F546" s="78">
        <v>188042</v>
      </c>
      <c r="G546" s="78">
        <v>324550</v>
      </c>
      <c r="H546" s="78">
        <v>188042</v>
      </c>
      <c r="I546" s="78">
        <v>188042</v>
      </c>
      <c r="J546" s="78">
        <v>324550</v>
      </c>
      <c r="K546" s="78">
        <v>188042</v>
      </c>
      <c r="L546" s="78">
        <v>188042</v>
      </c>
      <c r="M546" s="78">
        <v>324550</v>
      </c>
      <c r="N546" s="78">
        <v>188042</v>
      </c>
      <c r="O546" s="78">
        <v>188042</v>
      </c>
      <c r="P546" s="78">
        <v>324550</v>
      </c>
      <c r="Q546" s="78">
        <f t="shared" si="8"/>
        <v>2802536</v>
      </c>
    </row>
    <row r="547" spans="1:17" x14ac:dyDescent="0.3">
      <c r="A547" s="177" t="s">
        <v>162</v>
      </c>
      <c r="B547" s="177" t="s">
        <v>3268</v>
      </c>
      <c r="C547" s="78" t="s">
        <v>3269</v>
      </c>
      <c r="D547" s="78">
        <v>0</v>
      </c>
      <c r="E547" s="78">
        <v>-117432.6164819</v>
      </c>
      <c r="F547" s="78">
        <v>-95244.273495999994</v>
      </c>
      <c r="G547" s="78">
        <v>-203795.21200150001</v>
      </c>
      <c r="H547" s="78">
        <v>-153036.21384519999</v>
      </c>
      <c r="I547" s="78">
        <v>294291.02534659998</v>
      </c>
      <c r="J547" s="78">
        <v>-190831.32000080001</v>
      </c>
      <c r="K547" s="78">
        <v>-206947.87524260001</v>
      </c>
      <c r="L547" s="78">
        <v>-281468.23975559999</v>
      </c>
      <c r="M547" s="78">
        <v>-214028.3431959</v>
      </c>
      <c r="N547" s="78">
        <v>609346.57716079999</v>
      </c>
      <c r="O547" s="78">
        <v>-729512.80935160001</v>
      </c>
      <c r="P547" s="78">
        <v>-229890.35577960001</v>
      </c>
      <c r="Q547" s="78">
        <f t="shared" si="8"/>
        <v>-1518549.6566433001</v>
      </c>
    </row>
    <row r="548" spans="1:17" x14ac:dyDescent="0.3">
      <c r="A548" s="177" t="s">
        <v>162</v>
      </c>
      <c r="B548" s="177" t="s">
        <v>3270</v>
      </c>
      <c r="C548" s="78" t="s">
        <v>3271</v>
      </c>
      <c r="D548" s="78">
        <v>0</v>
      </c>
      <c r="E548" s="78">
        <v>7557237</v>
      </c>
      <c r="F548" s="78">
        <v>7557237</v>
      </c>
      <c r="G548" s="78">
        <v>7557237</v>
      </c>
      <c r="H548" s="78">
        <v>7557237</v>
      </c>
      <c r="I548" s="78">
        <v>7557237</v>
      </c>
      <c r="J548" s="78">
        <v>7557237</v>
      </c>
      <c r="K548" s="78">
        <v>7557237</v>
      </c>
      <c r="L548" s="78">
        <v>7557237</v>
      </c>
      <c r="M548" s="78">
        <v>7557237</v>
      </c>
      <c r="N548" s="78">
        <v>7557237</v>
      </c>
      <c r="O548" s="78">
        <v>7557237</v>
      </c>
      <c r="P548" s="78">
        <v>7557237</v>
      </c>
      <c r="Q548" s="78">
        <f t="shared" si="8"/>
        <v>90686844</v>
      </c>
    </row>
    <row r="549" spans="1:17" x14ac:dyDescent="0.3">
      <c r="A549" s="177" t="s">
        <v>162</v>
      </c>
      <c r="B549" s="177" t="s">
        <v>3272</v>
      </c>
      <c r="C549" s="78" t="s">
        <v>3273</v>
      </c>
      <c r="D549" s="78">
        <v>0</v>
      </c>
      <c r="E549" s="78">
        <v>10000</v>
      </c>
      <c r="F549" s="78">
        <v>10000</v>
      </c>
      <c r="G549" s="78">
        <v>10000</v>
      </c>
      <c r="H549" s="78">
        <v>10000</v>
      </c>
      <c r="I549" s="78">
        <v>10000</v>
      </c>
      <c r="J549" s="78">
        <v>10000</v>
      </c>
      <c r="K549" s="78">
        <v>10000</v>
      </c>
      <c r="L549" s="78">
        <v>10000</v>
      </c>
      <c r="M549" s="78">
        <v>10000</v>
      </c>
      <c r="N549" s="78">
        <v>10000</v>
      </c>
      <c r="O549" s="78">
        <v>10000</v>
      </c>
      <c r="P549" s="78">
        <v>10000</v>
      </c>
      <c r="Q549" s="78">
        <f t="shared" si="8"/>
        <v>120000</v>
      </c>
    </row>
    <row r="550" spans="1:17" x14ac:dyDescent="0.3">
      <c r="A550" s="177" t="s">
        <v>162</v>
      </c>
      <c r="B550" s="177" t="s">
        <v>3274</v>
      </c>
      <c r="C550" s="78" t="s">
        <v>3275</v>
      </c>
      <c r="D550" s="78">
        <v>0</v>
      </c>
      <c r="E550" s="78">
        <v>140486.8342104</v>
      </c>
      <c r="F550" s="78">
        <v>130710.2930568</v>
      </c>
      <c r="G550" s="78">
        <v>126643.0396536</v>
      </c>
      <c r="H550" s="78">
        <v>133078.143744</v>
      </c>
      <c r="I550" s="78">
        <v>147196.71824399999</v>
      </c>
      <c r="J550" s="78">
        <v>170246.34378719999</v>
      </c>
      <c r="K550" s="78">
        <v>179310.00651119999</v>
      </c>
      <c r="L550" s="78">
        <v>178028.91473759999</v>
      </c>
      <c r="M550" s="78">
        <v>182577.55885199999</v>
      </c>
      <c r="N550" s="78">
        <v>163525.55540400001</v>
      </c>
      <c r="O550" s="78">
        <v>140162.83804800001</v>
      </c>
      <c r="P550" s="78">
        <v>133579.75282560001</v>
      </c>
      <c r="Q550" s="78">
        <f t="shared" si="8"/>
        <v>1825545.9990743999</v>
      </c>
    </row>
    <row r="551" spans="1:17" x14ac:dyDescent="0.3">
      <c r="A551" s="177" t="s">
        <v>162</v>
      </c>
      <c r="B551" s="177" t="s">
        <v>3276</v>
      </c>
      <c r="C551" s="78" t="s">
        <v>3277</v>
      </c>
      <c r="D551" s="78">
        <v>0</v>
      </c>
      <c r="E551" s="78">
        <v>17000</v>
      </c>
      <c r="F551" s="78">
        <v>17000</v>
      </c>
      <c r="G551" s="78">
        <v>17000</v>
      </c>
      <c r="H551" s="78">
        <v>17000</v>
      </c>
      <c r="I551" s="78">
        <v>17000</v>
      </c>
      <c r="J551" s="78">
        <v>17000</v>
      </c>
      <c r="K551" s="78">
        <v>17000</v>
      </c>
      <c r="L551" s="78">
        <v>17000</v>
      </c>
      <c r="M551" s="78">
        <v>17000</v>
      </c>
      <c r="N551" s="78">
        <v>17000</v>
      </c>
      <c r="O551" s="78">
        <v>17000</v>
      </c>
      <c r="P551" s="78">
        <v>17000</v>
      </c>
      <c r="Q551" s="78">
        <f t="shared" si="8"/>
        <v>204000</v>
      </c>
    </row>
    <row r="552" spans="1:17" x14ac:dyDescent="0.3">
      <c r="A552" s="177" t="s">
        <v>162</v>
      </c>
      <c r="B552" s="177" t="s">
        <v>3278</v>
      </c>
      <c r="C552" s="78" t="s">
        <v>3279</v>
      </c>
      <c r="D552" s="78">
        <v>0</v>
      </c>
      <c r="E552" s="78">
        <v>0</v>
      </c>
      <c r="F552" s="78">
        <v>2000</v>
      </c>
      <c r="G552" s="78">
        <v>0</v>
      </c>
      <c r="H552" s="78">
        <v>0</v>
      </c>
      <c r="I552" s="78">
        <v>0</v>
      </c>
      <c r="J552" s="78">
        <v>0</v>
      </c>
      <c r="K552" s="78">
        <v>0</v>
      </c>
      <c r="L552" s="78">
        <v>0</v>
      </c>
      <c r="M552" s="78">
        <v>0</v>
      </c>
      <c r="N552" s="78">
        <v>0</v>
      </c>
      <c r="O552" s="78">
        <v>0</v>
      </c>
      <c r="P552" s="78">
        <v>0</v>
      </c>
      <c r="Q552" s="78">
        <f t="shared" si="8"/>
        <v>2000</v>
      </c>
    </row>
    <row r="553" spans="1:17" x14ac:dyDescent="0.3">
      <c r="A553" s="177" t="s">
        <v>162</v>
      </c>
      <c r="B553" s="177" t="s">
        <v>3280</v>
      </c>
      <c r="C553" s="78" t="s">
        <v>3281</v>
      </c>
      <c r="D553" s="78">
        <v>0</v>
      </c>
      <c r="E553" s="78">
        <v>1000</v>
      </c>
      <c r="F553" s="78">
        <v>0</v>
      </c>
      <c r="G553" s="78">
        <v>0</v>
      </c>
      <c r="H553" s="78">
        <v>0</v>
      </c>
      <c r="I553" s="78">
        <v>0</v>
      </c>
      <c r="J553" s="78">
        <v>0</v>
      </c>
      <c r="K553" s="78">
        <v>36000</v>
      </c>
      <c r="L553" s="78">
        <v>13000</v>
      </c>
      <c r="M553" s="78">
        <v>0</v>
      </c>
      <c r="N553" s="78">
        <v>0</v>
      </c>
      <c r="O553" s="78">
        <v>1000</v>
      </c>
      <c r="P553" s="78">
        <v>0</v>
      </c>
      <c r="Q553" s="78">
        <f t="shared" si="8"/>
        <v>51000</v>
      </c>
    </row>
    <row r="554" spans="1:17" x14ac:dyDescent="0.3">
      <c r="A554" s="177" t="s">
        <v>162</v>
      </c>
      <c r="B554" s="177" t="s">
        <v>3282</v>
      </c>
      <c r="C554" s="78" t="s">
        <v>3283</v>
      </c>
      <c r="D554" s="78">
        <v>0</v>
      </c>
      <c r="E554" s="78">
        <v>0</v>
      </c>
      <c r="F554" s="78">
        <v>0</v>
      </c>
      <c r="G554" s="78">
        <v>0</v>
      </c>
      <c r="H554" s="78">
        <v>0</v>
      </c>
      <c r="I554" s="78">
        <v>0</v>
      </c>
      <c r="J554" s="78">
        <v>0</v>
      </c>
      <c r="K554" s="78">
        <v>0</v>
      </c>
      <c r="L554" s="78">
        <v>0</v>
      </c>
      <c r="M554" s="78">
        <v>12000</v>
      </c>
      <c r="N554" s="78">
        <v>0</v>
      </c>
      <c r="O554" s="78">
        <v>0</v>
      </c>
      <c r="P554" s="78">
        <v>0</v>
      </c>
      <c r="Q554" s="78">
        <f t="shared" si="8"/>
        <v>12000</v>
      </c>
    </row>
    <row r="555" spans="1:17" x14ac:dyDescent="0.3">
      <c r="A555" s="177" t="s">
        <v>162</v>
      </c>
      <c r="B555" s="177" t="s">
        <v>3366</v>
      </c>
      <c r="C555" s="78" t="s">
        <v>3367</v>
      </c>
      <c r="D555" s="78">
        <v>0</v>
      </c>
      <c r="E555" s="78">
        <v>-33732.558139499997</v>
      </c>
      <c r="F555" s="78">
        <v>-33732.558139499997</v>
      </c>
      <c r="G555" s="78">
        <v>-33732.558139499997</v>
      </c>
      <c r="H555" s="78">
        <v>-33732.558139499997</v>
      </c>
      <c r="I555" s="78">
        <v>-33732.558139499997</v>
      </c>
      <c r="J555" s="78">
        <v>-33732.558139499997</v>
      </c>
      <c r="K555" s="78">
        <v>-33732.558139499997</v>
      </c>
      <c r="L555" s="78">
        <v>-33732.558139499997</v>
      </c>
      <c r="M555" s="78">
        <v>-33732.558139499997</v>
      </c>
      <c r="N555" s="78">
        <v>-33732.558139499997</v>
      </c>
      <c r="O555" s="78">
        <v>-33732.558139499997</v>
      </c>
      <c r="P555" s="78">
        <v>-33732.558139499997</v>
      </c>
      <c r="Q555" s="78">
        <f t="shared" si="8"/>
        <v>-404790.69767399988</v>
      </c>
    </row>
    <row r="556" spans="1:17" x14ac:dyDescent="0.3">
      <c r="A556" s="177" t="s">
        <v>162</v>
      </c>
      <c r="B556" s="177" t="s">
        <v>3286</v>
      </c>
      <c r="C556" s="78" t="s">
        <v>3287</v>
      </c>
      <c r="D556" s="78">
        <v>0</v>
      </c>
      <c r="E556" s="78">
        <v>10219</v>
      </c>
      <c r="F556" s="78">
        <v>15087</v>
      </c>
      <c r="G556" s="78">
        <v>17113</v>
      </c>
      <c r="H556" s="78">
        <v>17754</v>
      </c>
      <c r="I556" s="78">
        <v>18284</v>
      </c>
      <c r="J556" s="78">
        <v>17261</v>
      </c>
      <c r="K556" s="78">
        <v>15642</v>
      </c>
      <c r="L556" s="78">
        <v>14117</v>
      </c>
      <c r="M556" s="78">
        <v>13025</v>
      </c>
      <c r="N556" s="78">
        <v>11622</v>
      </c>
      <c r="O556" s="78">
        <v>10345</v>
      </c>
      <c r="P556" s="78">
        <v>9541</v>
      </c>
      <c r="Q556" s="78">
        <f t="shared" si="8"/>
        <v>170010</v>
      </c>
    </row>
    <row r="557" spans="1:17" x14ac:dyDescent="0.3">
      <c r="A557" s="177" t="s">
        <v>162</v>
      </c>
      <c r="B557" s="177" t="s">
        <v>3288</v>
      </c>
      <c r="C557" s="78" t="s">
        <v>3289</v>
      </c>
      <c r="D557" s="78">
        <v>0</v>
      </c>
      <c r="E557" s="78">
        <v>0</v>
      </c>
      <c r="F557" s="78">
        <v>0</v>
      </c>
      <c r="G557" s="78">
        <v>5454</v>
      </c>
      <c r="H557" s="78">
        <v>11160</v>
      </c>
      <c r="I557" s="78">
        <v>14887</v>
      </c>
      <c r="J557" s="78">
        <v>15709</v>
      </c>
      <c r="K557" s="78">
        <v>13317</v>
      </c>
      <c r="L557" s="78">
        <v>10690</v>
      </c>
      <c r="M557" s="78">
        <v>8530</v>
      </c>
      <c r="N557" s="78">
        <v>7864</v>
      </c>
      <c r="O557" s="78">
        <v>11147</v>
      </c>
      <c r="P557" s="78">
        <v>17669</v>
      </c>
      <c r="Q557" s="78">
        <f t="shared" si="8"/>
        <v>116427</v>
      </c>
    </row>
    <row r="558" spans="1:17" x14ac:dyDescent="0.3">
      <c r="A558" s="154" t="s">
        <v>162</v>
      </c>
      <c r="B558" s="154" t="s">
        <v>3290</v>
      </c>
      <c r="C558" s="154" t="s">
        <v>3291</v>
      </c>
      <c r="D558" s="154">
        <v>0</v>
      </c>
      <c r="E558" s="154">
        <v>477078.17</v>
      </c>
      <c r="F558" s="154">
        <v>477078.17</v>
      </c>
      <c r="G558" s="154">
        <v>477078.17</v>
      </c>
      <c r="H558" s="154">
        <v>477078.17</v>
      </c>
      <c r="I558" s="154">
        <v>477078.17</v>
      </c>
      <c r="J558" s="154">
        <v>477078.17</v>
      </c>
      <c r="K558" s="154">
        <v>477078.17</v>
      </c>
      <c r="L558" s="154">
        <v>477078.17</v>
      </c>
      <c r="M558" s="154">
        <v>477078.17</v>
      </c>
      <c r="N558" s="154">
        <v>477078.17</v>
      </c>
      <c r="O558" s="154">
        <v>477078.17</v>
      </c>
      <c r="P558" s="154">
        <v>477078.13</v>
      </c>
      <c r="Q558" s="78">
        <f t="shared" si="8"/>
        <v>5724938</v>
      </c>
    </row>
    <row r="559" spans="1:17" x14ac:dyDescent="0.3">
      <c r="A559" s="154" t="s">
        <v>162</v>
      </c>
      <c r="B559" s="154" t="s">
        <v>3296</v>
      </c>
      <c r="C559" s="154" t="s">
        <v>3297</v>
      </c>
      <c r="D559" s="154">
        <v>0</v>
      </c>
      <c r="E559" s="154">
        <v>60773.734943199997</v>
      </c>
      <c r="F559" s="154">
        <v>60836.517727300001</v>
      </c>
      <c r="G559" s="154">
        <v>60899.300511300004</v>
      </c>
      <c r="H559" s="154">
        <v>59831.993182799997</v>
      </c>
      <c r="I559" s="154">
        <v>60020.341534899999</v>
      </c>
      <c r="J559" s="154">
        <v>60271.472671000003</v>
      </c>
      <c r="K559" s="154">
        <v>60899.300511300004</v>
      </c>
      <c r="L559" s="154">
        <v>61527.128351599997</v>
      </c>
      <c r="M559" s="154">
        <v>62154.956191999998</v>
      </c>
      <c r="N559" s="154">
        <v>61527.128351599997</v>
      </c>
      <c r="O559" s="154">
        <v>62154.956191999998</v>
      </c>
      <c r="P559" s="154">
        <v>62154.956191999998</v>
      </c>
      <c r="Q559" s="78">
        <f t="shared" si="8"/>
        <v>733051.78636099992</v>
      </c>
    </row>
    <row r="560" spans="1:17" x14ac:dyDescent="0.3">
      <c r="A560" s="154" t="s">
        <v>162</v>
      </c>
      <c r="B560" s="154" t="s">
        <v>3298</v>
      </c>
      <c r="C560" s="154" t="s">
        <v>3299</v>
      </c>
      <c r="D560" s="154">
        <v>0</v>
      </c>
      <c r="E560" s="154">
        <v>0</v>
      </c>
      <c r="F560" s="154">
        <v>0</v>
      </c>
      <c r="G560" s="154">
        <v>0</v>
      </c>
      <c r="H560" s="154">
        <v>0</v>
      </c>
      <c r="I560" s="154">
        <v>0</v>
      </c>
      <c r="J560" s="154">
        <v>0</v>
      </c>
      <c r="K560" s="154">
        <v>2724037</v>
      </c>
      <c r="L560" s="154">
        <v>1775963</v>
      </c>
      <c r="M560" s="154">
        <v>0</v>
      </c>
      <c r="N560" s="154">
        <v>0</v>
      </c>
      <c r="O560" s="154">
        <v>0</v>
      </c>
      <c r="P560" s="154">
        <v>0</v>
      </c>
      <c r="Q560" s="78">
        <f t="shared" si="8"/>
        <v>4500000</v>
      </c>
    </row>
    <row r="561" spans="1:17" x14ac:dyDescent="0.3">
      <c r="A561" s="154" t="s">
        <v>162</v>
      </c>
      <c r="B561" s="154" t="s">
        <v>3300</v>
      </c>
      <c r="C561" s="154" t="s">
        <v>3301</v>
      </c>
      <c r="D561" s="154">
        <v>0</v>
      </c>
      <c r="E561" s="154">
        <v>436226.26505679998</v>
      </c>
      <c r="F561" s="154">
        <v>461763.4822727</v>
      </c>
      <c r="G561" s="154">
        <v>437300.69948870002</v>
      </c>
      <c r="H561" s="154">
        <v>464968.00681719999</v>
      </c>
      <c r="I561" s="154">
        <v>431479.65846509999</v>
      </c>
      <c r="J561" s="154">
        <v>433328.527329</v>
      </c>
      <c r="K561" s="154">
        <v>497800.69948870002</v>
      </c>
      <c r="L561" s="154">
        <v>442272.87164839997</v>
      </c>
      <c r="M561" s="154">
        <v>446745.04380799999</v>
      </c>
      <c r="N561" s="154">
        <v>497472.87164839997</v>
      </c>
      <c r="O561" s="154">
        <v>446945.04380799999</v>
      </c>
      <c r="P561" s="154">
        <v>482045.04380799999</v>
      </c>
      <c r="Q561" s="78">
        <f t="shared" si="8"/>
        <v>5478348.2136390004</v>
      </c>
    </row>
    <row r="562" spans="1:17" x14ac:dyDescent="0.3">
      <c r="A562" s="154" t="s">
        <v>162</v>
      </c>
      <c r="B562" s="154" t="s">
        <v>3302</v>
      </c>
      <c r="C562" s="154" t="s">
        <v>3303</v>
      </c>
      <c r="D562" s="154">
        <v>0</v>
      </c>
      <c r="E562" s="154">
        <v>31846.57</v>
      </c>
      <c r="F562" s="154">
        <v>31846.57</v>
      </c>
      <c r="G562" s="154">
        <v>31846.57</v>
      </c>
      <c r="H562" s="154">
        <v>31846.57</v>
      </c>
      <c r="I562" s="154">
        <v>31846.57</v>
      </c>
      <c r="J562" s="154">
        <v>31846.57</v>
      </c>
      <c r="K562" s="154">
        <v>31846.57</v>
      </c>
      <c r="L562" s="154">
        <v>31846.57</v>
      </c>
      <c r="M562" s="154">
        <v>31846.57</v>
      </c>
      <c r="N562" s="154">
        <v>31846.57</v>
      </c>
      <c r="O562" s="154">
        <v>31846.57</v>
      </c>
      <c r="P562" s="154">
        <v>31846.57</v>
      </c>
      <c r="Q562" s="78">
        <f t="shared" si="8"/>
        <v>382158.84</v>
      </c>
    </row>
    <row r="563" spans="1:17" x14ac:dyDescent="0.3">
      <c r="A563" s="154" t="s">
        <v>162</v>
      </c>
      <c r="B563" s="154" t="s">
        <v>3304</v>
      </c>
      <c r="C563" s="154" t="s">
        <v>3305</v>
      </c>
      <c r="D563" s="154">
        <v>0</v>
      </c>
      <c r="E563" s="154">
        <v>243599.75032940001</v>
      </c>
      <c r="F563" s="154">
        <v>243701.2502253</v>
      </c>
      <c r="G563" s="154">
        <v>243802.79241289999</v>
      </c>
      <c r="H563" s="154">
        <v>243904.37690979999</v>
      </c>
      <c r="I563" s="154">
        <v>244006.00373349999</v>
      </c>
      <c r="J563" s="154">
        <v>244107.67290169999</v>
      </c>
      <c r="K563" s="154">
        <v>244209.38443209999</v>
      </c>
      <c r="L563" s="154">
        <v>244311.13834229999</v>
      </c>
      <c r="M563" s="154">
        <v>244412.93464990001</v>
      </c>
      <c r="N563" s="154">
        <v>244514.7733727</v>
      </c>
      <c r="O563" s="154">
        <v>244616.65452829999</v>
      </c>
      <c r="P563" s="154">
        <v>244718.57813430001</v>
      </c>
      <c r="Q563" s="78">
        <f t="shared" si="8"/>
        <v>2929905.3099722001</v>
      </c>
    </row>
    <row r="564" spans="1:17" x14ac:dyDescent="0.3">
      <c r="A564" s="154" t="s">
        <v>162</v>
      </c>
      <c r="B564" s="154" t="s">
        <v>3306</v>
      </c>
      <c r="C564" s="154" t="s">
        <v>3307</v>
      </c>
      <c r="D564" s="154">
        <v>0</v>
      </c>
      <c r="E564" s="154">
        <v>5071.1792503999995</v>
      </c>
      <c r="F564" s="154">
        <v>5013.1647732000001</v>
      </c>
      <c r="G564" s="154">
        <v>4954.0896333000001</v>
      </c>
      <c r="H564" s="154">
        <v>4894.9326853000002</v>
      </c>
      <c r="I564" s="154">
        <v>4835.6924336000002</v>
      </c>
      <c r="J564" s="154">
        <v>4775.6204543000003</v>
      </c>
      <c r="K564" s="154">
        <v>4715.4649384000004</v>
      </c>
      <c r="L564" s="154">
        <v>4655.2247132000002</v>
      </c>
      <c r="M564" s="154">
        <v>4594.8996606999999</v>
      </c>
      <c r="N564" s="154">
        <v>4534.4896615999996</v>
      </c>
      <c r="O564" s="154">
        <v>4473.9945963</v>
      </c>
      <c r="P564" s="154">
        <v>4413.4143449000003</v>
      </c>
      <c r="Q564" s="78">
        <f t="shared" si="8"/>
        <v>56932.167145200001</v>
      </c>
    </row>
    <row r="565" spans="1:17" x14ac:dyDescent="0.3">
      <c r="A565" s="154" t="s">
        <v>162</v>
      </c>
      <c r="B565" s="154" t="s">
        <v>3308</v>
      </c>
      <c r="C565" s="154" t="s">
        <v>3309</v>
      </c>
      <c r="D565" s="154">
        <v>0</v>
      </c>
      <c r="E565" s="154">
        <v>58762.37</v>
      </c>
      <c r="F565" s="154">
        <v>58762.37</v>
      </c>
      <c r="G565" s="154">
        <v>58762.37</v>
      </c>
      <c r="H565" s="154">
        <v>58762.37</v>
      </c>
      <c r="I565" s="154">
        <v>58762.37</v>
      </c>
      <c r="J565" s="154">
        <v>58762.37</v>
      </c>
      <c r="K565" s="154">
        <v>58762.37</v>
      </c>
      <c r="L565" s="154">
        <v>58762.37</v>
      </c>
      <c r="M565" s="154">
        <v>58762.37</v>
      </c>
      <c r="N565" s="154">
        <v>58762.37</v>
      </c>
      <c r="O565" s="154">
        <v>58762.37</v>
      </c>
      <c r="P565" s="154">
        <v>58762.37</v>
      </c>
      <c r="Q565" s="78">
        <f t="shared" si="8"/>
        <v>705148.44000000006</v>
      </c>
    </row>
    <row r="566" spans="1:17" x14ac:dyDescent="0.3">
      <c r="A566" s="154" t="s">
        <v>162</v>
      </c>
      <c r="B566" s="154" t="s">
        <v>3310</v>
      </c>
      <c r="C566" s="154" t="s">
        <v>3311</v>
      </c>
      <c r="D566" s="154">
        <v>0</v>
      </c>
      <c r="E566" s="154">
        <v>46192.88</v>
      </c>
      <c r="F566" s="154">
        <v>46192.87</v>
      </c>
      <c r="G566" s="154">
        <v>37871.9</v>
      </c>
      <c r="H566" s="154">
        <v>0</v>
      </c>
      <c r="I566" s="154">
        <v>0</v>
      </c>
      <c r="J566" s="154">
        <v>0</v>
      </c>
      <c r="K566" s="154">
        <v>0</v>
      </c>
      <c r="L566" s="154">
        <v>0</v>
      </c>
      <c r="M566" s="154">
        <v>0</v>
      </c>
      <c r="N566" s="154">
        <v>0</v>
      </c>
      <c r="O566" s="154">
        <v>0</v>
      </c>
      <c r="P566" s="154">
        <v>0</v>
      </c>
      <c r="Q566" s="78">
        <f t="shared" si="8"/>
        <v>130257.65</v>
      </c>
    </row>
    <row r="567" spans="1:17" x14ac:dyDescent="0.3">
      <c r="A567" s="154" t="s">
        <v>162</v>
      </c>
      <c r="B567" s="154" t="s">
        <v>3312</v>
      </c>
      <c r="C567" s="154" t="s">
        <v>3313</v>
      </c>
      <c r="D567" s="154">
        <v>0</v>
      </c>
      <c r="E567" s="154">
        <v>14426041.6666667</v>
      </c>
      <c r="F567" s="154">
        <v>14426042.6666667</v>
      </c>
      <c r="G567" s="154">
        <v>14426043.6666667</v>
      </c>
      <c r="H567" s="154">
        <v>16467711.3333333</v>
      </c>
      <c r="I567" s="154">
        <v>16467712.3333333</v>
      </c>
      <c r="J567" s="154">
        <v>16467713.3333333</v>
      </c>
      <c r="K567" s="154">
        <v>16467714.3333333</v>
      </c>
      <c r="L567" s="154">
        <v>16467715.3333333</v>
      </c>
      <c r="M567" s="154">
        <v>16467716.3333333</v>
      </c>
      <c r="N567" s="154">
        <v>16467717.3333333</v>
      </c>
      <c r="O567" s="154">
        <v>16467718.3333333</v>
      </c>
      <c r="P567" s="154">
        <v>16467719.3333333</v>
      </c>
      <c r="Q567" s="78">
        <f t="shared" si="8"/>
        <v>191487565.99999985</v>
      </c>
    </row>
    <row r="568" spans="1:17" x14ac:dyDescent="0.3">
      <c r="A568" s="154" t="s">
        <v>162</v>
      </c>
      <c r="B568" s="154" t="s">
        <v>3314</v>
      </c>
      <c r="C568" s="154" t="s">
        <v>3315</v>
      </c>
      <c r="D568" s="154">
        <v>0</v>
      </c>
      <c r="E568" s="154">
        <v>97139.28</v>
      </c>
      <c r="F568" s="154">
        <v>97139.28</v>
      </c>
      <c r="G568" s="154">
        <v>97139.28</v>
      </c>
      <c r="H568" s="154">
        <v>117972.28</v>
      </c>
      <c r="I568" s="154">
        <v>117972.28</v>
      </c>
      <c r="J568" s="154">
        <v>117972.28</v>
      </c>
      <c r="K568" s="154">
        <v>117972.28</v>
      </c>
      <c r="L568" s="154">
        <v>117972.28</v>
      </c>
      <c r="M568" s="154">
        <v>117972.28</v>
      </c>
      <c r="N568" s="154">
        <v>117972.28</v>
      </c>
      <c r="O568" s="154">
        <v>117972.28</v>
      </c>
      <c r="P568" s="154">
        <v>117972.28</v>
      </c>
      <c r="Q568" s="78">
        <f t="shared" si="8"/>
        <v>1353168.36</v>
      </c>
    </row>
    <row r="569" spans="1:17" x14ac:dyDescent="0.3">
      <c r="A569" s="154" t="s">
        <v>162</v>
      </c>
      <c r="B569" s="154" t="s">
        <v>3316</v>
      </c>
      <c r="C569" s="154" t="s">
        <v>3317</v>
      </c>
      <c r="D569" s="154">
        <v>0</v>
      </c>
      <c r="E569" s="154">
        <v>167828.47</v>
      </c>
      <c r="F569" s="154">
        <v>167828.47</v>
      </c>
      <c r="G569" s="154">
        <v>167828.47</v>
      </c>
      <c r="H569" s="154">
        <v>188661.47</v>
      </c>
      <c r="I569" s="154">
        <v>188661.47</v>
      </c>
      <c r="J569" s="154">
        <v>188661.47</v>
      </c>
      <c r="K569" s="154">
        <v>188661.47</v>
      </c>
      <c r="L569" s="154">
        <v>188661.47</v>
      </c>
      <c r="M569" s="154">
        <v>188661.47</v>
      </c>
      <c r="N569" s="154">
        <v>188661.47</v>
      </c>
      <c r="O569" s="154">
        <v>188661.47</v>
      </c>
      <c r="P569" s="154">
        <v>188661.47</v>
      </c>
      <c r="Q569" s="78">
        <f t="shared" si="8"/>
        <v>2201438.64</v>
      </c>
    </row>
    <row r="570" spans="1:17" x14ac:dyDescent="0.3">
      <c r="A570" s="154" t="s">
        <v>162</v>
      </c>
      <c r="B570" s="154" t="s">
        <v>3318</v>
      </c>
      <c r="C570" s="154" t="s">
        <v>3319</v>
      </c>
      <c r="D570" s="154">
        <v>0</v>
      </c>
      <c r="E570" s="154">
        <v>-91648</v>
      </c>
      <c r="F570" s="154">
        <v>-78473</v>
      </c>
      <c r="G570" s="154">
        <v>-70993</v>
      </c>
      <c r="H570" s="154">
        <v>-61276</v>
      </c>
      <c r="I570" s="154">
        <v>-57534</v>
      </c>
      <c r="J570" s="154">
        <v>-64675</v>
      </c>
      <c r="K570" s="154">
        <v>-72605</v>
      </c>
      <c r="L570" s="154">
        <v>-76142</v>
      </c>
      <c r="M570" s="154">
        <v>-90000</v>
      </c>
      <c r="N570" s="154">
        <v>-103248</v>
      </c>
      <c r="O570" s="154">
        <v>-107943</v>
      </c>
      <c r="P570" s="154">
        <v>-103385</v>
      </c>
      <c r="Q570" s="78">
        <f t="shared" si="8"/>
        <v>-977922</v>
      </c>
    </row>
    <row r="571" spans="1:17" x14ac:dyDescent="0.3">
      <c r="A571" s="154" t="s">
        <v>162</v>
      </c>
      <c r="B571" s="154" t="s">
        <v>3320</v>
      </c>
      <c r="C571" s="154" t="s">
        <v>3321</v>
      </c>
      <c r="D571" s="154">
        <v>0</v>
      </c>
      <c r="E571" s="154">
        <v>-7366</v>
      </c>
      <c r="F571" s="154">
        <v>-3066</v>
      </c>
      <c r="G571" s="154">
        <v>-2564</v>
      </c>
      <c r="H571" s="154">
        <v>-2209</v>
      </c>
      <c r="I571" s="154">
        <v>-1882</v>
      </c>
      <c r="J571" s="154">
        <v>-1641</v>
      </c>
      <c r="K571" s="154">
        <v>-1356</v>
      </c>
      <c r="L571" s="154">
        <v>-1089</v>
      </c>
      <c r="M571" s="154">
        <v>-859</v>
      </c>
      <c r="N571" s="154">
        <v>-611</v>
      </c>
      <c r="O571" s="154">
        <v>-374</v>
      </c>
      <c r="P571" s="154">
        <v>-157</v>
      </c>
      <c r="Q571" s="78">
        <f t="shared" si="8"/>
        <v>-23174</v>
      </c>
    </row>
    <row r="572" spans="1:17" x14ac:dyDescent="0.3">
      <c r="A572" s="154" t="s">
        <v>162</v>
      </c>
      <c r="B572" s="154" t="s">
        <v>3322</v>
      </c>
      <c r="C572" s="154" t="s">
        <v>3323</v>
      </c>
      <c r="D572" s="154">
        <v>0</v>
      </c>
      <c r="E572" s="154">
        <v>-25182</v>
      </c>
      <c r="F572" s="154">
        <v>-22271</v>
      </c>
      <c r="G572" s="154">
        <v>-20160</v>
      </c>
      <c r="H572" s="154">
        <v>-17375</v>
      </c>
      <c r="I572" s="154">
        <v>-15111</v>
      </c>
      <c r="J572" s="154">
        <v>-14105</v>
      </c>
      <c r="K572" s="154">
        <v>-13166</v>
      </c>
      <c r="L572" s="154">
        <v>-12455</v>
      </c>
      <c r="M572" s="154">
        <v>-12176</v>
      </c>
      <c r="N572" s="154">
        <v>-11357</v>
      </c>
      <c r="O572" s="154">
        <v>-10002</v>
      </c>
      <c r="P572" s="154">
        <v>-8653</v>
      </c>
      <c r="Q572" s="78">
        <f t="shared" si="8"/>
        <v>-182013</v>
      </c>
    </row>
    <row r="573" spans="1:17" x14ac:dyDescent="0.3">
      <c r="A573" s="154" t="s">
        <v>162</v>
      </c>
      <c r="B573" s="154" t="s">
        <v>3326</v>
      </c>
      <c r="C573" s="154" t="s">
        <v>3327</v>
      </c>
      <c r="D573" s="154">
        <v>0</v>
      </c>
      <c r="E573" s="154">
        <v>-17415.98</v>
      </c>
      <c r="F573" s="154">
        <v>-16836.82</v>
      </c>
      <c r="G573" s="154">
        <v>-16891.009999999998</v>
      </c>
      <c r="H573" s="154">
        <v>-16250.45</v>
      </c>
      <c r="I573" s="154">
        <v>-15657.25</v>
      </c>
      <c r="J573" s="154">
        <v>-15703.9</v>
      </c>
      <c r="K573" s="154">
        <v>-15265.31</v>
      </c>
      <c r="L573" s="154">
        <v>-14876.75</v>
      </c>
      <c r="M573" s="154">
        <v>-14918.66</v>
      </c>
      <c r="N573" s="154">
        <v>-14525.42</v>
      </c>
      <c r="O573" s="154">
        <v>-14074.06</v>
      </c>
      <c r="P573" s="154">
        <v>-14111.07</v>
      </c>
      <c r="Q573" s="78">
        <f t="shared" si="8"/>
        <v>-186526.68</v>
      </c>
    </row>
    <row r="574" spans="1:17" x14ac:dyDescent="0.3">
      <c r="A574" s="154" t="s">
        <v>162</v>
      </c>
      <c r="B574" s="154" t="s">
        <v>3328</v>
      </c>
      <c r="C574" s="154" t="s">
        <v>3329</v>
      </c>
      <c r="D574" s="154">
        <v>0</v>
      </c>
      <c r="E574" s="154">
        <v>0</v>
      </c>
      <c r="F574" s="154">
        <v>0</v>
      </c>
      <c r="G574" s="154">
        <v>100000</v>
      </c>
      <c r="H574" s="154">
        <v>0</v>
      </c>
      <c r="I574" s="154">
        <v>0</v>
      </c>
      <c r="J574" s="154">
        <v>0</v>
      </c>
      <c r="K574" s="154">
        <v>0</v>
      </c>
      <c r="L574" s="154">
        <v>0</v>
      </c>
      <c r="M574" s="154">
        <v>0</v>
      </c>
      <c r="N574" s="154">
        <v>0</v>
      </c>
      <c r="O574" s="154">
        <v>0</v>
      </c>
      <c r="P574" s="154">
        <v>0</v>
      </c>
      <c r="Q574" s="78">
        <f t="shared" si="8"/>
        <v>100000</v>
      </c>
    </row>
  </sheetData>
  <autoFilter ref="A13:Q574" xr:uid="{1DA53094-2789-43CD-9B55-8E102F1C2A17}"/>
  <dataValidations count="1">
    <dataValidation type="list" allowBlank="1" showInputMessage="1" showErrorMessage="1" sqref="C6" xr:uid="{E7E712B1-CC7C-4285-93D0-62A4C716C5FC}">
      <formula1>$I$1:$I$3</formula1>
    </dataValidation>
  </dataValidations>
  <pageMargins left="0.7" right="0.7" top="0.75" bottom="0.75" header="0.3" footer="0.3"/>
  <customProperties>
    <customPr name="_pios_id" r:id="rId1"/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Drop Down 1">
              <controlPr locked="0" defaultSize="0" autoLine="0" autoPict="0">
                <anchor moveWithCells="1">
                  <from>
                    <xdr:col>3</xdr:col>
                    <xdr:colOff>38100</xdr:colOff>
                    <xdr:row>7</xdr:row>
                    <xdr:rowOff>22860</xdr:rowOff>
                  </from>
                  <to>
                    <xdr:col>5</xdr:col>
                    <xdr:colOff>464820</xdr:colOff>
                    <xdr:row>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6" name="Drop Down 2">
              <controlPr locked="0" defaultSize="0" autoLine="0" autoPict="0">
                <anchor moveWithCells="1">
                  <from>
                    <xdr:col>3</xdr:col>
                    <xdr:colOff>30480</xdr:colOff>
                    <xdr:row>1</xdr:row>
                    <xdr:rowOff>373380</xdr:rowOff>
                  </from>
                  <to>
                    <xdr:col>5</xdr:col>
                    <xdr:colOff>480060</xdr:colOff>
                    <xdr:row>2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E3AE4-6277-4660-BFBE-9290E0654030}">
  <sheetPr filterMode="1">
    <tabColor theme="4"/>
  </sheetPr>
  <dimension ref="A1:I877"/>
  <sheetViews>
    <sheetView zoomScale="90" zoomScaleNormal="90" workbookViewId="0">
      <selection activeCell="F891" sqref="F891"/>
    </sheetView>
  </sheetViews>
  <sheetFormatPr defaultRowHeight="14.4" x14ac:dyDescent="0.3"/>
  <cols>
    <col min="1" max="1" width="14" bestFit="1" customWidth="1"/>
    <col min="2" max="2" width="18.88671875" bestFit="1" customWidth="1"/>
    <col min="3" max="3" width="49.44140625" bestFit="1" customWidth="1"/>
    <col min="4" max="5" width="19" style="178" bestFit="1" customWidth="1"/>
    <col min="6" max="6" width="18" bestFit="1" customWidth="1"/>
    <col min="7" max="7" width="13.6640625" bestFit="1" customWidth="1"/>
    <col min="8" max="8" width="18.6640625" bestFit="1" customWidth="1"/>
    <col min="9" max="9" width="92.44140625" bestFit="1" customWidth="1"/>
  </cols>
  <sheetData>
    <row r="1" spans="1:9" x14ac:dyDescent="0.3">
      <c r="A1" s="71" t="s">
        <v>141</v>
      </c>
      <c r="B1" s="71"/>
      <c r="C1" s="71"/>
      <c r="D1" s="205" t="s">
        <v>143</v>
      </c>
      <c r="E1" s="205" t="s">
        <v>1099</v>
      </c>
      <c r="F1" s="84"/>
      <c r="G1" s="84"/>
    </row>
    <row r="2" spans="1:9" ht="17.399999999999999" x14ac:dyDescent="0.3">
      <c r="A2" s="74" t="s">
        <v>144</v>
      </c>
      <c r="B2" s="75" t="s">
        <v>146</v>
      </c>
      <c r="C2" s="75" t="s">
        <v>147</v>
      </c>
      <c r="D2" s="205" t="s">
        <v>161</v>
      </c>
      <c r="E2" s="205" t="s">
        <v>1116</v>
      </c>
      <c r="F2" s="84" t="s">
        <v>1569</v>
      </c>
      <c r="G2" s="84" t="s">
        <v>1570</v>
      </c>
      <c r="H2" s="84" t="s">
        <v>1571</v>
      </c>
      <c r="I2" s="84" t="s">
        <v>3368</v>
      </c>
    </row>
    <row r="3" spans="1:9" hidden="1" x14ac:dyDescent="0.3">
      <c r="A3" s="177" t="s">
        <v>162</v>
      </c>
      <c r="B3" s="177" t="s">
        <v>1603</v>
      </c>
      <c r="C3" s="78" t="s">
        <v>165</v>
      </c>
      <c r="D3" s="178">
        <f>VLOOKUP(B3,'Planning TB 2024'!$B$14:$Q$888,16,FALSE)</f>
        <v>131679690312.98999</v>
      </c>
      <c r="E3" s="178">
        <f>VLOOKUP(B3,'Planning TB 2025'!$B$14:$Q$574,16,FALSE)</f>
        <v>149068626200.59</v>
      </c>
      <c r="F3" s="191">
        <f>E3-D3</f>
        <v>17388935887.600006</v>
      </c>
      <c r="G3" s="206">
        <f>F3/D3</f>
        <v>0.13205480546216486</v>
      </c>
    </row>
    <row r="4" spans="1:9" hidden="1" x14ac:dyDescent="0.3">
      <c r="A4" s="177" t="s">
        <v>162</v>
      </c>
      <c r="B4" s="177" t="s">
        <v>1604</v>
      </c>
      <c r="C4" s="78" t="s">
        <v>167</v>
      </c>
      <c r="D4" s="178">
        <f>VLOOKUP(B4,'Planning TB 2024'!$B$14:$Q$888,16,FALSE)</f>
        <v>38809810.901706494</v>
      </c>
      <c r="E4" s="178">
        <f>VLOOKUP(B4,'Planning TB 2025'!$B$14:$Q$574,16,FALSE)</f>
        <v>33362819.897958301</v>
      </c>
      <c r="F4" s="191">
        <f t="shared" ref="F4:F67" si="0">E4-D4</f>
        <v>-5446991.0037481934</v>
      </c>
      <c r="G4" s="206">
        <f t="shared" ref="G4:G67" si="1">F4/D4</f>
        <v>-0.14035087719298023</v>
      </c>
    </row>
    <row r="5" spans="1:9" hidden="1" x14ac:dyDescent="0.3">
      <c r="A5" s="177" t="s">
        <v>162</v>
      </c>
      <c r="B5" s="177" t="s">
        <v>1605</v>
      </c>
      <c r="C5" s="78" t="s">
        <v>1606</v>
      </c>
      <c r="D5" s="178">
        <f>VLOOKUP(B5,'Planning TB 2024'!$B$14:$Q$888,16,FALSE)</f>
        <v>368279553.47010481</v>
      </c>
      <c r="E5" s="178">
        <f>VLOOKUP(B5,'Planning TB 2025'!$B$14:$Q$574,16,FALSE)</f>
        <v>343354389.9777233</v>
      </c>
      <c r="F5" s="191">
        <f t="shared" si="0"/>
        <v>-24925163.492381513</v>
      </c>
      <c r="G5" s="206">
        <f t="shared" si="1"/>
        <v>-6.7680008997308666E-2</v>
      </c>
    </row>
    <row r="6" spans="1:9" hidden="1" x14ac:dyDescent="0.3">
      <c r="A6" s="177" t="s">
        <v>162</v>
      </c>
      <c r="B6" s="177" t="s">
        <v>1607</v>
      </c>
      <c r="C6" s="78" t="s">
        <v>169</v>
      </c>
      <c r="D6" s="178">
        <f>VLOOKUP(B6,'Planning TB 2024'!$B$14:$Q$888,16,FALSE)</f>
        <v>2055355.3</v>
      </c>
      <c r="E6" s="178" t="e">
        <f>VLOOKUP(B6,'Planning TB 2025'!$B$14:$Q$574,16,FALSE)</f>
        <v>#N/A</v>
      </c>
      <c r="F6" s="191" t="e">
        <f t="shared" si="0"/>
        <v>#N/A</v>
      </c>
      <c r="G6" s="206" t="e">
        <f t="shared" si="1"/>
        <v>#N/A</v>
      </c>
    </row>
    <row r="7" spans="1:9" hidden="1" x14ac:dyDescent="0.3">
      <c r="A7" s="177" t="s">
        <v>162</v>
      </c>
      <c r="B7" s="177" t="s">
        <v>1608</v>
      </c>
      <c r="C7" s="78" t="s">
        <v>177</v>
      </c>
      <c r="D7" s="178">
        <f>VLOOKUP(B7,'Planning TB 2024'!$B$14:$Q$888,16,FALSE)</f>
        <v>766148794.35999978</v>
      </c>
      <c r="E7" s="178">
        <f>VLOOKUP(B7,'Planning TB 2025'!$B$14:$Q$574,16,FALSE)</f>
        <v>839166663.53999984</v>
      </c>
      <c r="F7" s="191">
        <f t="shared" si="0"/>
        <v>73017869.180000067</v>
      </c>
      <c r="G7" s="206">
        <f t="shared" si="1"/>
        <v>9.5305076138630929E-2</v>
      </c>
    </row>
    <row r="8" spans="1:9" hidden="1" x14ac:dyDescent="0.3">
      <c r="A8" s="177" t="s">
        <v>162</v>
      </c>
      <c r="B8" s="177" t="s">
        <v>1609</v>
      </c>
      <c r="C8" s="78" t="s">
        <v>1610</v>
      </c>
      <c r="D8" s="178">
        <f>VLOOKUP(B8,'Planning TB 2024'!$B$14:$Q$888,16,FALSE)</f>
        <v>24940580455.199997</v>
      </c>
      <c r="E8" s="178">
        <f>VLOOKUP(B8,'Planning TB 2025'!$B$14:$Q$574,16,FALSE)</f>
        <v>24940580455.199997</v>
      </c>
      <c r="F8" s="191">
        <f t="shared" si="0"/>
        <v>0</v>
      </c>
      <c r="G8" s="206">
        <f t="shared" si="1"/>
        <v>0</v>
      </c>
    </row>
    <row r="9" spans="1:9" hidden="1" x14ac:dyDescent="0.3">
      <c r="A9" s="177" t="s">
        <v>162</v>
      </c>
      <c r="B9" s="177" t="s">
        <v>1611</v>
      </c>
      <c r="C9" s="78" t="s">
        <v>183</v>
      </c>
      <c r="D9" s="178">
        <f>VLOOKUP(B9,'Planning TB 2024'!$B$14:$Q$888,16,FALSE)</f>
        <v>13434201658.350002</v>
      </c>
      <c r="E9" s="178">
        <f>VLOOKUP(B9,'Planning TB 2025'!$B$14:$Q$574,16,FALSE)</f>
        <v>12574302258.350002</v>
      </c>
      <c r="F9" s="191">
        <f t="shared" si="0"/>
        <v>-859899400</v>
      </c>
      <c r="G9" s="206">
        <f t="shared" si="1"/>
        <v>-6.4008224818147733E-2</v>
      </c>
    </row>
    <row r="10" spans="1:9" hidden="1" x14ac:dyDescent="0.3">
      <c r="A10" s="177" t="s">
        <v>162</v>
      </c>
      <c r="B10" s="177" t="s">
        <v>1612</v>
      </c>
      <c r="C10" s="78" t="s">
        <v>185</v>
      </c>
      <c r="D10" s="178">
        <f>VLOOKUP(B10,'Planning TB 2024'!$B$14:$Q$888,16,FALSE)</f>
        <v>-44974903448.400002</v>
      </c>
      <c r="E10" s="178">
        <f>VLOOKUP(B10,'Planning TB 2025'!$B$14:$Q$574,16,FALSE)</f>
        <v>-48776551035.329994</v>
      </c>
      <c r="F10" s="191">
        <f t="shared" si="0"/>
        <v>-3801647586.9299927</v>
      </c>
      <c r="G10" s="206">
        <f t="shared" si="1"/>
        <v>8.4528198960819284E-2</v>
      </c>
    </row>
    <row r="11" spans="1:9" hidden="1" x14ac:dyDescent="0.3">
      <c r="A11" s="177" t="s">
        <v>162</v>
      </c>
      <c r="B11" s="177" t="s">
        <v>1613</v>
      </c>
      <c r="C11" s="78" t="s">
        <v>1614</v>
      </c>
      <c r="D11" s="178">
        <f>VLOOKUP(B11,'Planning TB 2024'!$B$14:$Q$888,16,FALSE)</f>
        <v>960942308.5200001</v>
      </c>
      <c r="E11" s="178">
        <f>VLOOKUP(B11,'Planning TB 2025'!$B$14:$Q$574,16,FALSE)</f>
        <v>960942308.5200001</v>
      </c>
      <c r="F11" s="191">
        <f t="shared" si="0"/>
        <v>0</v>
      </c>
      <c r="G11" s="206">
        <f t="shared" si="1"/>
        <v>0</v>
      </c>
    </row>
    <row r="12" spans="1:9" hidden="1" x14ac:dyDescent="0.3">
      <c r="A12" s="177" t="s">
        <v>162</v>
      </c>
      <c r="B12" s="177" t="s">
        <v>1615</v>
      </c>
      <c r="C12" s="78" t="s">
        <v>1616</v>
      </c>
      <c r="D12" s="178">
        <f>VLOOKUP(B12,'Planning TB 2024'!$B$14:$Q$888,16,FALSE)</f>
        <v>160920122.97999999</v>
      </c>
      <c r="E12" s="178">
        <f>VLOOKUP(B12,'Planning TB 2025'!$B$14:$Q$574,16,FALSE)</f>
        <v>157731059.41999999</v>
      </c>
      <c r="F12" s="191">
        <f t="shared" si="0"/>
        <v>-3189063.5600000024</v>
      </c>
      <c r="G12" s="206">
        <f t="shared" si="1"/>
        <v>-1.9817680355590808E-2</v>
      </c>
    </row>
    <row r="13" spans="1:9" hidden="1" x14ac:dyDescent="0.3">
      <c r="A13" s="177" t="s">
        <v>162</v>
      </c>
      <c r="B13" s="177" t="s">
        <v>1617</v>
      </c>
      <c r="C13" s="78" t="s">
        <v>1618</v>
      </c>
      <c r="D13" s="178">
        <f>VLOOKUP(B13,'Planning TB 2024'!$B$14:$Q$888,16,FALSE)</f>
        <v>160920122.97999999</v>
      </c>
      <c r="E13" s="178">
        <f>VLOOKUP(B13,'Planning TB 2025'!$B$14:$Q$574,16,FALSE)</f>
        <v>157731059.41999999</v>
      </c>
      <c r="F13" s="191">
        <f t="shared" si="0"/>
        <v>-3189063.5600000024</v>
      </c>
      <c r="G13" s="206">
        <f t="shared" si="1"/>
        <v>-1.9817680355590808E-2</v>
      </c>
    </row>
    <row r="14" spans="1:9" hidden="1" x14ac:dyDescent="0.3">
      <c r="A14" s="177" t="s">
        <v>162</v>
      </c>
      <c r="B14" s="177" t="s">
        <v>1619</v>
      </c>
      <c r="C14" s="78" t="s">
        <v>1620</v>
      </c>
      <c r="D14" s="178">
        <f>VLOOKUP(B14,'Planning TB 2024'!$B$14:$Q$888,16,FALSE)</f>
        <v>3057482334.8000002</v>
      </c>
      <c r="E14" s="178">
        <f>VLOOKUP(B14,'Planning TB 2025'!$B$14:$Q$574,16,FALSE)</f>
        <v>2996890124.04</v>
      </c>
      <c r="F14" s="191">
        <f t="shared" si="0"/>
        <v>-60592210.760000229</v>
      </c>
      <c r="G14" s="206">
        <f t="shared" si="1"/>
        <v>-1.981768138783499E-2</v>
      </c>
    </row>
    <row r="15" spans="1:9" hidden="1" x14ac:dyDescent="0.3">
      <c r="A15" s="177" t="s">
        <v>162</v>
      </c>
      <c r="B15" s="177" t="s">
        <v>1621</v>
      </c>
      <c r="C15" s="78" t="s">
        <v>1622</v>
      </c>
      <c r="D15" s="178">
        <f>VLOOKUP(B15,'Planning TB 2024'!$B$14:$Q$888,16,FALSE)</f>
        <v>3057482334.8000002</v>
      </c>
      <c r="E15" s="178">
        <f>VLOOKUP(B15,'Planning TB 2025'!$B$14:$Q$574,16,FALSE)</f>
        <v>2996890124.04</v>
      </c>
      <c r="F15" s="191">
        <f t="shared" si="0"/>
        <v>-60592210.760000229</v>
      </c>
      <c r="G15" s="206">
        <f t="shared" si="1"/>
        <v>-1.981768138783499E-2</v>
      </c>
    </row>
    <row r="16" spans="1:9" hidden="1" x14ac:dyDescent="0.3">
      <c r="A16" s="177" t="s">
        <v>162</v>
      </c>
      <c r="B16" s="177" t="s">
        <v>1623</v>
      </c>
      <c r="C16" s="78" t="s">
        <v>187</v>
      </c>
      <c r="D16" s="178">
        <f>VLOOKUP(B16,'Planning TB 2024'!$B$14:$Q$888,16,FALSE)</f>
        <v>-2000429042.5899999</v>
      </c>
      <c r="E16" s="178">
        <f>VLOOKUP(B16,'Planning TB 2025'!$B$14:$Q$574,16,FALSE)</f>
        <v>-2325333617.9599996</v>
      </c>
      <c r="F16" s="191">
        <f t="shared" si="0"/>
        <v>-324904575.36999965</v>
      </c>
      <c r="G16" s="206">
        <f t="shared" si="1"/>
        <v>0.16241744568422106</v>
      </c>
    </row>
    <row r="17" spans="1:7" hidden="1" x14ac:dyDescent="0.3">
      <c r="A17" s="177" t="s">
        <v>162</v>
      </c>
      <c r="B17" s="177" t="s">
        <v>1624</v>
      </c>
      <c r="C17" s="78" t="s">
        <v>189</v>
      </c>
      <c r="D17" s="178">
        <f>VLOOKUP(B17,'Planning TB 2024'!$B$14:$Q$888,16,FALSE)</f>
        <v>89817873.120000005</v>
      </c>
      <c r="E17" s="178">
        <f>VLOOKUP(B17,'Planning TB 2025'!$B$14:$Q$574,16,FALSE)</f>
        <v>89817873.120000005</v>
      </c>
      <c r="F17" s="191">
        <f t="shared" si="0"/>
        <v>0</v>
      </c>
      <c r="G17" s="206">
        <f t="shared" si="1"/>
        <v>0</v>
      </c>
    </row>
    <row r="18" spans="1:7" hidden="1" x14ac:dyDescent="0.3">
      <c r="A18" s="177" t="s">
        <v>162</v>
      </c>
      <c r="B18" s="177" t="s">
        <v>1625</v>
      </c>
      <c r="C18" s="78" t="s">
        <v>191</v>
      </c>
      <c r="D18" s="178">
        <f>VLOOKUP(B18,'Planning TB 2024'!$B$14:$Q$888,16,FALSE)</f>
        <v>-81298495.859999999</v>
      </c>
      <c r="E18" s="178">
        <f>VLOOKUP(B18,'Planning TB 2025'!$B$14:$Q$574,16,FALSE)</f>
        <v>-84139000.979999989</v>
      </c>
      <c r="F18" s="191">
        <f t="shared" si="0"/>
        <v>-2840505.1199999899</v>
      </c>
      <c r="G18" s="206">
        <f t="shared" si="1"/>
        <v>3.4939208775663935E-2</v>
      </c>
    </row>
    <row r="19" spans="1:7" hidden="1" x14ac:dyDescent="0.3">
      <c r="A19" s="177" t="s">
        <v>162</v>
      </c>
      <c r="B19" s="177" t="s">
        <v>1626</v>
      </c>
      <c r="C19" s="78" t="s">
        <v>207</v>
      </c>
      <c r="D19" s="178">
        <f>VLOOKUP(B19,'Planning TB 2024'!$B$14:$Q$888,16,FALSE)</f>
        <v>211873126.19999996</v>
      </c>
      <c r="E19" s="178">
        <f>VLOOKUP(B19,'Planning TB 2025'!$B$14:$Q$574,16,FALSE)</f>
        <v>243428452.86999997</v>
      </c>
      <c r="F19" s="191">
        <f t="shared" si="0"/>
        <v>31555326.670000017</v>
      </c>
      <c r="G19" s="206">
        <f t="shared" si="1"/>
        <v>0.14893501236307347</v>
      </c>
    </row>
    <row r="20" spans="1:7" hidden="1" x14ac:dyDescent="0.3">
      <c r="A20" s="177" t="s">
        <v>162</v>
      </c>
      <c r="B20" s="177" t="s">
        <v>1627</v>
      </c>
      <c r="C20" s="78" t="s">
        <v>1628</v>
      </c>
      <c r="D20" s="178">
        <f>VLOOKUP(B20,'Planning TB 2024'!$B$14:$Q$888,16,FALSE)</f>
        <v>2999998.7999999993</v>
      </c>
      <c r="E20" s="178">
        <f>VLOOKUP(B20,'Planning TB 2025'!$B$14:$Q$574,16,FALSE)</f>
        <v>3000000</v>
      </c>
      <c r="F20" s="191">
        <f t="shared" si="0"/>
        <v>1.2000000006519258</v>
      </c>
      <c r="G20" s="206">
        <f t="shared" si="1"/>
        <v>4.0000016021737277E-7</v>
      </c>
    </row>
    <row r="21" spans="1:7" hidden="1" x14ac:dyDescent="0.3">
      <c r="A21" s="177" t="s">
        <v>162</v>
      </c>
      <c r="B21" s="177" t="s">
        <v>1629</v>
      </c>
      <c r="C21" s="78" t="s">
        <v>1630</v>
      </c>
      <c r="D21" s="178">
        <f>VLOOKUP(B21,'Planning TB 2024'!$B$14:$Q$888,16,FALSE)</f>
        <v>51375001.979999997</v>
      </c>
      <c r="E21" s="178">
        <f>VLOOKUP(B21,'Planning TB 2025'!$B$14:$Q$574,16,FALSE)</f>
        <v>48375000</v>
      </c>
      <c r="F21" s="191">
        <f t="shared" si="0"/>
        <v>-3000001.9799999967</v>
      </c>
      <c r="G21" s="206">
        <f t="shared" si="1"/>
        <v>-5.8394196873566659E-2</v>
      </c>
    </row>
    <row r="22" spans="1:7" hidden="1" x14ac:dyDescent="0.3">
      <c r="A22" s="177" t="s">
        <v>162</v>
      </c>
      <c r="B22" s="177" t="s">
        <v>1631</v>
      </c>
      <c r="C22" s="78" t="s">
        <v>209</v>
      </c>
      <c r="D22" s="178">
        <f>VLOOKUP(B22,'Planning TB 2024'!$B$14:$Q$888,16,FALSE)</f>
        <v>-90749741.859999985</v>
      </c>
      <c r="E22" s="178">
        <f>VLOOKUP(B22,'Planning TB 2025'!$B$14:$Q$574,16,FALSE)</f>
        <v>-98156536.039999992</v>
      </c>
      <c r="F22" s="191">
        <f t="shared" si="0"/>
        <v>-7406794.1800000072</v>
      </c>
      <c r="G22" s="206">
        <f t="shared" si="1"/>
        <v>8.1617798885053577E-2</v>
      </c>
    </row>
    <row r="23" spans="1:7" hidden="1" x14ac:dyDescent="0.3">
      <c r="A23" s="177" t="s">
        <v>162</v>
      </c>
      <c r="B23" s="177" t="s">
        <v>1632</v>
      </c>
      <c r="C23" s="78" t="s">
        <v>1633</v>
      </c>
      <c r="D23" s="178">
        <f>VLOOKUP(B23,'Planning TB 2024'!$B$14:$Q$888,16,FALSE)</f>
        <v>0</v>
      </c>
      <c r="E23" s="178" t="e">
        <f>VLOOKUP(B23,'Planning TB 2025'!$B$14:$Q$574,16,FALSE)</f>
        <v>#N/A</v>
      </c>
      <c r="F23" s="191" t="e">
        <f t="shared" si="0"/>
        <v>#N/A</v>
      </c>
      <c r="G23" s="206" t="e">
        <f t="shared" si="1"/>
        <v>#N/A</v>
      </c>
    </row>
    <row r="24" spans="1:7" hidden="1" x14ac:dyDescent="0.3">
      <c r="A24" s="177" t="s">
        <v>162</v>
      </c>
      <c r="B24" s="177" t="s">
        <v>1634</v>
      </c>
      <c r="C24" s="78" t="s">
        <v>1635</v>
      </c>
      <c r="D24" s="178">
        <f>VLOOKUP(B24,'Planning TB 2024'!$B$14:$Q$888,16,FALSE)</f>
        <v>0</v>
      </c>
      <c r="E24" s="178" t="e">
        <f>VLOOKUP(B24,'Planning TB 2025'!$B$14:$Q$574,16,FALSE)</f>
        <v>#N/A</v>
      </c>
      <c r="F24" s="191" t="e">
        <f t="shared" si="0"/>
        <v>#N/A</v>
      </c>
      <c r="G24" s="206" t="e">
        <f t="shared" si="1"/>
        <v>#N/A</v>
      </c>
    </row>
    <row r="25" spans="1:7" hidden="1" x14ac:dyDescent="0.3">
      <c r="A25" s="177" t="s">
        <v>162</v>
      </c>
      <c r="B25" s="177" t="s">
        <v>1636</v>
      </c>
      <c r="C25" s="78" t="s">
        <v>1637</v>
      </c>
      <c r="D25" s="178">
        <f>VLOOKUP(B25,'Planning TB 2024'!$B$14:$Q$888,16,FALSE)</f>
        <v>0</v>
      </c>
      <c r="E25" s="178" t="e">
        <f>VLOOKUP(B25,'Planning TB 2025'!$B$14:$Q$574,16,FALSE)</f>
        <v>#N/A</v>
      </c>
      <c r="F25" s="191" t="e">
        <f t="shared" si="0"/>
        <v>#N/A</v>
      </c>
      <c r="G25" s="206" t="e">
        <f t="shared" si="1"/>
        <v>#N/A</v>
      </c>
    </row>
    <row r="26" spans="1:7" hidden="1" x14ac:dyDescent="0.3">
      <c r="A26" s="177" t="s">
        <v>162</v>
      </c>
      <c r="B26" s="177" t="s">
        <v>1638</v>
      </c>
      <c r="C26" s="78" t="s">
        <v>1639</v>
      </c>
      <c r="D26" s="178">
        <f>VLOOKUP(B26,'Planning TB 2024'!$B$14:$Q$888,16,FALSE)</f>
        <v>0</v>
      </c>
      <c r="E26" s="178" t="e">
        <f>VLOOKUP(B26,'Planning TB 2025'!$B$14:$Q$574,16,FALSE)</f>
        <v>#N/A</v>
      </c>
      <c r="F26" s="191" t="e">
        <f t="shared" si="0"/>
        <v>#N/A</v>
      </c>
      <c r="G26" s="206" t="e">
        <f t="shared" si="1"/>
        <v>#N/A</v>
      </c>
    </row>
    <row r="27" spans="1:7" hidden="1" x14ac:dyDescent="0.3">
      <c r="A27" s="177" t="s">
        <v>162</v>
      </c>
      <c r="B27" s="177" t="s">
        <v>1640</v>
      </c>
      <c r="C27" s="78" t="s">
        <v>1641</v>
      </c>
      <c r="D27" s="178">
        <f>VLOOKUP(B27,'Planning TB 2024'!$B$14:$Q$888,16,FALSE)</f>
        <v>12000000</v>
      </c>
      <c r="E27" s="178">
        <f>VLOOKUP(B27,'Planning TB 2025'!$B$14:$Q$574,16,FALSE)</f>
        <v>12000000</v>
      </c>
      <c r="F27" s="191">
        <f t="shared" si="0"/>
        <v>0</v>
      </c>
      <c r="G27" s="206">
        <f t="shared" si="1"/>
        <v>0</v>
      </c>
    </row>
    <row r="28" spans="1:7" hidden="1" x14ac:dyDescent="0.3">
      <c r="A28" s="177" t="s">
        <v>162</v>
      </c>
      <c r="B28" s="177" t="s">
        <v>1642</v>
      </c>
      <c r="C28" s="78" t="s">
        <v>1643</v>
      </c>
      <c r="D28" s="178">
        <f>VLOOKUP(B28,'Planning TB 2024'!$B$14:$Q$888,16,FALSE)</f>
        <v>631984.68000000005</v>
      </c>
      <c r="E28" s="178">
        <f>VLOOKUP(B28,'Planning TB 2025'!$B$14:$Q$574,16,FALSE)</f>
        <v>631984.68000000005</v>
      </c>
      <c r="F28" s="191">
        <f t="shared" si="0"/>
        <v>0</v>
      </c>
      <c r="G28" s="206">
        <f t="shared" si="1"/>
        <v>0</v>
      </c>
    </row>
    <row r="29" spans="1:7" hidden="1" x14ac:dyDescent="0.3">
      <c r="A29" s="177" t="s">
        <v>162</v>
      </c>
      <c r="B29" s="177" t="s">
        <v>1644</v>
      </c>
      <c r="C29" s="78" t="s">
        <v>1645</v>
      </c>
      <c r="D29" s="178">
        <f>VLOOKUP(B29,'Planning TB 2024'!$B$14:$Q$888,16,FALSE)</f>
        <v>2309041208.6500001</v>
      </c>
      <c r="E29" s="178">
        <f>VLOOKUP(B29,'Planning TB 2025'!$B$14:$Q$574,16,FALSE)</f>
        <v>2177543267.6225667</v>
      </c>
      <c r="F29" s="191">
        <f t="shared" si="0"/>
        <v>-131497941.0274334</v>
      </c>
      <c r="G29" s="206">
        <f t="shared" si="1"/>
        <v>-5.6949152979523805E-2</v>
      </c>
    </row>
    <row r="30" spans="1:7" hidden="1" x14ac:dyDescent="0.3">
      <c r="A30" s="177" t="s">
        <v>162</v>
      </c>
      <c r="B30" s="177" t="s">
        <v>1646</v>
      </c>
      <c r="C30" s="78" t="s">
        <v>1647</v>
      </c>
      <c r="D30" s="178">
        <f>VLOOKUP(B30,'Planning TB 2024'!$B$14:$Q$888,16,FALSE)</f>
        <v>-6600000</v>
      </c>
      <c r="E30" s="178">
        <f>VLOOKUP(B30,'Planning TB 2025'!$B$14:$Q$574,16,FALSE)</f>
        <v>-6300000</v>
      </c>
      <c r="F30" s="191">
        <f t="shared" si="0"/>
        <v>300000</v>
      </c>
      <c r="G30" s="206">
        <f t="shared" si="1"/>
        <v>-4.5454545454545456E-2</v>
      </c>
    </row>
    <row r="31" spans="1:7" hidden="1" x14ac:dyDescent="0.3">
      <c r="A31" s="177" t="s">
        <v>162</v>
      </c>
      <c r="B31" s="177" t="s">
        <v>1648</v>
      </c>
      <c r="C31" s="78" t="s">
        <v>1649</v>
      </c>
      <c r="D31" s="178">
        <f>VLOOKUP(B31,'Planning TB 2024'!$B$14:$Q$888,16,FALSE)</f>
        <v>38400000</v>
      </c>
      <c r="E31" s="178">
        <f>VLOOKUP(B31,'Planning TB 2025'!$B$14:$Q$574,16,FALSE)</f>
        <v>39600000</v>
      </c>
      <c r="F31" s="191">
        <f t="shared" si="0"/>
        <v>1200000</v>
      </c>
      <c r="G31" s="206">
        <f t="shared" si="1"/>
        <v>3.125E-2</v>
      </c>
    </row>
    <row r="32" spans="1:7" hidden="1" x14ac:dyDescent="0.3">
      <c r="A32" s="177" t="s">
        <v>162</v>
      </c>
      <c r="B32" s="177" t="s">
        <v>1650</v>
      </c>
      <c r="C32" s="78" t="s">
        <v>1651</v>
      </c>
      <c r="D32" s="178">
        <f>VLOOKUP(B32,'Planning TB 2024'!$B$14:$Q$888,16,FALSE)</f>
        <v>47600000</v>
      </c>
      <c r="E32" s="178">
        <f>VLOOKUP(B32,'Planning TB 2025'!$B$14:$Q$574,16,FALSE)</f>
        <v>48868825.600000009</v>
      </c>
      <c r="F32" s="191">
        <f t="shared" si="0"/>
        <v>1268825.6000000089</v>
      </c>
      <c r="G32" s="206">
        <f t="shared" si="1"/>
        <v>2.6656000000000186E-2</v>
      </c>
    </row>
    <row r="33" spans="1:7" hidden="1" x14ac:dyDescent="0.3">
      <c r="A33" s="177" t="s">
        <v>162</v>
      </c>
      <c r="B33" s="177" t="s">
        <v>1652</v>
      </c>
      <c r="C33" s="78" t="s">
        <v>1653</v>
      </c>
      <c r="D33" s="178">
        <f>VLOOKUP(B33,'Planning TB 2024'!$B$14:$Q$888,16,FALSE)</f>
        <v>0</v>
      </c>
      <c r="E33" s="178" t="e">
        <f>VLOOKUP(B33,'Planning TB 2025'!$B$14:$Q$574,16,FALSE)</f>
        <v>#N/A</v>
      </c>
      <c r="F33" s="191" t="e">
        <f t="shared" si="0"/>
        <v>#N/A</v>
      </c>
      <c r="G33" s="206" t="e">
        <f t="shared" si="1"/>
        <v>#N/A</v>
      </c>
    </row>
    <row r="34" spans="1:7" hidden="1" x14ac:dyDescent="0.3">
      <c r="A34" s="177" t="s">
        <v>162</v>
      </c>
      <c r="B34" s="177" t="s">
        <v>1654</v>
      </c>
      <c r="C34" s="78" t="s">
        <v>1655</v>
      </c>
      <c r="D34" s="178">
        <f>VLOOKUP(B34,'Planning TB 2024'!$B$14:$Q$888,16,FALSE)</f>
        <v>0</v>
      </c>
      <c r="E34" s="178" t="e">
        <f>VLOOKUP(B34,'Planning TB 2025'!$B$14:$Q$574,16,FALSE)</f>
        <v>#N/A</v>
      </c>
      <c r="F34" s="191" t="e">
        <f t="shared" si="0"/>
        <v>#N/A</v>
      </c>
      <c r="G34" s="206" t="e">
        <f t="shared" si="1"/>
        <v>#N/A</v>
      </c>
    </row>
    <row r="35" spans="1:7" hidden="1" x14ac:dyDescent="0.3">
      <c r="A35" s="177" t="s">
        <v>162</v>
      </c>
      <c r="B35" s="177" t="s">
        <v>1656</v>
      </c>
      <c r="C35" s="78" t="s">
        <v>1657</v>
      </c>
      <c r="D35" s="178">
        <f>VLOOKUP(B35,'Planning TB 2024'!$B$14:$Q$888,16,FALSE)</f>
        <v>0</v>
      </c>
      <c r="E35" s="178" t="e">
        <f>VLOOKUP(B35,'Planning TB 2025'!$B$14:$Q$574,16,FALSE)</f>
        <v>#N/A</v>
      </c>
      <c r="F35" s="191" t="e">
        <f t="shared" si="0"/>
        <v>#N/A</v>
      </c>
      <c r="G35" s="206" t="e">
        <f t="shared" si="1"/>
        <v>#N/A</v>
      </c>
    </row>
    <row r="36" spans="1:7" hidden="1" x14ac:dyDescent="0.3">
      <c r="A36" s="177" t="s">
        <v>162</v>
      </c>
      <c r="B36" s="177" t="s">
        <v>1658</v>
      </c>
      <c r="C36" s="78" t="s">
        <v>1659</v>
      </c>
      <c r="D36" s="178">
        <f>VLOOKUP(B36,'Planning TB 2024'!$B$14:$Q$888,16,FALSE)</f>
        <v>-30866559.745926701</v>
      </c>
      <c r="E36" s="178">
        <f>VLOOKUP(B36,'Planning TB 2025'!$B$14:$Q$574,16,FALSE)</f>
        <v>-30706724.316453099</v>
      </c>
      <c r="F36" s="191">
        <f t="shared" si="0"/>
        <v>159835.42947360128</v>
      </c>
      <c r="G36" s="206">
        <f t="shared" si="1"/>
        <v>-5.178271591951349E-3</v>
      </c>
    </row>
    <row r="37" spans="1:7" hidden="1" x14ac:dyDescent="0.3">
      <c r="A37" s="177" t="s">
        <v>162</v>
      </c>
      <c r="B37" s="177" t="s">
        <v>1660</v>
      </c>
      <c r="C37" s="78" t="s">
        <v>1661</v>
      </c>
      <c r="D37" s="178">
        <f>VLOOKUP(B37,'Planning TB 2024'!$B$14:$Q$888,16,FALSE)</f>
        <v>9568633.5212373007</v>
      </c>
      <c r="E37" s="178">
        <f>VLOOKUP(B37,'Planning TB 2025'!$B$14:$Q$574,16,FALSE)</f>
        <v>9519084.5381003991</v>
      </c>
      <c r="F37" s="191">
        <f t="shared" si="0"/>
        <v>-49548.983136901632</v>
      </c>
      <c r="G37" s="206">
        <f t="shared" si="1"/>
        <v>-5.1782715919602438E-3</v>
      </c>
    </row>
    <row r="38" spans="1:7" hidden="1" x14ac:dyDescent="0.3">
      <c r="A38" s="177" t="s">
        <v>162</v>
      </c>
      <c r="B38" s="177" t="s">
        <v>1662</v>
      </c>
      <c r="C38" s="78" t="s">
        <v>1663</v>
      </c>
      <c r="D38" s="178">
        <f>VLOOKUP(B38,'Planning TB 2024'!$B$14:$Q$888,16,FALSE)</f>
        <v>9259967.9237779994</v>
      </c>
      <c r="E38" s="178">
        <f>VLOOKUP(B38,'Planning TB 2025'!$B$14:$Q$574,16,FALSE)</f>
        <v>9212017.2949360013</v>
      </c>
      <c r="F38" s="191">
        <f t="shared" si="0"/>
        <v>-47950.628841998056</v>
      </c>
      <c r="G38" s="206">
        <f t="shared" si="1"/>
        <v>-5.1782715919424646E-3</v>
      </c>
    </row>
    <row r="39" spans="1:7" hidden="1" x14ac:dyDescent="0.3">
      <c r="A39" s="177" t="s">
        <v>162</v>
      </c>
      <c r="B39" s="177" t="s">
        <v>1664</v>
      </c>
      <c r="C39" s="78" t="s">
        <v>1665</v>
      </c>
      <c r="D39" s="178">
        <f>VLOOKUP(B39,'Planning TB 2024'!$B$14:$Q$888,16,FALSE)</f>
        <v>0</v>
      </c>
      <c r="E39" s="178" t="e">
        <f>VLOOKUP(B39,'Planning TB 2025'!$B$14:$Q$574,16,FALSE)</f>
        <v>#N/A</v>
      </c>
      <c r="F39" s="191" t="e">
        <f t="shared" si="0"/>
        <v>#N/A</v>
      </c>
      <c r="G39" s="206" t="e">
        <f t="shared" si="1"/>
        <v>#N/A</v>
      </c>
    </row>
    <row r="40" spans="1:7" hidden="1" x14ac:dyDescent="0.3">
      <c r="A40" s="177" t="s">
        <v>162</v>
      </c>
      <c r="B40" s="177" t="s">
        <v>1666</v>
      </c>
      <c r="C40" s="78" t="s">
        <v>1667</v>
      </c>
      <c r="D40" s="178">
        <f>VLOOKUP(B40,'Planning TB 2024'!$B$14:$Q$888,16,FALSE)</f>
        <v>-7854214.8000000017</v>
      </c>
      <c r="E40" s="178">
        <f>VLOOKUP(B40,'Planning TB 2025'!$B$14:$Q$574,16,FALSE)</f>
        <v>-7854214.8000000017</v>
      </c>
      <c r="F40" s="191">
        <f t="shared" si="0"/>
        <v>0</v>
      </c>
      <c r="G40" s="206">
        <f t="shared" si="1"/>
        <v>0</v>
      </c>
    </row>
    <row r="41" spans="1:7" hidden="1" x14ac:dyDescent="0.3">
      <c r="A41" s="177" t="s">
        <v>162</v>
      </c>
      <c r="B41" s="177" t="s">
        <v>1668</v>
      </c>
      <c r="C41" s="78" t="s">
        <v>1669</v>
      </c>
      <c r="D41" s="178">
        <f>VLOOKUP(B41,'Planning TB 2024'!$B$14:$Q$888,16,FALSE)</f>
        <v>105682181.86387919</v>
      </c>
      <c r="E41" s="178">
        <f>VLOOKUP(B41,'Planning TB 2025'!$B$14:$Q$574,16,FALSE)</f>
        <v>102487022.5030034</v>
      </c>
      <c r="F41" s="191">
        <f t="shared" si="0"/>
        <v>-3195159.3608757854</v>
      </c>
      <c r="G41" s="206">
        <f t="shared" si="1"/>
        <v>-3.0233661952506014E-2</v>
      </c>
    </row>
    <row r="42" spans="1:7" hidden="1" x14ac:dyDescent="0.3">
      <c r="A42" s="177" t="s">
        <v>162</v>
      </c>
      <c r="B42" s="177" t="s">
        <v>1670</v>
      </c>
      <c r="C42" s="78" t="s">
        <v>1671</v>
      </c>
      <c r="D42" s="178">
        <f>VLOOKUP(B42,'Planning TB 2024'!$B$14:$Q$888,16,FALSE)</f>
        <v>108137.32573530002</v>
      </c>
      <c r="E42" s="178">
        <f>VLOOKUP(B42,'Planning TB 2025'!$B$14:$Q$574,16,FALSE)</f>
        <v>278493.5446888</v>
      </c>
      <c r="F42" s="191">
        <f t="shared" si="0"/>
        <v>170356.21895349998</v>
      </c>
      <c r="G42" s="206">
        <f t="shared" si="1"/>
        <v>1.5753692612160595</v>
      </c>
    </row>
    <row r="43" spans="1:7" hidden="1" x14ac:dyDescent="0.3">
      <c r="A43" s="177" t="s">
        <v>162</v>
      </c>
      <c r="B43" s="177" t="s">
        <v>1672</v>
      </c>
      <c r="C43" s="78" t="s">
        <v>1673</v>
      </c>
      <c r="D43" s="178">
        <f>VLOOKUP(B43,'Planning TB 2024'!$B$14:$Q$888,16,FALSE)</f>
        <v>0</v>
      </c>
      <c r="E43" s="178">
        <f>VLOOKUP(B43,'Planning TB 2025'!$B$14:$Q$574,16,FALSE)</f>
        <v>8801.2199999999975</v>
      </c>
      <c r="F43" s="191">
        <f t="shared" si="0"/>
        <v>8801.2199999999975</v>
      </c>
      <c r="G43" s="206" t="e">
        <f t="shared" si="1"/>
        <v>#DIV/0!</v>
      </c>
    </row>
    <row r="44" spans="1:7" hidden="1" x14ac:dyDescent="0.3">
      <c r="A44" s="177" t="s">
        <v>162</v>
      </c>
      <c r="B44" s="177" t="s">
        <v>1674</v>
      </c>
      <c r="C44" s="78" t="s">
        <v>1675</v>
      </c>
      <c r="D44" s="178">
        <f>VLOOKUP(B44,'Planning TB 2024'!$B$14:$Q$888,16,FALSE)</f>
        <v>2765701.6800000011</v>
      </c>
      <c r="E44" s="178">
        <f>VLOOKUP(B44,'Planning TB 2025'!$B$14:$Q$574,16,FALSE)</f>
        <v>2415206.8599995999</v>
      </c>
      <c r="F44" s="191">
        <f t="shared" si="0"/>
        <v>-350494.82000040123</v>
      </c>
      <c r="G44" s="206">
        <f t="shared" si="1"/>
        <v>-0.12672907657936597</v>
      </c>
    </row>
    <row r="45" spans="1:7" hidden="1" x14ac:dyDescent="0.3">
      <c r="A45" s="177" t="s">
        <v>162</v>
      </c>
      <c r="B45" s="177" t="s">
        <v>1676</v>
      </c>
      <c r="C45" s="78" t="s">
        <v>1677</v>
      </c>
      <c r="D45" s="178">
        <f>VLOOKUP(B45,'Planning TB 2024'!$B$14:$Q$888,16,FALSE)</f>
        <v>169596.54000000004</v>
      </c>
      <c r="E45" s="178">
        <f>VLOOKUP(B45,'Planning TB 2025'!$B$14:$Q$574,16,FALSE)</f>
        <v>1144450.5600000001</v>
      </c>
      <c r="F45" s="191">
        <f t="shared" si="0"/>
        <v>974854.02</v>
      </c>
      <c r="G45" s="206">
        <f t="shared" si="1"/>
        <v>5.7480772897843302</v>
      </c>
    </row>
    <row r="46" spans="1:7" hidden="1" x14ac:dyDescent="0.3">
      <c r="A46" s="177" t="s">
        <v>162</v>
      </c>
      <c r="B46" s="177" t="s">
        <v>1678</v>
      </c>
      <c r="C46" s="78" t="s">
        <v>1679</v>
      </c>
      <c r="D46" s="178">
        <f>VLOOKUP(B46,'Planning TB 2024'!$B$14:$Q$888,16,FALSE)</f>
        <v>240491.15999999995</v>
      </c>
      <c r="E46" s="178">
        <f>VLOOKUP(B46,'Planning TB 2025'!$B$14:$Q$574,16,FALSE)</f>
        <v>219657.12000000002</v>
      </c>
      <c r="F46" s="191">
        <f t="shared" si="0"/>
        <v>-20834.039999999921</v>
      </c>
      <c r="G46" s="206">
        <f t="shared" si="1"/>
        <v>-8.6631209230309855E-2</v>
      </c>
    </row>
    <row r="47" spans="1:7" hidden="1" x14ac:dyDescent="0.3">
      <c r="A47" s="177" t="s">
        <v>162</v>
      </c>
      <c r="B47" s="177" t="s">
        <v>1680</v>
      </c>
      <c r="C47" s="78" t="s">
        <v>1681</v>
      </c>
      <c r="D47" s="178">
        <f>VLOOKUP(B47,'Planning TB 2024'!$B$14:$Q$888,16,FALSE)</f>
        <v>56451.600000000013</v>
      </c>
      <c r="E47" s="178">
        <f>VLOOKUP(B47,'Planning TB 2025'!$B$14:$Q$574,16,FALSE)</f>
        <v>121394.39999999998</v>
      </c>
      <c r="F47" s="191">
        <f t="shared" si="0"/>
        <v>64942.799999999967</v>
      </c>
      <c r="G47" s="206">
        <f t="shared" si="1"/>
        <v>1.1504155772378453</v>
      </c>
    </row>
    <row r="48" spans="1:7" hidden="1" x14ac:dyDescent="0.3">
      <c r="A48" s="177" t="s">
        <v>162</v>
      </c>
      <c r="B48" s="177" t="s">
        <v>1682</v>
      </c>
      <c r="C48" s="78" t="s">
        <v>1683</v>
      </c>
      <c r="D48" s="178">
        <f>VLOOKUP(B48,'Planning TB 2024'!$B$14:$Q$888,16,FALSE)</f>
        <v>22580.519999999993</v>
      </c>
      <c r="E48" s="178">
        <f>VLOOKUP(B48,'Planning TB 2025'!$B$14:$Q$574,16,FALSE)</f>
        <v>209309.15999999995</v>
      </c>
      <c r="F48" s="191">
        <f t="shared" si="0"/>
        <v>186728.63999999996</v>
      </c>
      <c r="G48" s="206">
        <f t="shared" si="1"/>
        <v>8.2694570364190021</v>
      </c>
    </row>
    <row r="49" spans="1:7" hidden="1" x14ac:dyDescent="0.3">
      <c r="A49" s="177" t="s">
        <v>162</v>
      </c>
      <c r="B49" s="177" t="s">
        <v>1684</v>
      </c>
      <c r="C49" s="78" t="s">
        <v>1685</v>
      </c>
      <c r="D49" s="178">
        <f>VLOOKUP(B49,'Planning TB 2024'!$B$14:$Q$888,16,FALSE)</f>
        <v>1917372.12</v>
      </c>
      <c r="E49" s="178">
        <f>VLOOKUP(B49,'Planning TB 2025'!$B$14:$Q$574,16,FALSE)</f>
        <v>1917011.88</v>
      </c>
      <c r="F49" s="191">
        <f t="shared" si="0"/>
        <v>-360.24000000022352</v>
      </c>
      <c r="G49" s="206">
        <f t="shared" si="1"/>
        <v>-1.8788215195296754E-4</v>
      </c>
    </row>
    <row r="50" spans="1:7" hidden="1" x14ac:dyDescent="0.3">
      <c r="A50" s="177" t="s">
        <v>162</v>
      </c>
      <c r="B50" s="177" t="s">
        <v>1686</v>
      </c>
      <c r="C50" s="78" t="s">
        <v>1687</v>
      </c>
      <c r="D50" s="178">
        <f>VLOOKUP(B50,'Planning TB 2024'!$B$14:$Q$888,16,FALSE)</f>
        <v>15586.92</v>
      </c>
      <c r="E50" s="178">
        <f>VLOOKUP(B50,'Planning TB 2025'!$B$14:$Q$574,16,FALSE)</f>
        <v>15586.92</v>
      </c>
      <c r="F50" s="191">
        <f t="shared" si="0"/>
        <v>0</v>
      </c>
      <c r="G50" s="206">
        <f t="shared" si="1"/>
        <v>0</v>
      </c>
    </row>
    <row r="51" spans="1:7" hidden="1" x14ac:dyDescent="0.3">
      <c r="A51" s="177" t="s">
        <v>162</v>
      </c>
      <c r="B51" s="177" t="s">
        <v>1688</v>
      </c>
      <c r="C51" s="78" t="s">
        <v>1689</v>
      </c>
      <c r="D51" s="178">
        <f>VLOOKUP(B51,'Planning TB 2024'!$B$14:$Q$888,16,FALSE)</f>
        <v>178580.06</v>
      </c>
      <c r="E51" s="178">
        <f>VLOOKUP(B51,'Planning TB 2025'!$B$14:$Q$574,16,FALSE)</f>
        <v>157787.7270217</v>
      </c>
      <c r="F51" s="191">
        <f t="shared" si="0"/>
        <v>-20792.332978299994</v>
      </c>
      <c r="G51" s="206">
        <f t="shared" si="1"/>
        <v>-0.11643143684854845</v>
      </c>
    </row>
    <row r="52" spans="1:7" hidden="1" x14ac:dyDescent="0.3">
      <c r="A52" s="177" t="s">
        <v>162</v>
      </c>
      <c r="B52" s="177" t="s">
        <v>1690</v>
      </c>
      <c r="C52" s="78" t="s">
        <v>1691</v>
      </c>
      <c r="D52" s="178">
        <f>VLOOKUP(B52,'Planning TB 2024'!$B$14:$Q$888,16,FALSE)</f>
        <v>190961.87999999998</v>
      </c>
      <c r="E52" s="178">
        <f>VLOOKUP(B52,'Planning TB 2025'!$B$14:$Q$574,16,FALSE)</f>
        <v>49212.719999999994</v>
      </c>
      <c r="F52" s="191">
        <f t="shared" si="0"/>
        <v>-141749.15999999997</v>
      </c>
      <c r="G52" s="206">
        <f t="shared" si="1"/>
        <v>-0.74229034611515132</v>
      </c>
    </row>
    <row r="53" spans="1:7" hidden="1" x14ac:dyDescent="0.3">
      <c r="A53" s="177" t="s">
        <v>162</v>
      </c>
      <c r="B53" s="177" t="s">
        <v>1692</v>
      </c>
      <c r="C53" s="78" t="s">
        <v>1693</v>
      </c>
      <c r="D53" s="178">
        <f>VLOOKUP(B53,'Planning TB 2024'!$B$14:$Q$888,16,FALSE)</f>
        <v>2441070.7200000002</v>
      </c>
      <c r="E53" s="178">
        <f>VLOOKUP(B53,'Planning TB 2025'!$B$14:$Q$574,16,FALSE)</f>
        <v>1240075.9599996002</v>
      </c>
      <c r="F53" s="191">
        <f t="shared" si="0"/>
        <v>-1200994.7600004</v>
      </c>
      <c r="G53" s="206">
        <f t="shared" si="1"/>
        <v>-0.49199507009792814</v>
      </c>
    </row>
    <row r="54" spans="1:7" hidden="1" x14ac:dyDescent="0.3">
      <c r="A54" s="177" t="s">
        <v>162</v>
      </c>
      <c r="B54" s="177" t="s">
        <v>1694</v>
      </c>
      <c r="C54" s="78" t="s">
        <v>1695</v>
      </c>
      <c r="D54" s="178">
        <f>VLOOKUP(B54,'Planning TB 2024'!$B$14:$Q$888,16,FALSE)</f>
        <v>198902.87999999998</v>
      </c>
      <c r="E54" s="178">
        <f>VLOOKUP(B54,'Planning TB 2025'!$B$14:$Q$574,16,FALSE)</f>
        <v>198902.87999999998</v>
      </c>
      <c r="F54" s="191">
        <f t="shared" si="0"/>
        <v>0</v>
      </c>
      <c r="G54" s="206">
        <f t="shared" si="1"/>
        <v>0</v>
      </c>
    </row>
    <row r="55" spans="1:7" hidden="1" x14ac:dyDescent="0.3">
      <c r="A55" s="177" t="s">
        <v>162</v>
      </c>
      <c r="B55" s="177" t="s">
        <v>1696</v>
      </c>
      <c r="C55" s="78" t="s">
        <v>1697</v>
      </c>
      <c r="D55" s="178">
        <f>VLOOKUP(B55,'Planning TB 2024'!$B$14:$Q$888,16,FALSE)</f>
        <v>250200</v>
      </c>
      <c r="E55" s="178">
        <f>VLOOKUP(B55,'Planning TB 2025'!$B$14:$Q$574,16,FALSE)</f>
        <v>250200</v>
      </c>
      <c r="F55" s="191">
        <f t="shared" si="0"/>
        <v>0</v>
      </c>
      <c r="G55" s="206">
        <f t="shared" si="1"/>
        <v>0</v>
      </c>
    </row>
    <row r="56" spans="1:7" hidden="1" x14ac:dyDescent="0.3">
      <c r="A56" s="177" t="s">
        <v>162</v>
      </c>
      <c r="B56" s="177" t="s">
        <v>1698</v>
      </c>
      <c r="C56" s="78" t="s">
        <v>1699</v>
      </c>
      <c r="D56" s="178">
        <f>VLOOKUP(B56,'Planning TB 2024'!$B$14:$Q$888,16,FALSE)</f>
        <v>50993188.919999987</v>
      </c>
      <c r="E56" s="178">
        <f>VLOOKUP(B56,'Planning TB 2025'!$B$14:$Q$574,16,FALSE)</f>
        <v>53052587.159999996</v>
      </c>
      <c r="F56" s="191">
        <f t="shared" si="0"/>
        <v>2059398.2400000095</v>
      </c>
      <c r="G56" s="206">
        <f t="shared" si="1"/>
        <v>4.0385751187886489E-2</v>
      </c>
    </row>
    <row r="57" spans="1:7" hidden="1" x14ac:dyDescent="0.3">
      <c r="A57" s="177" t="s">
        <v>162</v>
      </c>
      <c r="B57" s="177" t="s">
        <v>1700</v>
      </c>
      <c r="C57" s="78" t="s">
        <v>1701</v>
      </c>
      <c r="D57" s="178">
        <f>VLOOKUP(B57,'Planning TB 2024'!$B$14:$Q$888,16,FALSE)</f>
        <v>358146000</v>
      </c>
      <c r="E57" s="178">
        <f>VLOOKUP(B57,'Planning TB 2025'!$B$14:$Q$574,16,FALSE)</f>
        <v>369492000</v>
      </c>
      <c r="F57" s="191">
        <f t="shared" si="0"/>
        <v>11346000</v>
      </c>
      <c r="G57" s="206">
        <f t="shared" si="1"/>
        <v>3.1679817727965687E-2</v>
      </c>
    </row>
    <row r="58" spans="1:7" hidden="1" x14ac:dyDescent="0.3">
      <c r="A58" s="177" t="s">
        <v>162</v>
      </c>
      <c r="B58" s="177" t="s">
        <v>1702</v>
      </c>
      <c r="C58" s="78" t="s">
        <v>1703</v>
      </c>
      <c r="D58" s="178">
        <f>VLOOKUP(B58,'Planning TB 2024'!$B$14:$Q$888,16,FALSE)</f>
        <v>61950000</v>
      </c>
      <c r="E58" s="178">
        <f>VLOOKUP(B58,'Planning TB 2025'!$B$14:$Q$574,16,FALSE)</f>
        <v>62342000</v>
      </c>
      <c r="F58" s="191">
        <f t="shared" si="0"/>
        <v>392000</v>
      </c>
      <c r="G58" s="206">
        <f t="shared" si="1"/>
        <v>6.3276836158192087E-3</v>
      </c>
    </row>
    <row r="59" spans="1:7" hidden="1" x14ac:dyDescent="0.3">
      <c r="A59" s="177" t="s">
        <v>162</v>
      </c>
      <c r="B59" s="177" t="s">
        <v>1704</v>
      </c>
      <c r="C59" s="78" t="s">
        <v>1705</v>
      </c>
      <c r="D59" s="178">
        <f>VLOOKUP(B59,'Planning TB 2024'!$B$14:$Q$888,16,FALSE)</f>
        <v>10131000</v>
      </c>
      <c r="E59" s="178">
        <f>VLOOKUP(B59,'Planning TB 2025'!$B$14:$Q$574,16,FALSE)</f>
        <v>11490000</v>
      </c>
      <c r="F59" s="191">
        <f t="shared" si="0"/>
        <v>1359000</v>
      </c>
      <c r="G59" s="206">
        <f t="shared" si="1"/>
        <v>0.13414273023393544</v>
      </c>
    </row>
    <row r="60" spans="1:7" hidden="1" x14ac:dyDescent="0.3">
      <c r="A60" s="177" t="s">
        <v>162</v>
      </c>
      <c r="B60" s="177" t="s">
        <v>1706</v>
      </c>
      <c r="C60" s="78" t="s">
        <v>1707</v>
      </c>
      <c r="D60" s="178">
        <f>VLOOKUP(B60,'Planning TB 2024'!$B$14:$Q$888,16,FALSE)</f>
        <v>2053368225</v>
      </c>
      <c r="E60" s="178">
        <f>VLOOKUP(B60,'Planning TB 2025'!$B$14:$Q$574,16,FALSE)</f>
        <v>1953865800</v>
      </c>
      <c r="F60" s="191">
        <f t="shared" si="0"/>
        <v>-99502425</v>
      </c>
      <c r="G60" s="206">
        <f t="shared" si="1"/>
        <v>-4.8458149779735685E-2</v>
      </c>
    </row>
    <row r="61" spans="1:7" hidden="1" x14ac:dyDescent="0.3">
      <c r="A61" s="177" t="s">
        <v>162</v>
      </c>
      <c r="B61" s="177" t="s">
        <v>1708</v>
      </c>
      <c r="C61" s="78" t="s">
        <v>1709</v>
      </c>
      <c r="D61" s="178">
        <f>VLOOKUP(B61,'Planning TB 2024'!$B$14:$Q$888,16,FALSE)</f>
        <v>0</v>
      </c>
      <c r="E61" s="178" t="e">
        <f>VLOOKUP(B61,'Planning TB 2025'!$B$14:$Q$574,16,FALSE)</f>
        <v>#N/A</v>
      </c>
      <c r="F61" s="191" t="e">
        <f t="shared" si="0"/>
        <v>#N/A</v>
      </c>
      <c r="G61" s="206" t="e">
        <f t="shared" si="1"/>
        <v>#N/A</v>
      </c>
    </row>
    <row r="62" spans="1:7" hidden="1" x14ac:dyDescent="0.3">
      <c r="A62" s="177" t="s">
        <v>162</v>
      </c>
      <c r="B62" s="177" t="s">
        <v>1710</v>
      </c>
      <c r="C62" s="78" t="s">
        <v>1711</v>
      </c>
      <c r="D62" s="178">
        <f>VLOOKUP(B62,'Planning TB 2024'!$B$14:$Q$888,16,FALSE)</f>
        <v>0</v>
      </c>
      <c r="E62" s="178" t="e">
        <f>VLOOKUP(B62,'Planning TB 2025'!$B$14:$Q$574,16,FALSE)</f>
        <v>#N/A</v>
      </c>
      <c r="F62" s="191" t="e">
        <f t="shared" si="0"/>
        <v>#N/A</v>
      </c>
      <c r="G62" s="206" t="e">
        <f t="shared" si="1"/>
        <v>#N/A</v>
      </c>
    </row>
    <row r="63" spans="1:7" hidden="1" x14ac:dyDescent="0.3">
      <c r="A63" s="177" t="s">
        <v>162</v>
      </c>
      <c r="B63" s="177" t="s">
        <v>1712</v>
      </c>
      <c r="C63" s="78" t="s">
        <v>1713</v>
      </c>
      <c r="D63" s="178">
        <f>VLOOKUP(B63,'Planning TB 2024'!$B$14:$Q$888,16,FALSE)</f>
        <v>21158822.040000003</v>
      </c>
      <c r="E63" s="178">
        <f>VLOOKUP(B63,'Planning TB 2025'!$B$14:$Q$574,16,FALSE)</f>
        <v>21158822.040000003</v>
      </c>
      <c r="F63" s="191">
        <f t="shared" si="0"/>
        <v>0</v>
      </c>
      <c r="G63" s="206">
        <f t="shared" si="1"/>
        <v>0</v>
      </c>
    </row>
    <row r="64" spans="1:7" hidden="1" x14ac:dyDescent="0.3">
      <c r="A64" s="177" t="s">
        <v>162</v>
      </c>
      <c r="B64" s="177" t="s">
        <v>1714</v>
      </c>
      <c r="C64" s="78" t="s">
        <v>1715</v>
      </c>
      <c r="D64" s="178">
        <f>VLOOKUP(B64,'Planning TB 2024'!$B$14:$Q$888,16,FALSE)</f>
        <v>0</v>
      </c>
      <c r="E64" s="178" t="e">
        <f>VLOOKUP(B64,'Planning TB 2025'!$B$14:$Q$574,16,FALSE)</f>
        <v>#N/A</v>
      </c>
      <c r="F64" s="191" t="e">
        <f t="shared" si="0"/>
        <v>#N/A</v>
      </c>
      <c r="G64" s="206" t="e">
        <f t="shared" si="1"/>
        <v>#N/A</v>
      </c>
    </row>
    <row r="65" spans="1:7" hidden="1" x14ac:dyDescent="0.3">
      <c r="A65" s="177" t="s">
        <v>162</v>
      </c>
      <c r="B65" s="177" t="s">
        <v>1716</v>
      </c>
      <c r="C65" s="78" t="s">
        <v>1717</v>
      </c>
      <c r="D65" s="178">
        <f>VLOOKUP(B65,'Planning TB 2024'!$B$14:$Q$888,16,FALSE)</f>
        <v>0</v>
      </c>
      <c r="E65" s="178" t="e">
        <f>VLOOKUP(B65,'Planning TB 2025'!$B$14:$Q$574,16,FALSE)</f>
        <v>#N/A</v>
      </c>
      <c r="F65" s="191" t="e">
        <f t="shared" si="0"/>
        <v>#N/A</v>
      </c>
      <c r="G65" s="206" t="e">
        <f t="shared" si="1"/>
        <v>#N/A</v>
      </c>
    </row>
    <row r="66" spans="1:7" hidden="1" x14ac:dyDescent="0.3">
      <c r="A66" s="177" t="s">
        <v>162</v>
      </c>
      <c r="B66" s="177" t="s">
        <v>1718</v>
      </c>
      <c r="C66" s="78" t="s">
        <v>1719</v>
      </c>
      <c r="D66" s="178">
        <f>VLOOKUP(B66,'Planning TB 2024'!$B$14:$Q$888,16,FALSE)</f>
        <v>1500000</v>
      </c>
      <c r="E66" s="178" t="e">
        <f>VLOOKUP(B66,'Planning TB 2025'!$B$14:$Q$574,16,FALSE)</f>
        <v>#N/A</v>
      </c>
      <c r="F66" s="191" t="e">
        <f t="shared" si="0"/>
        <v>#N/A</v>
      </c>
      <c r="G66" s="206" t="e">
        <f t="shared" si="1"/>
        <v>#N/A</v>
      </c>
    </row>
    <row r="67" spans="1:7" hidden="1" x14ac:dyDescent="0.3">
      <c r="A67" s="177" t="s">
        <v>162</v>
      </c>
      <c r="B67" s="177" t="s">
        <v>1720</v>
      </c>
      <c r="C67" s="78" t="s">
        <v>1721</v>
      </c>
      <c r="D67" s="178">
        <f>VLOOKUP(B67,'Planning TB 2024'!$B$14:$Q$888,16,FALSE)</f>
        <v>1350000</v>
      </c>
      <c r="E67" s="178" t="e">
        <f>VLOOKUP(B67,'Planning TB 2025'!$B$14:$Q$574,16,FALSE)</f>
        <v>#N/A</v>
      </c>
      <c r="F67" s="191" t="e">
        <f t="shared" si="0"/>
        <v>#N/A</v>
      </c>
      <c r="G67" s="206" t="e">
        <f t="shared" si="1"/>
        <v>#N/A</v>
      </c>
    </row>
    <row r="68" spans="1:7" hidden="1" x14ac:dyDescent="0.3">
      <c r="A68" s="177" t="s">
        <v>162</v>
      </c>
      <c r="B68" s="177" t="s">
        <v>1722</v>
      </c>
      <c r="C68" s="78" t="s">
        <v>1723</v>
      </c>
      <c r="D68" s="178">
        <f>VLOOKUP(B68,'Planning TB 2024'!$B$14:$Q$888,16,FALSE)</f>
        <v>1200000</v>
      </c>
      <c r="E68" s="178" t="e">
        <f>VLOOKUP(B68,'Planning TB 2025'!$B$14:$Q$574,16,FALSE)</f>
        <v>#N/A</v>
      </c>
      <c r="F68" s="191" t="e">
        <f t="shared" ref="F68:F131" si="2">E68-D68</f>
        <v>#N/A</v>
      </c>
      <c r="G68" s="206" t="e">
        <f t="shared" ref="G68:G131" si="3">F68/D68</f>
        <v>#N/A</v>
      </c>
    </row>
    <row r="69" spans="1:7" hidden="1" x14ac:dyDescent="0.3">
      <c r="A69" s="177" t="s">
        <v>162</v>
      </c>
      <c r="B69" s="177" t="s">
        <v>1724</v>
      </c>
      <c r="C69" s="78" t="s">
        <v>1725</v>
      </c>
      <c r="D69" s="178">
        <f>VLOOKUP(B69,'Planning TB 2024'!$B$14:$Q$888,16,FALSE)</f>
        <v>1050000</v>
      </c>
      <c r="E69" s="178" t="e">
        <f>VLOOKUP(B69,'Planning TB 2025'!$B$14:$Q$574,16,FALSE)</f>
        <v>#N/A</v>
      </c>
      <c r="F69" s="191" t="e">
        <f t="shared" si="2"/>
        <v>#N/A</v>
      </c>
      <c r="G69" s="206" t="e">
        <f t="shared" si="3"/>
        <v>#N/A</v>
      </c>
    </row>
    <row r="70" spans="1:7" hidden="1" x14ac:dyDescent="0.3">
      <c r="A70" s="177" t="s">
        <v>162</v>
      </c>
      <c r="B70" s="177" t="s">
        <v>1726</v>
      </c>
      <c r="C70" s="78" t="s">
        <v>1727</v>
      </c>
      <c r="D70" s="178">
        <f>VLOOKUP(B70,'Planning TB 2024'!$B$14:$Q$888,16,FALSE)</f>
        <v>179054417.28624296</v>
      </c>
      <c r="E70" s="178">
        <f>VLOOKUP(B70,'Planning TB 2025'!$B$14:$Q$574,16,FALSE)</f>
        <v>199665174.472835</v>
      </c>
      <c r="F70" s="191">
        <f t="shared" si="2"/>
        <v>20610757.186592042</v>
      </c>
      <c r="G70" s="206">
        <f t="shared" si="3"/>
        <v>0.11510890096412942</v>
      </c>
    </row>
    <row r="71" spans="1:7" hidden="1" x14ac:dyDescent="0.3">
      <c r="A71" s="177" t="s">
        <v>162</v>
      </c>
      <c r="B71" s="177" t="s">
        <v>1728</v>
      </c>
      <c r="C71" s="78" t="s">
        <v>1729</v>
      </c>
      <c r="D71" s="178">
        <f>VLOOKUP(B71,'Planning TB 2024'!$B$14:$Q$888,16,FALSE)</f>
        <v>100263219.1767028</v>
      </c>
      <c r="E71" s="178">
        <f>VLOOKUP(B71,'Planning TB 2025'!$B$14:$Q$574,16,FALSE)</f>
        <v>88822259.63417168</v>
      </c>
      <c r="F71" s="191">
        <f t="shared" si="2"/>
        <v>-11440959.542531118</v>
      </c>
      <c r="G71" s="206">
        <f t="shared" si="3"/>
        <v>-0.11410923802843091</v>
      </c>
    </row>
    <row r="72" spans="1:7" hidden="1" x14ac:dyDescent="0.3">
      <c r="A72" s="177" t="s">
        <v>162</v>
      </c>
      <c r="B72" s="177" t="s">
        <v>1730</v>
      </c>
      <c r="C72" s="78" t="s">
        <v>1731</v>
      </c>
      <c r="D72" s="178">
        <f>VLOOKUP(B72,'Planning TB 2024'!$B$14:$Q$888,16,FALSE)</f>
        <v>60143089.234876998</v>
      </c>
      <c r="E72" s="178">
        <f>VLOOKUP(B72,'Planning TB 2025'!$B$14:$Q$574,16,FALSE)</f>
        <v>64779297.019574501</v>
      </c>
      <c r="F72" s="191">
        <f t="shared" si="2"/>
        <v>4636207.7846975029</v>
      </c>
      <c r="G72" s="206">
        <f t="shared" si="3"/>
        <v>7.7086292767431785E-2</v>
      </c>
    </row>
    <row r="73" spans="1:7" hidden="1" x14ac:dyDescent="0.3">
      <c r="A73" s="177" t="s">
        <v>162</v>
      </c>
      <c r="B73" s="177" t="s">
        <v>1732</v>
      </c>
      <c r="C73" s="78" t="s">
        <v>1733</v>
      </c>
      <c r="D73" s="178">
        <f>VLOOKUP(B73,'Planning TB 2024'!$B$14:$Q$888,16,FALSE)</f>
        <v>960075368.86000109</v>
      </c>
      <c r="E73" s="178">
        <f>VLOOKUP(B73,'Planning TB 2025'!$B$14:$Q$574,16,FALSE)</f>
        <v>960160006.32999992</v>
      </c>
      <c r="F73" s="191">
        <f t="shared" si="2"/>
        <v>84637.469998836517</v>
      </c>
      <c r="G73" s="206">
        <f t="shared" si="3"/>
        <v>8.8157110102028274E-5</v>
      </c>
    </row>
    <row r="74" spans="1:7" hidden="1" x14ac:dyDescent="0.3">
      <c r="A74" s="177" t="s">
        <v>162</v>
      </c>
      <c r="B74" s="177" t="s">
        <v>1734</v>
      </c>
      <c r="C74" s="78" t="s">
        <v>1735</v>
      </c>
      <c r="D74" s="178">
        <f>VLOOKUP(B74,'Planning TB 2024'!$B$14:$Q$888,16,FALSE)</f>
        <v>6336000</v>
      </c>
      <c r="E74" s="178">
        <f>VLOOKUP(B74,'Planning TB 2025'!$B$14:$Q$574,16,FALSE)</f>
        <v>1584000</v>
      </c>
      <c r="F74" s="191">
        <f t="shared" si="2"/>
        <v>-4752000</v>
      </c>
      <c r="G74" s="206">
        <f t="shared" si="3"/>
        <v>-0.75</v>
      </c>
    </row>
    <row r="75" spans="1:7" hidden="1" x14ac:dyDescent="0.3">
      <c r="A75" s="177" t="s">
        <v>162</v>
      </c>
      <c r="B75" s="177" t="s">
        <v>1736</v>
      </c>
      <c r="C75" s="78" t="s">
        <v>1737</v>
      </c>
      <c r="D75" s="178">
        <f>VLOOKUP(B75,'Planning TB 2024'!$B$14:$Q$888,16,FALSE)</f>
        <v>8320.9699999999993</v>
      </c>
      <c r="E75" s="178">
        <f>VLOOKUP(B75,'Planning TB 2025'!$B$14:$Q$574,16,FALSE)</f>
        <v>8320.9699999999993</v>
      </c>
      <c r="F75" s="191">
        <f t="shared" si="2"/>
        <v>0</v>
      </c>
      <c r="G75" s="206">
        <f t="shared" si="3"/>
        <v>0</v>
      </c>
    </row>
    <row r="76" spans="1:7" hidden="1" x14ac:dyDescent="0.3">
      <c r="A76" s="177" t="s">
        <v>162</v>
      </c>
      <c r="B76" s="177" t="s">
        <v>1738</v>
      </c>
      <c r="C76" s="78" t="s">
        <v>1739</v>
      </c>
      <c r="D76" s="178">
        <f>VLOOKUP(B76,'Planning TB 2024'!$B$14:$Q$888,16,FALSE)</f>
        <v>347509266.47999996</v>
      </c>
      <c r="E76" s="178">
        <f>VLOOKUP(B76,'Planning TB 2025'!$B$14:$Q$574,16,FALSE)</f>
        <v>346714963.07999992</v>
      </c>
      <c r="F76" s="191">
        <f t="shared" si="2"/>
        <v>-794303.40000003576</v>
      </c>
      <c r="G76" s="206">
        <f t="shared" si="3"/>
        <v>-2.2857042289712581E-3</v>
      </c>
    </row>
    <row r="77" spans="1:7" hidden="1" x14ac:dyDescent="0.3">
      <c r="A77" s="177" t="s">
        <v>162</v>
      </c>
      <c r="B77" s="177" t="s">
        <v>1740</v>
      </c>
      <c r="C77" s="78" t="s">
        <v>1741</v>
      </c>
      <c r="D77" s="178">
        <f>VLOOKUP(B77,'Planning TB 2024'!$B$14:$Q$888,16,FALSE)</f>
        <v>494864028.69921714</v>
      </c>
      <c r="E77" s="178">
        <f>VLOOKUP(B77,'Planning TB 2025'!$B$14:$Q$574,16,FALSE)</f>
        <v>546597939.55795944</v>
      </c>
      <c r="F77" s="191">
        <f t="shared" si="2"/>
        <v>51733910.858742297</v>
      </c>
      <c r="G77" s="206">
        <f t="shared" si="3"/>
        <v>0.1045416677278571</v>
      </c>
    </row>
    <row r="78" spans="1:7" hidden="1" x14ac:dyDescent="0.3">
      <c r="A78" s="177" t="s">
        <v>162</v>
      </c>
      <c r="B78" s="177" t="s">
        <v>1742</v>
      </c>
      <c r="C78" s="78" t="s">
        <v>1743</v>
      </c>
      <c r="D78" s="178">
        <f>VLOOKUP(B78,'Planning TB 2024'!$B$14:$Q$888,16,FALSE)</f>
        <v>5667131163.410779</v>
      </c>
      <c r="E78" s="178">
        <f>VLOOKUP(B78,'Planning TB 2025'!$B$14:$Q$574,16,FALSE)</f>
        <v>5710803602.3220367</v>
      </c>
      <c r="F78" s="191">
        <f t="shared" si="2"/>
        <v>43672438.911257744</v>
      </c>
      <c r="G78" s="206">
        <f t="shared" si="3"/>
        <v>7.7062693013396502E-3</v>
      </c>
    </row>
    <row r="79" spans="1:7" hidden="1" x14ac:dyDescent="0.3">
      <c r="A79" s="177" t="s">
        <v>162</v>
      </c>
      <c r="B79" s="177" t="s">
        <v>1744</v>
      </c>
      <c r="C79" s="78" t="s">
        <v>1745</v>
      </c>
      <c r="D79" s="178">
        <f>VLOOKUP(B79,'Planning TB 2024'!$B$14:$Q$888,16,FALSE)</f>
        <v>369545984.81513226</v>
      </c>
      <c r="E79" s="178">
        <f>VLOOKUP(B79,'Planning TB 2025'!$B$14:$Q$574,16,FALSE)</f>
        <v>-1.8</v>
      </c>
      <c r="F79" s="191">
        <f t="shared" si="2"/>
        <v>-369545986.61513227</v>
      </c>
      <c r="G79" s="206">
        <f t="shared" si="3"/>
        <v>-1.0000000048708417</v>
      </c>
    </row>
    <row r="80" spans="1:7" hidden="1" x14ac:dyDescent="0.3">
      <c r="A80" s="177" t="s">
        <v>162</v>
      </c>
      <c r="B80" s="177" t="s">
        <v>1746</v>
      </c>
      <c r="C80" s="78" t="s">
        <v>1747</v>
      </c>
      <c r="D80" s="178">
        <f>VLOOKUP(B80,'Planning TB 2024'!$B$14:$Q$888,16,FALSE)</f>
        <v>88084090.615237087</v>
      </c>
      <c r="E80" s="178">
        <f>VLOOKUP(B80,'Planning TB 2025'!$B$14:$Q$574,16,FALSE)</f>
        <v>59443927.896219499</v>
      </c>
      <c r="F80" s="191">
        <f t="shared" si="2"/>
        <v>-28640162.719017588</v>
      </c>
      <c r="G80" s="206">
        <f t="shared" si="3"/>
        <v>-0.32514569338203869</v>
      </c>
    </row>
    <row r="81" spans="1:7" hidden="1" x14ac:dyDescent="0.3">
      <c r="A81" s="177" t="s">
        <v>162</v>
      </c>
      <c r="B81" s="177" t="s">
        <v>1748</v>
      </c>
      <c r="C81" s="78" t="s">
        <v>1749</v>
      </c>
      <c r="D81" s="178">
        <f>VLOOKUP(B81,'Planning TB 2024'!$B$14:$Q$888,16,FALSE)</f>
        <v>12421866</v>
      </c>
      <c r="E81" s="178">
        <f>VLOOKUP(B81,'Planning TB 2025'!$B$14:$Q$574,16,FALSE)</f>
        <v>46222991</v>
      </c>
      <c r="F81" s="191">
        <f t="shared" si="2"/>
        <v>33801125</v>
      </c>
      <c r="G81" s="206">
        <f t="shared" si="3"/>
        <v>2.7210988268590244</v>
      </c>
    </row>
    <row r="82" spans="1:7" hidden="1" x14ac:dyDescent="0.3">
      <c r="A82" s="177" t="s">
        <v>162</v>
      </c>
      <c r="B82" s="177" t="s">
        <v>1750</v>
      </c>
      <c r="C82" s="78" t="s">
        <v>1751</v>
      </c>
      <c r="D82" s="178">
        <f>VLOOKUP(B82,'Planning TB 2024'!$B$14:$Q$888,16,FALSE)</f>
        <v>5521392</v>
      </c>
      <c r="E82" s="178">
        <f>VLOOKUP(B82,'Planning TB 2025'!$B$14:$Q$574,16,FALSE)</f>
        <v>10721078.000000397</v>
      </c>
      <c r="F82" s="191">
        <f t="shared" si="2"/>
        <v>5199686.0000003967</v>
      </c>
      <c r="G82" s="206">
        <f t="shared" si="3"/>
        <v>0.94173462054503587</v>
      </c>
    </row>
    <row r="83" spans="1:7" hidden="1" x14ac:dyDescent="0.3">
      <c r="A83" s="177" t="s">
        <v>162</v>
      </c>
      <c r="B83" s="177" t="s">
        <v>1752</v>
      </c>
      <c r="C83" s="78" t="s">
        <v>1753</v>
      </c>
      <c r="D83" s="178">
        <f>VLOOKUP(B83,'Planning TB 2024'!$B$14:$Q$888,16,FALSE)</f>
        <v>9834083.1099999994</v>
      </c>
      <c r="E83" s="178">
        <f>VLOOKUP(B83,'Planning TB 2025'!$B$14:$Q$574,16,FALSE)</f>
        <v>9461982.6679999996</v>
      </c>
      <c r="F83" s="191">
        <f t="shared" si="2"/>
        <v>-372100.44199999981</v>
      </c>
      <c r="G83" s="206">
        <f t="shared" si="3"/>
        <v>-3.7837837837837819E-2</v>
      </c>
    </row>
    <row r="84" spans="1:7" hidden="1" x14ac:dyDescent="0.3">
      <c r="A84" s="177" t="s">
        <v>162</v>
      </c>
      <c r="B84" s="177" t="s">
        <v>1754</v>
      </c>
      <c r="C84" s="78" t="s">
        <v>1755</v>
      </c>
      <c r="D84" s="178">
        <f>VLOOKUP(B84,'Planning TB 2024'!$B$14:$Q$888,16,FALSE)</f>
        <v>60576755.819999993</v>
      </c>
      <c r="E84" s="178" t="e">
        <f>VLOOKUP(B84,'Planning TB 2025'!$B$14:$Q$574,16,FALSE)</f>
        <v>#N/A</v>
      </c>
      <c r="F84" s="191" t="e">
        <f t="shared" si="2"/>
        <v>#N/A</v>
      </c>
      <c r="G84" s="206" t="e">
        <f t="shared" si="3"/>
        <v>#N/A</v>
      </c>
    </row>
    <row r="85" spans="1:7" hidden="1" x14ac:dyDescent="0.3">
      <c r="A85" s="177" t="s">
        <v>162</v>
      </c>
      <c r="B85" s="177" t="s">
        <v>1756</v>
      </c>
      <c r="C85" s="78" t="s">
        <v>1757</v>
      </c>
      <c r="D85" s="178">
        <f>VLOOKUP(B85,'Planning TB 2024'!$B$14:$Q$888,16,FALSE)</f>
        <v>9927171.9866666999</v>
      </c>
      <c r="E85" s="178" t="e">
        <f>VLOOKUP(B85,'Planning TB 2025'!$B$14:$Q$574,16,FALSE)</f>
        <v>#N/A</v>
      </c>
      <c r="F85" s="191" t="e">
        <f t="shared" si="2"/>
        <v>#N/A</v>
      </c>
      <c r="G85" s="206" t="e">
        <f t="shared" si="3"/>
        <v>#N/A</v>
      </c>
    </row>
    <row r="86" spans="1:7" hidden="1" x14ac:dyDescent="0.3">
      <c r="A86" s="177" t="s">
        <v>162</v>
      </c>
      <c r="B86" s="177" t="s">
        <v>1758</v>
      </c>
      <c r="C86" s="78" t="s">
        <v>1759</v>
      </c>
      <c r="D86" s="178">
        <f>VLOOKUP(B86,'Planning TB 2024'!$B$14:$Q$888,16,FALSE)</f>
        <v>2836398084</v>
      </c>
      <c r="E86" s="178">
        <f>VLOOKUP(B86,'Planning TB 2025'!$B$14:$Q$574,16,FALSE)</f>
        <v>2836398084</v>
      </c>
      <c r="F86" s="191">
        <f t="shared" si="2"/>
        <v>0</v>
      </c>
      <c r="G86" s="206">
        <f t="shared" si="3"/>
        <v>0</v>
      </c>
    </row>
    <row r="87" spans="1:7" hidden="1" x14ac:dyDescent="0.3">
      <c r="A87" s="177" t="s">
        <v>162</v>
      </c>
      <c r="B87" s="177" t="s">
        <v>1760</v>
      </c>
      <c r="C87" s="78" t="s">
        <v>1761</v>
      </c>
      <c r="D87" s="178">
        <f>VLOOKUP(B87,'Planning TB 2024'!$B$14:$Q$888,16,FALSE)</f>
        <v>-493614.84</v>
      </c>
      <c r="E87" s="178">
        <f>VLOOKUP(B87,'Planning TB 2025'!$B$14:$Q$574,16,FALSE)</f>
        <v>-493614.84</v>
      </c>
      <c r="F87" s="191">
        <f t="shared" si="2"/>
        <v>0</v>
      </c>
      <c r="G87" s="206">
        <f t="shared" si="3"/>
        <v>0</v>
      </c>
    </row>
    <row r="88" spans="1:7" hidden="1" x14ac:dyDescent="0.3">
      <c r="A88" s="177" t="s">
        <v>162</v>
      </c>
      <c r="B88" s="177" t="s">
        <v>1762</v>
      </c>
      <c r="C88" s="78" t="s">
        <v>1763</v>
      </c>
      <c r="D88" s="178">
        <f>VLOOKUP(B88,'Planning TB 2024'!$B$14:$Q$888,16,FALSE)</f>
        <v>2530638</v>
      </c>
      <c r="E88" s="178">
        <f>VLOOKUP(B88,'Planning TB 2025'!$B$14:$Q$574,16,FALSE)</f>
        <v>11944391.6666667</v>
      </c>
      <c r="F88" s="191">
        <f t="shared" si="2"/>
        <v>9413753.6666666996</v>
      </c>
      <c r="G88" s="206">
        <f t="shared" si="3"/>
        <v>3.7199131865824744</v>
      </c>
    </row>
    <row r="89" spans="1:7" hidden="1" x14ac:dyDescent="0.3">
      <c r="A89" s="177" t="s">
        <v>162</v>
      </c>
      <c r="B89" s="177" t="s">
        <v>1764</v>
      </c>
      <c r="C89" s="78" t="s">
        <v>1765</v>
      </c>
      <c r="D89" s="178">
        <f>VLOOKUP(B89,'Planning TB 2024'!$B$14:$Q$888,16,FALSE)</f>
        <v>153571593.30999997</v>
      </c>
      <c r="E89" s="178">
        <f>VLOOKUP(B89,'Planning TB 2025'!$B$14:$Q$574,16,FALSE)</f>
        <v>182123345.42999998</v>
      </c>
      <c r="F89" s="191">
        <f t="shared" si="2"/>
        <v>28551752.120000005</v>
      </c>
      <c r="G89" s="206">
        <f t="shared" si="3"/>
        <v>0.1859181864602093</v>
      </c>
    </row>
    <row r="90" spans="1:7" hidden="1" x14ac:dyDescent="0.3">
      <c r="A90" s="177" t="s">
        <v>162</v>
      </c>
      <c r="B90" s="177" t="s">
        <v>1766</v>
      </c>
      <c r="C90" s="78" t="s">
        <v>1767</v>
      </c>
      <c r="D90" s="178">
        <f>VLOOKUP(B90,'Planning TB 2024'!$B$14:$Q$888,16,FALSE)</f>
        <v>10078014.1</v>
      </c>
      <c r="E90" s="178" t="e">
        <f>VLOOKUP(B90,'Planning TB 2025'!$B$14:$Q$574,16,FALSE)</f>
        <v>#N/A</v>
      </c>
      <c r="F90" s="191" t="e">
        <f t="shared" si="2"/>
        <v>#N/A</v>
      </c>
      <c r="G90" s="206" t="e">
        <f t="shared" si="3"/>
        <v>#N/A</v>
      </c>
    </row>
    <row r="91" spans="1:7" hidden="1" x14ac:dyDescent="0.3">
      <c r="A91" s="177" t="s">
        <v>162</v>
      </c>
      <c r="B91" s="177" t="s">
        <v>1768</v>
      </c>
      <c r="C91" s="78" t="s">
        <v>1769</v>
      </c>
      <c r="D91" s="178">
        <f>VLOOKUP(B91,'Planning TB 2024'!$B$14:$Q$888,16,FALSE)</f>
        <v>20622491</v>
      </c>
      <c r="E91" s="178">
        <f>VLOOKUP(B91,'Planning TB 2025'!$B$14:$Q$574,16,FALSE)</f>
        <v>22001596</v>
      </c>
      <c r="F91" s="191">
        <f t="shared" si="2"/>
        <v>1379105</v>
      </c>
      <c r="G91" s="206">
        <f t="shared" si="3"/>
        <v>6.6873832070044298E-2</v>
      </c>
    </row>
    <row r="92" spans="1:7" hidden="1" x14ac:dyDescent="0.3">
      <c r="A92" s="177" t="s">
        <v>162</v>
      </c>
      <c r="B92" s="177" t="s">
        <v>1770</v>
      </c>
      <c r="C92" s="78" t="s">
        <v>1771</v>
      </c>
      <c r="D92" s="178">
        <f>VLOOKUP(B92,'Planning TB 2024'!$B$14:$Q$888,16,FALSE)</f>
        <v>6147</v>
      </c>
      <c r="E92" s="178" t="e">
        <f>VLOOKUP(B92,'Planning TB 2025'!$B$14:$Q$574,16,FALSE)</f>
        <v>#N/A</v>
      </c>
      <c r="F92" s="191" t="e">
        <f t="shared" si="2"/>
        <v>#N/A</v>
      </c>
      <c r="G92" s="206" t="e">
        <f t="shared" si="3"/>
        <v>#N/A</v>
      </c>
    </row>
    <row r="93" spans="1:7" hidden="1" x14ac:dyDescent="0.3">
      <c r="A93" s="177" t="s">
        <v>162</v>
      </c>
      <c r="B93" s="177" t="s">
        <v>1772</v>
      </c>
      <c r="C93" s="78" t="s">
        <v>1773</v>
      </c>
      <c r="D93" s="178">
        <f>VLOOKUP(B93,'Planning TB 2024'!$B$14:$Q$888,16,FALSE)</f>
        <v>12632658</v>
      </c>
      <c r="E93" s="178">
        <f>VLOOKUP(B93,'Planning TB 2025'!$B$14:$Q$574,16,FALSE)</f>
        <v>24032226</v>
      </c>
      <c r="F93" s="191">
        <f t="shared" si="2"/>
        <v>11399568</v>
      </c>
      <c r="G93" s="206">
        <f t="shared" si="3"/>
        <v>0.90238871344415406</v>
      </c>
    </row>
    <row r="94" spans="1:7" hidden="1" x14ac:dyDescent="0.3">
      <c r="A94" s="177" t="s">
        <v>162</v>
      </c>
      <c r="B94" s="177" t="s">
        <v>1774</v>
      </c>
      <c r="C94" s="78" t="s">
        <v>1775</v>
      </c>
      <c r="D94" s="178">
        <f>VLOOKUP(B94,'Planning TB 2024'!$B$14:$Q$888,16,FALSE)</f>
        <v>1367431069.96</v>
      </c>
      <c r="E94" s="178">
        <f>VLOOKUP(B94,'Planning TB 2025'!$B$14:$Q$574,16,FALSE)</f>
        <v>1529972793.1499999</v>
      </c>
      <c r="F94" s="191">
        <f t="shared" si="2"/>
        <v>162541723.18999982</v>
      </c>
      <c r="G94" s="206">
        <f t="shared" si="3"/>
        <v>0.11886648384752181</v>
      </c>
    </row>
    <row r="95" spans="1:7" hidden="1" x14ac:dyDescent="0.3">
      <c r="A95" s="177" t="s">
        <v>162</v>
      </c>
      <c r="B95" s="177" t="s">
        <v>1776</v>
      </c>
      <c r="C95" s="78" t="s">
        <v>1777</v>
      </c>
      <c r="D95" s="178">
        <f>VLOOKUP(B95,'Planning TB 2024'!$B$14:$Q$888,16,FALSE)</f>
        <v>12540880.08</v>
      </c>
      <c r="E95" s="178">
        <f>VLOOKUP(B95,'Planning TB 2025'!$B$14:$Q$574,16,FALSE)</f>
        <v>11540035.08</v>
      </c>
      <c r="F95" s="191">
        <f t="shared" si="2"/>
        <v>-1000845</v>
      </c>
      <c r="G95" s="206">
        <f t="shared" si="3"/>
        <v>-7.9806599984647966E-2</v>
      </c>
    </row>
    <row r="96" spans="1:7" hidden="1" x14ac:dyDescent="0.3">
      <c r="A96" s="177" t="s">
        <v>162</v>
      </c>
      <c r="B96" s="177" t="s">
        <v>1778</v>
      </c>
      <c r="C96" s="78" t="s">
        <v>293</v>
      </c>
      <c r="D96" s="178">
        <f>VLOOKUP(B96,'Planning TB 2024'!$B$14:$Q$888,16,FALSE)</f>
        <v>187655858.60000002</v>
      </c>
      <c r="E96" s="178">
        <f>VLOOKUP(B96,'Planning TB 2025'!$B$14:$Q$574,16,FALSE)</f>
        <v>71046858.599999979</v>
      </c>
      <c r="F96" s="191">
        <f t="shared" si="2"/>
        <v>-116609000.00000004</v>
      </c>
      <c r="G96" s="206">
        <f t="shared" si="3"/>
        <v>-0.62139813203785599</v>
      </c>
    </row>
    <row r="97" spans="1:7" hidden="1" x14ac:dyDescent="0.3">
      <c r="A97" s="177" t="s">
        <v>162</v>
      </c>
      <c r="B97" s="177" t="s">
        <v>1779</v>
      </c>
      <c r="C97" s="78" t="s">
        <v>1780</v>
      </c>
      <c r="D97" s="178">
        <f>VLOOKUP(B97,'Planning TB 2024'!$B$14:$Q$888,16,FALSE)</f>
        <v>0</v>
      </c>
      <c r="E97" s="178" t="e">
        <f>VLOOKUP(B97,'Planning TB 2025'!$B$14:$Q$574,16,FALSE)</f>
        <v>#N/A</v>
      </c>
      <c r="F97" s="191" t="e">
        <f t="shared" si="2"/>
        <v>#N/A</v>
      </c>
      <c r="G97" s="206" t="e">
        <f t="shared" si="3"/>
        <v>#N/A</v>
      </c>
    </row>
    <row r="98" spans="1:7" hidden="1" x14ac:dyDescent="0.3">
      <c r="A98" s="177" t="s">
        <v>162</v>
      </c>
      <c r="B98" s="177" t="s">
        <v>1781</v>
      </c>
      <c r="C98" s="78" t="s">
        <v>1782</v>
      </c>
      <c r="D98" s="178">
        <f>VLOOKUP(B98,'Planning TB 2024'!$B$14:$Q$888,16,FALSE)</f>
        <v>21396000</v>
      </c>
      <c r="E98" s="178">
        <f>VLOOKUP(B98,'Planning TB 2025'!$B$14:$Q$574,16,FALSE)</f>
        <v>18516000</v>
      </c>
      <c r="F98" s="191">
        <f t="shared" si="2"/>
        <v>-2880000</v>
      </c>
      <c r="G98" s="206">
        <f t="shared" si="3"/>
        <v>-0.13460459899046551</v>
      </c>
    </row>
    <row r="99" spans="1:7" hidden="1" x14ac:dyDescent="0.3">
      <c r="A99" s="177" t="s">
        <v>162</v>
      </c>
      <c r="B99" s="177" t="s">
        <v>1783</v>
      </c>
      <c r="C99" s="78" t="s">
        <v>1784</v>
      </c>
      <c r="D99" s="178">
        <f>VLOOKUP(B99,'Planning TB 2024'!$B$14:$Q$888,16,FALSE)</f>
        <v>83883599.539999992</v>
      </c>
      <c r="E99" s="178">
        <f>VLOOKUP(B99,'Planning TB 2025'!$B$14:$Q$574,16,FALSE)</f>
        <v>29174990.350000001</v>
      </c>
      <c r="F99" s="191">
        <f t="shared" si="2"/>
        <v>-54708609.18999999</v>
      </c>
      <c r="G99" s="206">
        <f t="shared" si="3"/>
        <v>-0.65219672844287191</v>
      </c>
    </row>
    <row r="100" spans="1:7" hidden="1" x14ac:dyDescent="0.3">
      <c r="A100" s="177" t="s">
        <v>162</v>
      </c>
      <c r="B100" s="177" t="s">
        <v>1785</v>
      </c>
      <c r="C100" s="78" t="s">
        <v>1786</v>
      </c>
      <c r="D100" s="178">
        <f>VLOOKUP(B100,'Planning TB 2024'!$B$14:$Q$888,16,FALSE)</f>
        <v>4531713.379999999</v>
      </c>
      <c r="E100" s="178">
        <f>VLOOKUP(B100,'Planning TB 2025'!$B$14:$Q$574,16,FALSE)</f>
        <v>4531713.379999999</v>
      </c>
      <c r="F100" s="191">
        <f t="shared" si="2"/>
        <v>0</v>
      </c>
      <c r="G100" s="206">
        <f t="shared" si="3"/>
        <v>0</v>
      </c>
    </row>
    <row r="101" spans="1:7" hidden="1" x14ac:dyDescent="0.3">
      <c r="A101" s="177" t="s">
        <v>162</v>
      </c>
      <c r="B101" s="177" t="s">
        <v>1787</v>
      </c>
      <c r="C101" s="78" t="s">
        <v>309</v>
      </c>
      <c r="D101" s="178">
        <f>VLOOKUP(B101,'Planning TB 2024'!$B$14:$Q$888,16,FALSE)</f>
        <v>27988647.279999997</v>
      </c>
      <c r="E101" s="178">
        <f>VLOOKUP(B101,'Planning TB 2025'!$B$14:$Q$574,16,FALSE)</f>
        <v>27988647.279999997</v>
      </c>
      <c r="F101" s="191">
        <f t="shared" si="2"/>
        <v>0</v>
      </c>
      <c r="G101" s="206">
        <f t="shared" si="3"/>
        <v>0</v>
      </c>
    </row>
    <row r="102" spans="1:7" hidden="1" x14ac:dyDescent="0.3">
      <c r="A102" s="177" t="s">
        <v>162</v>
      </c>
      <c r="B102" s="177" t="s">
        <v>1788</v>
      </c>
      <c r="C102" s="78" t="s">
        <v>1789</v>
      </c>
      <c r="D102" s="178">
        <f>VLOOKUP(B102,'Planning TB 2024'!$B$14:$Q$888,16,FALSE)</f>
        <v>1197841132.1199992</v>
      </c>
      <c r="E102" s="178">
        <f>VLOOKUP(B102,'Planning TB 2025'!$B$14:$Q$574,16,FALSE)</f>
        <v>1335060609.2099998</v>
      </c>
      <c r="F102" s="191">
        <f t="shared" si="2"/>
        <v>137219477.09000063</v>
      </c>
      <c r="G102" s="206">
        <f t="shared" si="3"/>
        <v>0.11455565634746799</v>
      </c>
    </row>
    <row r="103" spans="1:7" hidden="1" x14ac:dyDescent="0.3">
      <c r="A103" s="177" t="s">
        <v>162</v>
      </c>
      <c r="B103" s="177" t="s">
        <v>1790</v>
      </c>
      <c r="C103" s="78" t="s">
        <v>1791</v>
      </c>
      <c r="D103" s="178">
        <f>VLOOKUP(B103,'Planning TB 2024'!$B$14:$Q$888,16,FALSE)</f>
        <v>1328921548.0799999</v>
      </c>
      <c r="E103" s="178">
        <f>VLOOKUP(B103,'Planning TB 2025'!$B$14:$Q$574,16,FALSE)</f>
        <v>1308845703.0599999</v>
      </c>
      <c r="F103" s="191">
        <f t="shared" si="2"/>
        <v>-20075845.019999981</v>
      </c>
      <c r="G103" s="206">
        <f t="shared" si="3"/>
        <v>-1.5106869964600372E-2</v>
      </c>
    </row>
    <row r="104" spans="1:7" hidden="1" x14ac:dyDescent="0.3">
      <c r="A104" s="177" t="s">
        <v>162</v>
      </c>
      <c r="B104" s="177" t="s">
        <v>1792</v>
      </c>
      <c r="C104" s="78" t="s">
        <v>1793</v>
      </c>
      <c r="D104" s="178">
        <f>VLOOKUP(B104,'Planning TB 2024'!$B$14:$Q$888,16,FALSE)</f>
        <v>-225702.12000000002</v>
      </c>
      <c r="E104" s="178">
        <f>VLOOKUP(B104,'Planning TB 2025'!$B$14:$Q$574,16,FALSE)</f>
        <v>-225702.12000000002</v>
      </c>
      <c r="F104" s="191">
        <f t="shared" si="2"/>
        <v>0</v>
      </c>
      <c r="G104" s="206">
        <f t="shared" si="3"/>
        <v>0</v>
      </c>
    </row>
    <row r="105" spans="1:7" hidden="1" x14ac:dyDescent="0.3">
      <c r="A105" s="177" t="s">
        <v>162</v>
      </c>
      <c r="B105" s="177" t="s">
        <v>1794</v>
      </c>
      <c r="C105" s="78" t="s">
        <v>1795</v>
      </c>
      <c r="D105" s="178">
        <f>VLOOKUP(B105,'Planning TB 2024'!$B$14:$Q$888,16,FALSE)</f>
        <v>23118096.479999993</v>
      </c>
      <c r="E105" s="178">
        <f>VLOOKUP(B105,'Planning TB 2025'!$B$14:$Q$574,16,FALSE)</f>
        <v>23118096.479999993</v>
      </c>
      <c r="F105" s="191">
        <f t="shared" si="2"/>
        <v>0</v>
      </c>
      <c r="G105" s="206">
        <f t="shared" si="3"/>
        <v>0</v>
      </c>
    </row>
    <row r="106" spans="1:7" hidden="1" x14ac:dyDescent="0.3">
      <c r="A106" s="177" t="s">
        <v>162</v>
      </c>
      <c r="B106" s="177" t="s">
        <v>1796</v>
      </c>
      <c r="C106" s="78" t="s">
        <v>1797</v>
      </c>
      <c r="D106" s="178">
        <f>VLOOKUP(B106,'Planning TB 2024'!$B$14:$Q$888,16,FALSE)</f>
        <v>13244956.199999997</v>
      </c>
      <c r="E106" s="178">
        <f>VLOOKUP(B106,'Planning TB 2025'!$B$14:$Q$574,16,FALSE)</f>
        <v>13244934.889999997</v>
      </c>
      <c r="F106" s="191">
        <f t="shared" si="2"/>
        <v>-21.310000000521541</v>
      </c>
      <c r="G106" s="206">
        <f t="shared" si="3"/>
        <v>-1.6089143428440742E-6</v>
      </c>
    </row>
    <row r="107" spans="1:7" hidden="1" x14ac:dyDescent="0.3">
      <c r="A107" s="177" t="s">
        <v>162</v>
      </c>
      <c r="B107" s="177" t="s">
        <v>1798</v>
      </c>
      <c r="C107" s="78" t="s">
        <v>1799</v>
      </c>
      <c r="D107" s="178">
        <f>VLOOKUP(B107,'Planning TB 2024'!$B$14:$Q$888,16,FALSE)</f>
        <v>949679145.12</v>
      </c>
      <c r="E107" s="178">
        <f>VLOOKUP(B107,'Planning TB 2025'!$B$14:$Q$574,16,FALSE)</f>
        <v>949679145.12</v>
      </c>
      <c r="F107" s="191">
        <f t="shared" si="2"/>
        <v>0</v>
      </c>
      <c r="G107" s="206">
        <f t="shared" si="3"/>
        <v>0</v>
      </c>
    </row>
    <row r="108" spans="1:7" hidden="1" x14ac:dyDescent="0.3">
      <c r="A108" s="177" t="s">
        <v>162</v>
      </c>
      <c r="B108" s="177" t="s">
        <v>1800</v>
      </c>
      <c r="C108" s="78" t="s">
        <v>1801</v>
      </c>
      <c r="D108" s="178">
        <f>VLOOKUP(B108,'Planning TB 2024'!$B$14:$Q$888,16,FALSE)</f>
        <v>3547556511.52</v>
      </c>
      <c r="E108" s="178">
        <f>VLOOKUP(B108,'Planning TB 2025'!$B$14:$Q$574,16,FALSE)</f>
        <v>4013181622.52</v>
      </c>
      <c r="F108" s="191">
        <f t="shared" si="2"/>
        <v>465625111</v>
      </c>
      <c r="G108" s="206">
        <f t="shared" si="3"/>
        <v>0.13125234495573868</v>
      </c>
    </row>
    <row r="109" spans="1:7" hidden="1" x14ac:dyDescent="0.3">
      <c r="A109" s="177" t="s">
        <v>162</v>
      </c>
      <c r="B109" s="177" t="s">
        <v>1802</v>
      </c>
      <c r="C109" s="78" t="s">
        <v>1803</v>
      </c>
      <c r="D109" s="178">
        <f>VLOOKUP(B109,'Planning TB 2024'!$B$14:$Q$888,16,FALSE)</f>
        <v>448093584.83999997</v>
      </c>
      <c r="E109" s="178">
        <f>VLOOKUP(B109,'Planning TB 2025'!$B$14:$Q$574,16,FALSE)</f>
        <v>836950394.83999991</v>
      </c>
      <c r="F109" s="191">
        <f t="shared" si="2"/>
        <v>388856809.99999994</v>
      </c>
      <c r="G109" s="206">
        <f t="shared" si="3"/>
        <v>0.86780267148624413</v>
      </c>
    </row>
    <row r="110" spans="1:7" hidden="1" x14ac:dyDescent="0.3">
      <c r="A110" s="177" t="s">
        <v>162</v>
      </c>
      <c r="B110" s="177" t="s">
        <v>1804</v>
      </c>
      <c r="C110" s="78" t="s">
        <v>1805</v>
      </c>
      <c r="D110" s="178">
        <f>VLOOKUP(B110,'Planning TB 2024'!$B$14:$Q$888,16,FALSE)</f>
        <v>269164661.36000001</v>
      </c>
      <c r="E110" s="178">
        <f>VLOOKUP(B110,'Planning TB 2025'!$B$14:$Q$574,16,FALSE)</f>
        <v>301056872.25</v>
      </c>
      <c r="F110" s="191">
        <f t="shared" si="2"/>
        <v>31892210.889999986</v>
      </c>
      <c r="G110" s="206">
        <f t="shared" si="3"/>
        <v>0.11848587674496047</v>
      </c>
    </row>
    <row r="111" spans="1:7" hidden="1" x14ac:dyDescent="0.3">
      <c r="A111" s="177" t="s">
        <v>162</v>
      </c>
      <c r="B111" s="177" t="s">
        <v>1806</v>
      </c>
      <c r="C111" s="78" t="s">
        <v>1807</v>
      </c>
      <c r="D111" s="178">
        <f>VLOOKUP(B111,'Planning TB 2024'!$B$14:$Q$888,16,FALSE)</f>
        <v>201478538.88000003</v>
      </c>
      <c r="E111" s="178">
        <f>VLOOKUP(B111,'Planning TB 2025'!$B$14:$Q$574,16,FALSE)</f>
        <v>201478538.88000003</v>
      </c>
      <c r="F111" s="191">
        <f t="shared" si="2"/>
        <v>0</v>
      </c>
      <c r="G111" s="206">
        <f t="shared" si="3"/>
        <v>0</v>
      </c>
    </row>
    <row r="112" spans="1:7" hidden="1" x14ac:dyDescent="0.3">
      <c r="A112" s="177" t="s">
        <v>162</v>
      </c>
      <c r="B112" s="177" t="s">
        <v>1808</v>
      </c>
      <c r="C112" s="78" t="s">
        <v>1809</v>
      </c>
      <c r="D112" s="178">
        <f>VLOOKUP(B112,'Planning TB 2024'!$B$14:$Q$888,16,FALSE)</f>
        <v>-62531.039999999986</v>
      </c>
      <c r="E112" s="178">
        <f>VLOOKUP(B112,'Planning TB 2025'!$B$14:$Q$574,16,FALSE)</f>
        <v>-62531.039999999986</v>
      </c>
      <c r="F112" s="191">
        <f t="shared" si="2"/>
        <v>0</v>
      </c>
      <c r="G112" s="206">
        <f t="shared" si="3"/>
        <v>0</v>
      </c>
    </row>
    <row r="113" spans="1:7" hidden="1" x14ac:dyDescent="0.3">
      <c r="A113" s="177" t="s">
        <v>162</v>
      </c>
      <c r="B113" s="177" t="s">
        <v>1810</v>
      </c>
      <c r="C113" s="78" t="s">
        <v>1811</v>
      </c>
      <c r="D113" s="178">
        <f>VLOOKUP(B113,'Planning TB 2024'!$B$14:$Q$888,16,FALSE)</f>
        <v>2.4</v>
      </c>
      <c r="E113" s="178">
        <f>VLOOKUP(B113,'Planning TB 2025'!$B$14:$Q$574,16,FALSE)</f>
        <v>2.4</v>
      </c>
      <c r="F113" s="191">
        <f t="shared" si="2"/>
        <v>0</v>
      </c>
      <c r="G113" s="206">
        <f t="shared" si="3"/>
        <v>0</v>
      </c>
    </row>
    <row r="114" spans="1:7" hidden="1" x14ac:dyDescent="0.3">
      <c r="A114" s="177" t="s">
        <v>162</v>
      </c>
      <c r="B114" s="177" t="s">
        <v>1812</v>
      </c>
      <c r="C114" s="78" t="s">
        <v>1813</v>
      </c>
      <c r="D114" s="178">
        <f>VLOOKUP(B114,'Planning TB 2024'!$B$14:$Q$888,16,FALSE)</f>
        <v>1672741.559996</v>
      </c>
      <c r="E114" s="178">
        <f>VLOOKUP(B114,'Planning TB 2025'!$B$14:$Q$574,16,FALSE)</f>
        <v>1672773.8999959999</v>
      </c>
      <c r="F114" s="191">
        <f t="shared" si="2"/>
        <v>32.339999999850988</v>
      </c>
      <c r="G114" s="206">
        <f t="shared" si="3"/>
        <v>1.9333530518562785E-5</v>
      </c>
    </row>
    <row r="115" spans="1:7" hidden="1" x14ac:dyDescent="0.3">
      <c r="A115" s="177" t="s">
        <v>162</v>
      </c>
      <c r="B115" s="177" t="s">
        <v>1814</v>
      </c>
      <c r="C115" s="78" t="s">
        <v>1815</v>
      </c>
      <c r="D115" s="178">
        <f>VLOOKUP(B115,'Planning TB 2024'!$B$14:$Q$888,16,FALSE)</f>
        <v>155974748.40000001</v>
      </c>
      <c r="E115" s="178">
        <f>VLOOKUP(B115,'Planning TB 2025'!$B$14:$Q$574,16,FALSE)</f>
        <v>155974748.40000001</v>
      </c>
      <c r="F115" s="191">
        <f t="shared" si="2"/>
        <v>0</v>
      </c>
      <c r="G115" s="206">
        <f t="shared" si="3"/>
        <v>0</v>
      </c>
    </row>
    <row r="116" spans="1:7" hidden="1" x14ac:dyDescent="0.3">
      <c r="A116" s="177" t="s">
        <v>162</v>
      </c>
      <c r="B116" s="177" t="s">
        <v>1816</v>
      </c>
      <c r="C116" s="78" t="s">
        <v>1817</v>
      </c>
      <c r="D116" s="178">
        <f>VLOOKUP(B116,'Planning TB 2024'!$B$14:$Q$888,16,FALSE)</f>
        <v>-792672854.12</v>
      </c>
      <c r="E116" s="178">
        <f>VLOOKUP(B116,'Planning TB 2025'!$B$14:$Q$574,16,FALSE)</f>
        <v>-882384964.87999988</v>
      </c>
      <c r="F116" s="191">
        <f t="shared" si="2"/>
        <v>-89712110.759999871</v>
      </c>
      <c r="G116" s="206">
        <f t="shared" si="3"/>
        <v>0.11317671633853967</v>
      </c>
    </row>
    <row r="117" spans="1:7" hidden="1" x14ac:dyDescent="0.3">
      <c r="A117" s="177" t="s">
        <v>162</v>
      </c>
      <c r="B117" s="177" t="s">
        <v>1818</v>
      </c>
      <c r="C117" s="78" t="s">
        <v>315</v>
      </c>
      <c r="D117" s="178">
        <f>VLOOKUP(B117,'Planning TB 2024'!$B$14:$Q$888,16,FALSE)</f>
        <v>1436361600</v>
      </c>
      <c r="E117" s="178">
        <f>VLOOKUP(B117,'Planning TB 2025'!$B$14:$Q$574,16,FALSE)</f>
        <v>1436361600</v>
      </c>
      <c r="F117" s="191">
        <f t="shared" si="2"/>
        <v>0</v>
      </c>
      <c r="G117" s="206">
        <f t="shared" si="3"/>
        <v>0</v>
      </c>
    </row>
    <row r="118" spans="1:7" hidden="1" x14ac:dyDescent="0.3">
      <c r="A118" s="177" t="s">
        <v>162</v>
      </c>
      <c r="B118" s="177" t="s">
        <v>1819</v>
      </c>
      <c r="C118" s="78" t="s">
        <v>321</v>
      </c>
      <c r="D118" s="178">
        <f>VLOOKUP(B118,'Planning TB 2024'!$B$14:$Q$888,16,FALSE)</f>
        <v>57910082400</v>
      </c>
      <c r="E118" s="178">
        <f>VLOOKUP(B118,'Planning TB 2025'!$B$14:$Q$574,16,FALSE)</f>
        <v>63810082400</v>
      </c>
      <c r="F118" s="191">
        <f t="shared" si="2"/>
        <v>5900000000</v>
      </c>
      <c r="G118" s="206">
        <f t="shared" si="3"/>
        <v>0.10188208608040247</v>
      </c>
    </row>
    <row r="119" spans="1:7" hidden="1" x14ac:dyDescent="0.3">
      <c r="A119" s="177" t="s">
        <v>162</v>
      </c>
      <c r="B119" s="177" t="s">
        <v>1820</v>
      </c>
      <c r="C119" s="78" t="s">
        <v>323</v>
      </c>
      <c r="D119" s="178">
        <f>VLOOKUP(B119,'Planning TB 2024'!$B$14:$Q$888,16,FALSE)</f>
        <v>-8410800</v>
      </c>
      <c r="E119" s="178">
        <f>VLOOKUP(B119,'Planning TB 2025'!$B$14:$Q$574,16,FALSE)</f>
        <v>-8410800</v>
      </c>
      <c r="F119" s="191">
        <f t="shared" si="2"/>
        <v>0</v>
      </c>
      <c r="G119" s="206">
        <f t="shared" si="3"/>
        <v>0</v>
      </c>
    </row>
    <row r="120" spans="1:7" hidden="1" x14ac:dyDescent="0.3">
      <c r="A120" s="177" t="s">
        <v>162</v>
      </c>
      <c r="B120" s="177" t="s">
        <v>1821</v>
      </c>
      <c r="C120" s="78" t="s">
        <v>1822</v>
      </c>
      <c r="D120" s="178">
        <f>VLOOKUP(B120,'Planning TB 2024'!$B$14:$Q$888,16,FALSE)</f>
        <v>2948516059.0177274</v>
      </c>
      <c r="E120" s="178">
        <f>VLOOKUP(B120,'Planning TB 2025'!$B$14:$Q$574,16,FALSE)</f>
        <v>2904512665.121202</v>
      </c>
      <c r="F120" s="191">
        <f t="shared" si="2"/>
        <v>-44003393.896525383</v>
      </c>
      <c r="G120" s="206">
        <f t="shared" si="3"/>
        <v>-1.4923911898646648E-2</v>
      </c>
    </row>
    <row r="121" spans="1:7" hidden="1" x14ac:dyDescent="0.3">
      <c r="A121" s="177" t="s">
        <v>162</v>
      </c>
      <c r="B121" s="177" t="s">
        <v>1823</v>
      </c>
      <c r="C121" s="78" t="s">
        <v>1824</v>
      </c>
      <c r="D121" s="178">
        <f>VLOOKUP(B121,'Planning TB 2024'!$B$14:$Q$888,16,FALSE)</f>
        <v>-23135434.500000004</v>
      </c>
      <c r="E121" s="178">
        <f>VLOOKUP(B121,'Planning TB 2025'!$B$14:$Q$574,16,FALSE)</f>
        <v>-23135434.500000004</v>
      </c>
      <c r="F121" s="191">
        <f t="shared" si="2"/>
        <v>0</v>
      </c>
      <c r="G121" s="206">
        <f t="shared" si="3"/>
        <v>0</v>
      </c>
    </row>
    <row r="122" spans="1:7" hidden="1" x14ac:dyDescent="0.3">
      <c r="A122" s="177" t="s">
        <v>162</v>
      </c>
      <c r="B122" s="177" t="s">
        <v>1825</v>
      </c>
      <c r="C122" s="78" t="s">
        <v>1826</v>
      </c>
      <c r="D122" s="178">
        <f>VLOOKUP(B122,'Planning TB 2024'!$B$14:$Q$888,16,FALSE)</f>
        <v>14917697.759996004</v>
      </c>
      <c r="E122" s="178">
        <f>VLOOKUP(B122,'Planning TB 2025'!$B$14:$Q$574,16,FALSE)</f>
        <v>14917708.789996004</v>
      </c>
      <c r="F122" s="191">
        <f t="shared" si="2"/>
        <v>11.029999999329448</v>
      </c>
      <c r="G122" s="206">
        <f t="shared" si="3"/>
        <v>7.3939023144094068E-7</v>
      </c>
    </row>
    <row r="123" spans="1:7" hidden="1" x14ac:dyDescent="0.3">
      <c r="A123" s="177" t="s">
        <v>162</v>
      </c>
      <c r="B123" s="177" t="s">
        <v>1827</v>
      </c>
      <c r="C123" s="78" t="s">
        <v>1828</v>
      </c>
      <c r="D123" s="178">
        <f>VLOOKUP(B123,'Planning TB 2024'!$B$14:$Q$888,16,FALSE)</f>
        <v>1800000000</v>
      </c>
      <c r="E123" s="178" t="e">
        <f>VLOOKUP(B123,'Planning TB 2025'!$B$14:$Q$574,16,FALSE)</f>
        <v>#N/A</v>
      </c>
      <c r="F123" s="191" t="e">
        <f t="shared" si="2"/>
        <v>#N/A</v>
      </c>
      <c r="G123" s="206" t="e">
        <f t="shared" si="3"/>
        <v>#N/A</v>
      </c>
    </row>
    <row r="124" spans="1:7" hidden="1" x14ac:dyDescent="0.3">
      <c r="A124" s="177" t="s">
        <v>162</v>
      </c>
      <c r="B124" s="177" t="s">
        <v>1829</v>
      </c>
      <c r="C124" s="78" t="s">
        <v>1830</v>
      </c>
      <c r="D124" s="178">
        <f>VLOOKUP(B124,'Planning TB 2024'!$B$14:$Q$888,16,FALSE)</f>
        <v>47700000000</v>
      </c>
      <c r="E124" s="178">
        <f>VLOOKUP(B124,'Planning TB 2025'!$B$14:$Q$574,16,FALSE)</f>
        <v>52700000000</v>
      </c>
      <c r="F124" s="191">
        <f t="shared" si="2"/>
        <v>5000000000</v>
      </c>
      <c r="G124" s="206">
        <f t="shared" si="3"/>
        <v>0.10482180293501048</v>
      </c>
    </row>
    <row r="125" spans="1:7" hidden="1" x14ac:dyDescent="0.3">
      <c r="A125" s="177" t="s">
        <v>162</v>
      </c>
      <c r="B125" s="177" t="s">
        <v>1831</v>
      </c>
      <c r="C125" s="78" t="s">
        <v>1832</v>
      </c>
      <c r="D125" s="178">
        <f>VLOOKUP(B125,'Planning TB 2024'!$B$14:$Q$888,16,FALSE)</f>
        <v>-156500122.41000003</v>
      </c>
      <c r="E125" s="178">
        <f>VLOOKUP(B125,'Planning TB 2025'!$B$14:$Q$574,16,FALSE)</f>
        <v>-168794764.84</v>
      </c>
      <c r="F125" s="191">
        <f t="shared" si="2"/>
        <v>-12294642.429999977</v>
      </c>
      <c r="G125" s="206">
        <f t="shared" si="3"/>
        <v>7.855995407971883E-2</v>
      </c>
    </row>
    <row r="126" spans="1:7" hidden="1" x14ac:dyDescent="0.3">
      <c r="A126" s="177" t="s">
        <v>162</v>
      </c>
      <c r="B126" s="177" t="s">
        <v>1833</v>
      </c>
      <c r="C126" s="78" t="s">
        <v>1834</v>
      </c>
      <c r="D126" s="178">
        <f>VLOOKUP(B126,'Planning TB 2024'!$B$14:$Q$888,16,FALSE)</f>
        <v>364066131.03385729</v>
      </c>
      <c r="E126" s="178">
        <f>VLOOKUP(B126,'Planning TB 2025'!$B$14:$Q$574,16,FALSE)</f>
        <v>358898742.91108143</v>
      </c>
      <c r="F126" s="191">
        <f t="shared" si="2"/>
        <v>-5167388.1227758527</v>
      </c>
      <c r="G126" s="206">
        <f t="shared" si="3"/>
        <v>-1.4193542552562511E-2</v>
      </c>
    </row>
    <row r="127" spans="1:7" hidden="1" x14ac:dyDescent="0.3">
      <c r="A127" s="177" t="s">
        <v>162</v>
      </c>
      <c r="B127" s="177" t="s">
        <v>1835</v>
      </c>
      <c r="C127" s="78" t="s">
        <v>1836</v>
      </c>
      <c r="D127" s="178">
        <f>VLOOKUP(B127,'Planning TB 2024'!$B$14:$Q$888,16,FALSE)</f>
        <v>33643694.617659196</v>
      </c>
      <c r="E127" s="178">
        <f>VLOOKUP(B127,'Planning TB 2025'!$B$14:$Q$574,16,FALSE)</f>
        <v>27072061.223072402</v>
      </c>
      <c r="F127" s="191">
        <f t="shared" si="2"/>
        <v>-6571633.3945867941</v>
      </c>
      <c r="G127" s="206">
        <f t="shared" si="3"/>
        <v>-0.19533031283482813</v>
      </c>
    </row>
    <row r="128" spans="1:7" hidden="1" x14ac:dyDescent="0.3">
      <c r="A128" s="177" t="s">
        <v>162</v>
      </c>
      <c r="B128" s="177" t="s">
        <v>1837</v>
      </c>
      <c r="C128" s="78" t="s">
        <v>347</v>
      </c>
      <c r="D128" s="178">
        <f>VLOOKUP(B128,'Planning TB 2024'!$B$14:$Q$888,16,FALSE)</f>
        <v>76269022.586666897</v>
      </c>
      <c r="E128" s="178">
        <f>VLOOKUP(B128,'Planning TB 2025'!$B$14:$Q$574,16,FALSE)</f>
        <v>214025466.80000034</v>
      </c>
      <c r="F128" s="191">
        <f t="shared" si="2"/>
        <v>137756444.21333343</v>
      </c>
      <c r="G128" s="206">
        <f t="shared" si="3"/>
        <v>1.8061912889574065</v>
      </c>
    </row>
    <row r="129" spans="1:7" hidden="1" x14ac:dyDescent="0.3">
      <c r="A129" s="177" t="s">
        <v>162</v>
      </c>
      <c r="B129" s="177" t="s">
        <v>1838</v>
      </c>
      <c r="C129" s="78" t="s">
        <v>1839</v>
      </c>
      <c r="D129" s="178">
        <f>VLOOKUP(B129,'Planning TB 2024'!$B$14:$Q$888,16,FALSE)</f>
        <v>78365867.593569979</v>
      </c>
      <c r="E129" s="178">
        <f>VLOOKUP(B129,'Planning TB 2025'!$B$14:$Q$574,16,FALSE)</f>
        <v>79203612.5</v>
      </c>
      <c r="F129" s="191">
        <f t="shared" si="2"/>
        <v>837744.90643002093</v>
      </c>
      <c r="G129" s="206">
        <f t="shared" si="3"/>
        <v>1.0690175865528975E-2</v>
      </c>
    </row>
    <row r="130" spans="1:7" hidden="1" x14ac:dyDescent="0.3">
      <c r="A130" s="177" t="s">
        <v>162</v>
      </c>
      <c r="B130" s="177" t="s">
        <v>1840</v>
      </c>
      <c r="C130" s="78" t="s">
        <v>1841</v>
      </c>
      <c r="D130" s="178">
        <f>VLOOKUP(B130,'Planning TB 2024'!$B$14:$Q$888,16,FALSE)</f>
        <v>28667443.858934805</v>
      </c>
      <c r="E130" s="178">
        <f>VLOOKUP(B130,'Planning TB 2025'!$B$14:$Q$574,16,FALSE)</f>
        <v>28020061.5</v>
      </c>
      <c r="F130" s="191">
        <f t="shared" si="2"/>
        <v>-647382.3589348048</v>
      </c>
      <c r="G130" s="206">
        <f t="shared" si="3"/>
        <v>-2.2582493302172619E-2</v>
      </c>
    </row>
    <row r="131" spans="1:7" hidden="1" x14ac:dyDescent="0.3">
      <c r="A131" s="177" t="s">
        <v>162</v>
      </c>
      <c r="B131" s="177" t="s">
        <v>1842</v>
      </c>
      <c r="C131" s="78" t="s">
        <v>1843</v>
      </c>
      <c r="D131" s="178">
        <f>VLOOKUP(B131,'Planning TB 2024'!$B$14:$Q$888,16,FALSE)</f>
        <v>687470.88</v>
      </c>
      <c r="E131" s="178">
        <f>VLOOKUP(B131,'Planning TB 2025'!$B$14:$Q$574,16,FALSE)</f>
        <v>687468</v>
      </c>
      <c r="F131" s="191">
        <f t="shared" si="2"/>
        <v>-2.8800000000046566</v>
      </c>
      <c r="G131" s="206">
        <f t="shared" si="3"/>
        <v>-4.1892683512713393E-6</v>
      </c>
    </row>
    <row r="132" spans="1:7" hidden="1" x14ac:dyDescent="0.3">
      <c r="A132" s="177" t="s">
        <v>162</v>
      </c>
      <c r="B132" s="177" t="s">
        <v>1844</v>
      </c>
      <c r="C132" s="78" t="s">
        <v>1845</v>
      </c>
      <c r="D132" s="178">
        <f>VLOOKUP(B132,'Planning TB 2024'!$B$14:$Q$888,16,FALSE)</f>
        <v>12331824</v>
      </c>
      <c r="E132" s="178">
        <f>VLOOKUP(B132,'Planning TB 2025'!$B$14:$Q$574,16,FALSE)</f>
        <v>12331824</v>
      </c>
      <c r="F132" s="191">
        <f t="shared" ref="F132:F195" si="4">E132-D132</f>
        <v>0</v>
      </c>
      <c r="G132" s="206">
        <f t="shared" ref="G132:G195" si="5">F132/D132</f>
        <v>0</v>
      </c>
    </row>
    <row r="133" spans="1:7" hidden="1" x14ac:dyDescent="0.3">
      <c r="A133" s="177" t="s">
        <v>162</v>
      </c>
      <c r="B133" s="177" t="s">
        <v>1846</v>
      </c>
      <c r="C133" s="78" t="s">
        <v>1847</v>
      </c>
      <c r="D133" s="178">
        <f>VLOOKUP(B133,'Planning TB 2024'!$B$14:$Q$888,16,FALSE)</f>
        <v>2680674418</v>
      </c>
      <c r="E133" s="178">
        <f>VLOOKUP(B133,'Planning TB 2025'!$B$14:$Q$574,16,FALSE)</f>
        <v>2799762143</v>
      </c>
      <c r="F133" s="191">
        <f t="shared" si="4"/>
        <v>119087725</v>
      </c>
      <c r="G133" s="206">
        <f t="shared" si="5"/>
        <v>4.4424538914669492E-2</v>
      </c>
    </row>
    <row r="134" spans="1:7" hidden="1" x14ac:dyDescent="0.3">
      <c r="A134" s="177" t="s">
        <v>162</v>
      </c>
      <c r="B134" s="177" t="s">
        <v>1848</v>
      </c>
      <c r="C134" s="78" t="s">
        <v>1849</v>
      </c>
      <c r="D134" s="178">
        <f>VLOOKUP(B134,'Planning TB 2024'!$B$14:$Q$888,16,FALSE)</f>
        <v>-2476695492</v>
      </c>
      <c r="E134" s="178">
        <f>VLOOKUP(B134,'Planning TB 2025'!$B$14:$Q$574,16,FALSE)</f>
        <v>-2476695492</v>
      </c>
      <c r="F134" s="191">
        <f t="shared" si="4"/>
        <v>0</v>
      </c>
      <c r="G134" s="206">
        <f t="shared" si="5"/>
        <v>0</v>
      </c>
    </row>
    <row r="135" spans="1:7" hidden="1" x14ac:dyDescent="0.3">
      <c r="A135" s="177" t="s">
        <v>162</v>
      </c>
      <c r="B135" s="177" t="s">
        <v>1850</v>
      </c>
      <c r="C135" s="78" t="s">
        <v>1851</v>
      </c>
      <c r="D135" s="178">
        <f>VLOOKUP(B135,'Planning TB 2024'!$B$14:$Q$888,16,FALSE)</f>
        <v>3395228</v>
      </c>
      <c r="E135" s="178">
        <f>VLOOKUP(B135,'Planning TB 2025'!$B$14:$Q$574,16,FALSE)</f>
        <v>2751268</v>
      </c>
      <c r="F135" s="191">
        <f t="shared" si="4"/>
        <v>-643960</v>
      </c>
      <c r="G135" s="206">
        <f t="shared" si="5"/>
        <v>-0.18966620209305532</v>
      </c>
    </row>
    <row r="136" spans="1:7" hidden="1" x14ac:dyDescent="0.3">
      <c r="A136" s="177" t="s">
        <v>162</v>
      </c>
      <c r="B136" s="177" t="s">
        <v>1852</v>
      </c>
      <c r="C136" s="78" t="s">
        <v>1853</v>
      </c>
      <c r="D136" s="178">
        <f>VLOOKUP(B136,'Planning TB 2024'!$B$14:$Q$888,16,FALSE)</f>
        <v>911981.15999999968</v>
      </c>
      <c r="E136" s="178">
        <f>VLOOKUP(B136,'Planning TB 2025'!$B$14:$Q$574,16,FALSE)</f>
        <v>911981.15999999968</v>
      </c>
      <c r="F136" s="191">
        <f t="shared" si="4"/>
        <v>0</v>
      </c>
      <c r="G136" s="206">
        <f t="shared" si="5"/>
        <v>0</v>
      </c>
    </row>
    <row r="137" spans="1:7" hidden="1" x14ac:dyDescent="0.3">
      <c r="A137" s="177" t="s">
        <v>162</v>
      </c>
      <c r="B137" s="177" t="s">
        <v>1854</v>
      </c>
      <c r="C137" s="78" t="s">
        <v>1855</v>
      </c>
      <c r="D137" s="178">
        <f>VLOOKUP(B137,'Planning TB 2024'!$B$14:$Q$888,16,FALSE)</f>
        <v>4170828</v>
      </c>
      <c r="E137" s="178">
        <f>VLOOKUP(B137,'Planning TB 2025'!$B$14:$Q$574,16,FALSE)</f>
        <v>6624099</v>
      </c>
      <c r="F137" s="191">
        <f t="shared" si="4"/>
        <v>2453271</v>
      </c>
      <c r="G137" s="206">
        <f t="shared" si="5"/>
        <v>0.58819759529762439</v>
      </c>
    </row>
    <row r="138" spans="1:7" hidden="1" x14ac:dyDescent="0.3">
      <c r="A138" s="177" t="s">
        <v>162</v>
      </c>
      <c r="B138" s="177" t="s">
        <v>1856</v>
      </c>
      <c r="C138" s="78" t="s">
        <v>1857</v>
      </c>
      <c r="D138" s="178">
        <f>VLOOKUP(B138,'Planning TB 2024'!$B$14:$Q$888,16,FALSE)</f>
        <v>4391673.24</v>
      </c>
      <c r="E138" s="178">
        <f>VLOOKUP(B138,'Planning TB 2025'!$B$14:$Q$574,16,FALSE)</f>
        <v>4391673.24</v>
      </c>
      <c r="F138" s="191">
        <f t="shared" si="4"/>
        <v>0</v>
      </c>
      <c r="G138" s="206">
        <f t="shared" si="5"/>
        <v>0</v>
      </c>
    </row>
    <row r="139" spans="1:7" hidden="1" x14ac:dyDescent="0.3">
      <c r="A139" s="177" t="s">
        <v>162</v>
      </c>
      <c r="B139" s="177" t="s">
        <v>1858</v>
      </c>
      <c r="C139" s="78" t="s">
        <v>1859</v>
      </c>
      <c r="D139" s="178">
        <f>VLOOKUP(B139,'Planning TB 2024'!$B$14:$Q$888,16,FALSE)</f>
        <v>231768120</v>
      </c>
      <c r="E139" s="178">
        <f>VLOOKUP(B139,'Planning TB 2025'!$B$14:$Q$574,16,FALSE)</f>
        <v>231768120</v>
      </c>
      <c r="F139" s="191">
        <f t="shared" si="4"/>
        <v>0</v>
      </c>
      <c r="G139" s="206">
        <f t="shared" si="5"/>
        <v>0</v>
      </c>
    </row>
    <row r="140" spans="1:7" hidden="1" x14ac:dyDescent="0.3">
      <c r="A140" s="177" t="s">
        <v>162</v>
      </c>
      <c r="B140" s="177" t="s">
        <v>1860</v>
      </c>
      <c r="C140" s="78" t="s">
        <v>1861</v>
      </c>
      <c r="D140" s="178">
        <f>VLOOKUP(B140,'Planning TB 2024'!$B$14:$Q$888,16,FALSE)</f>
        <v>912939032.35999978</v>
      </c>
      <c r="E140" s="178">
        <f>VLOOKUP(B140,'Planning TB 2025'!$B$14:$Q$574,16,FALSE)</f>
        <v>845973084.35999978</v>
      </c>
      <c r="F140" s="191">
        <f t="shared" si="4"/>
        <v>-66965948</v>
      </c>
      <c r="G140" s="206">
        <f t="shared" si="5"/>
        <v>-7.3352048303695794E-2</v>
      </c>
    </row>
    <row r="141" spans="1:7" hidden="1" x14ac:dyDescent="0.3">
      <c r="A141" s="177" t="s">
        <v>162</v>
      </c>
      <c r="B141" s="177" t="s">
        <v>1862</v>
      </c>
      <c r="C141" s="78" t="s">
        <v>1863</v>
      </c>
      <c r="D141" s="178">
        <f>VLOOKUP(B141,'Planning TB 2024'!$B$14:$Q$888,16,FALSE)</f>
        <v>141081908</v>
      </c>
      <c r="E141" s="178">
        <f>VLOOKUP(B141,'Planning TB 2025'!$B$14:$Q$574,16,FALSE)</f>
        <v>132681908</v>
      </c>
      <c r="F141" s="191">
        <f t="shared" si="4"/>
        <v>-8400000</v>
      </c>
      <c r="G141" s="206">
        <f t="shared" si="5"/>
        <v>-5.9539880903793842E-2</v>
      </c>
    </row>
    <row r="142" spans="1:7" hidden="1" x14ac:dyDescent="0.3">
      <c r="A142" s="177" t="s">
        <v>162</v>
      </c>
      <c r="B142" s="177" t="s">
        <v>1864</v>
      </c>
      <c r="C142" s="78" t="s">
        <v>1865</v>
      </c>
      <c r="D142" s="178">
        <f>VLOOKUP(B142,'Planning TB 2024'!$B$14:$Q$888,16,FALSE)</f>
        <v>9396000</v>
      </c>
      <c r="E142" s="178">
        <f>VLOOKUP(B142,'Planning TB 2025'!$B$14:$Q$574,16,FALSE)</f>
        <v>9396000</v>
      </c>
      <c r="F142" s="191">
        <f t="shared" si="4"/>
        <v>0</v>
      </c>
      <c r="G142" s="206">
        <f t="shared" si="5"/>
        <v>0</v>
      </c>
    </row>
    <row r="143" spans="1:7" hidden="1" x14ac:dyDescent="0.3">
      <c r="A143" s="177" t="s">
        <v>162</v>
      </c>
      <c r="B143" s="177" t="s">
        <v>1866</v>
      </c>
      <c r="C143" s="78" t="s">
        <v>1867</v>
      </c>
      <c r="D143" s="178">
        <f>VLOOKUP(B143,'Planning TB 2024'!$B$14:$Q$888,16,FALSE)</f>
        <v>396346833.60999995</v>
      </c>
      <c r="E143" s="178">
        <f>VLOOKUP(B143,'Planning TB 2025'!$B$14:$Q$574,16,FALSE)</f>
        <v>416624689.88999999</v>
      </c>
      <c r="F143" s="191">
        <f t="shared" si="4"/>
        <v>20277856.280000031</v>
      </c>
      <c r="G143" s="206">
        <f t="shared" si="5"/>
        <v>5.1161898015698981E-2</v>
      </c>
    </row>
    <row r="144" spans="1:7" hidden="1" x14ac:dyDescent="0.3">
      <c r="A144" s="177" t="s">
        <v>162</v>
      </c>
      <c r="B144" s="177" t="s">
        <v>1868</v>
      </c>
      <c r="C144" s="78" t="s">
        <v>359</v>
      </c>
      <c r="D144" s="178">
        <f>VLOOKUP(B144,'Planning TB 2024'!$B$14:$Q$888,16,FALSE)</f>
        <v>3277402051.6181722</v>
      </c>
      <c r="E144" s="178">
        <f>VLOOKUP(B144,'Planning TB 2025'!$B$14:$Q$574,16,FALSE)</f>
        <v>5470600488.8861046</v>
      </c>
      <c r="F144" s="191">
        <f t="shared" si="4"/>
        <v>2193198437.2679324</v>
      </c>
      <c r="G144" s="206">
        <f t="shared" si="5"/>
        <v>0.66918809554814029</v>
      </c>
    </row>
    <row r="145" spans="1:7" hidden="1" x14ac:dyDescent="0.3">
      <c r="A145" s="177" t="s">
        <v>162</v>
      </c>
      <c r="B145" s="177" t="s">
        <v>1869</v>
      </c>
      <c r="C145" s="78" t="s">
        <v>1870</v>
      </c>
      <c r="D145" s="178">
        <f>VLOOKUP(B145,'Planning TB 2024'!$B$14:$Q$888,16,FALSE)</f>
        <v>400056000</v>
      </c>
      <c r="E145" s="178">
        <f>VLOOKUP(B145,'Planning TB 2025'!$B$14:$Q$574,16,FALSE)</f>
        <v>400056000</v>
      </c>
      <c r="F145" s="191">
        <f t="shared" si="4"/>
        <v>0</v>
      </c>
      <c r="G145" s="206">
        <f t="shared" si="5"/>
        <v>0</v>
      </c>
    </row>
    <row r="146" spans="1:7" hidden="1" x14ac:dyDescent="0.3">
      <c r="A146" s="177" t="s">
        <v>162</v>
      </c>
      <c r="B146" s="177" t="s">
        <v>1871</v>
      </c>
      <c r="C146" s="78" t="s">
        <v>1872</v>
      </c>
      <c r="D146" s="178">
        <f>VLOOKUP(B146,'Planning TB 2024'!$B$14:$Q$888,16,FALSE)</f>
        <v>1290629875.5600002</v>
      </c>
      <c r="E146" s="178">
        <f>VLOOKUP(B146,'Planning TB 2025'!$B$14:$Q$574,16,FALSE)</f>
        <v>1561894180.9350007</v>
      </c>
      <c r="F146" s="191">
        <f t="shared" si="4"/>
        <v>271264305.37500048</v>
      </c>
      <c r="G146" s="206">
        <f t="shared" si="5"/>
        <v>0.21017978160260684</v>
      </c>
    </row>
    <row r="147" spans="1:7" hidden="1" x14ac:dyDescent="0.3">
      <c r="A147" s="177" t="s">
        <v>162</v>
      </c>
      <c r="B147" s="177" t="s">
        <v>1873</v>
      </c>
      <c r="C147" s="78" t="s">
        <v>1874</v>
      </c>
      <c r="D147" s="178">
        <f>VLOOKUP(B147,'Planning TB 2024'!$B$14:$Q$888,16,FALSE)</f>
        <v>180000000</v>
      </c>
      <c r="E147" s="178">
        <f>VLOOKUP(B147,'Planning TB 2025'!$B$14:$Q$574,16,FALSE)</f>
        <v>180000000</v>
      </c>
      <c r="F147" s="191">
        <f t="shared" si="4"/>
        <v>0</v>
      </c>
      <c r="G147" s="206">
        <f t="shared" si="5"/>
        <v>0</v>
      </c>
    </row>
    <row r="148" spans="1:7" hidden="1" x14ac:dyDescent="0.3">
      <c r="A148" s="177" t="s">
        <v>162</v>
      </c>
      <c r="B148" s="177" t="s">
        <v>1875</v>
      </c>
      <c r="C148" s="78" t="s">
        <v>1876</v>
      </c>
      <c r="D148" s="178">
        <f>VLOOKUP(B148,'Planning TB 2024'!$B$14:$Q$888,16,FALSE)</f>
        <v>4037223.45</v>
      </c>
      <c r="E148" s="178">
        <f>VLOOKUP(B148,'Planning TB 2025'!$B$14:$Q$574,16,FALSE)</f>
        <v>4037223.45</v>
      </c>
      <c r="F148" s="191">
        <f t="shared" si="4"/>
        <v>0</v>
      </c>
      <c r="G148" s="206">
        <f t="shared" si="5"/>
        <v>0</v>
      </c>
    </row>
    <row r="149" spans="1:7" hidden="1" x14ac:dyDescent="0.3">
      <c r="A149" s="177" t="s">
        <v>162</v>
      </c>
      <c r="B149" s="177" t="s">
        <v>1877</v>
      </c>
      <c r="C149" s="78" t="s">
        <v>1878</v>
      </c>
      <c r="D149" s="178">
        <f>VLOOKUP(B149,'Planning TB 2024'!$B$14:$Q$888,16,FALSE)</f>
        <v>226566.48000000007</v>
      </c>
      <c r="E149" s="178">
        <f>VLOOKUP(B149,'Planning TB 2025'!$B$14:$Q$574,16,FALSE)</f>
        <v>226566.48000000007</v>
      </c>
      <c r="F149" s="191">
        <f t="shared" si="4"/>
        <v>0</v>
      </c>
      <c r="G149" s="206">
        <f t="shared" si="5"/>
        <v>0</v>
      </c>
    </row>
    <row r="150" spans="1:7" hidden="1" x14ac:dyDescent="0.3">
      <c r="A150" s="177" t="s">
        <v>162</v>
      </c>
      <c r="B150" s="177" t="s">
        <v>1879</v>
      </c>
      <c r="C150" s="78" t="s">
        <v>1880</v>
      </c>
      <c r="D150" s="178">
        <f>VLOOKUP(B150,'Planning TB 2024'!$B$14:$Q$888,16,FALSE)</f>
        <v>-62445.960000000014</v>
      </c>
      <c r="E150" s="178">
        <f>VLOOKUP(B150,'Planning TB 2025'!$B$14:$Q$574,16,FALSE)</f>
        <v>-62445.960000000014</v>
      </c>
      <c r="F150" s="191">
        <f t="shared" si="4"/>
        <v>0</v>
      </c>
      <c r="G150" s="206">
        <f t="shared" si="5"/>
        <v>0</v>
      </c>
    </row>
    <row r="151" spans="1:7" hidden="1" x14ac:dyDescent="0.3">
      <c r="A151" s="177" t="s">
        <v>162</v>
      </c>
      <c r="B151" s="177" t="s">
        <v>1881</v>
      </c>
      <c r="C151" s="78" t="s">
        <v>1882</v>
      </c>
      <c r="D151" s="178">
        <f>VLOOKUP(B151,'Planning TB 2024'!$B$14:$Q$888,16,FALSE)</f>
        <v>57158502.928305097</v>
      </c>
      <c r="E151" s="178">
        <f>VLOOKUP(B151,'Planning TB 2025'!$B$14:$Q$574,16,FALSE)</f>
        <v>56934692.035376601</v>
      </c>
      <c r="F151" s="191">
        <f t="shared" si="4"/>
        <v>-223810.892928496</v>
      </c>
      <c r="G151" s="206">
        <f t="shared" si="5"/>
        <v>-3.9156185250202565E-3</v>
      </c>
    </row>
    <row r="152" spans="1:7" hidden="1" x14ac:dyDescent="0.3">
      <c r="A152" s="177" t="s">
        <v>162</v>
      </c>
      <c r="B152" s="177" t="s">
        <v>1883</v>
      </c>
      <c r="C152" s="78" t="s">
        <v>1884</v>
      </c>
      <c r="D152" s="178">
        <f>VLOOKUP(B152,'Planning TB 2024'!$B$14:$Q$888,16,FALSE)</f>
        <v>7408000</v>
      </c>
      <c r="E152" s="178">
        <f>VLOOKUP(B152,'Planning TB 2025'!$B$14:$Q$574,16,FALSE)</f>
        <v>7548000</v>
      </c>
      <c r="F152" s="191">
        <f t="shared" si="4"/>
        <v>140000</v>
      </c>
      <c r="G152" s="206">
        <f t="shared" si="5"/>
        <v>1.8898488120950324E-2</v>
      </c>
    </row>
    <row r="153" spans="1:7" hidden="1" x14ac:dyDescent="0.3">
      <c r="A153" s="177" t="s">
        <v>162</v>
      </c>
      <c r="B153" s="177" t="s">
        <v>1885</v>
      </c>
      <c r="C153" s="78" t="s">
        <v>1886</v>
      </c>
      <c r="D153" s="178">
        <f>VLOOKUP(B153,'Planning TB 2024'!$B$14:$Q$888,16,FALSE)</f>
        <v>0</v>
      </c>
      <c r="E153" s="178" t="e">
        <f>VLOOKUP(B153,'Planning TB 2025'!$B$14:$Q$574,16,FALSE)</f>
        <v>#N/A</v>
      </c>
      <c r="F153" s="191" t="e">
        <f t="shared" si="4"/>
        <v>#N/A</v>
      </c>
      <c r="G153" s="206" t="e">
        <f t="shared" si="5"/>
        <v>#N/A</v>
      </c>
    </row>
    <row r="154" spans="1:7" hidden="1" x14ac:dyDescent="0.3">
      <c r="A154" s="177" t="s">
        <v>162</v>
      </c>
      <c r="B154" s="177" t="s">
        <v>1887</v>
      </c>
      <c r="C154" s="78" t="s">
        <v>1888</v>
      </c>
      <c r="D154" s="178">
        <f>VLOOKUP(B154,'Planning TB 2024'!$B$14:$Q$888,16,FALSE)</f>
        <v>0</v>
      </c>
      <c r="E154" s="178" t="e">
        <f>VLOOKUP(B154,'Planning TB 2025'!$B$14:$Q$574,16,FALSE)</f>
        <v>#N/A</v>
      </c>
      <c r="F154" s="191" t="e">
        <f t="shared" si="4"/>
        <v>#N/A</v>
      </c>
      <c r="G154" s="206" t="e">
        <f t="shared" si="5"/>
        <v>#N/A</v>
      </c>
    </row>
    <row r="155" spans="1:7" hidden="1" x14ac:dyDescent="0.3">
      <c r="A155" s="177" t="s">
        <v>162</v>
      </c>
      <c r="B155" s="177" t="s">
        <v>1889</v>
      </c>
      <c r="C155" s="78" t="s">
        <v>1890</v>
      </c>
      <c r="D155" s="178">
        <f>VLOOKUP(B155,'Planning TB 2024'!$B$14:$Q$888,16,FALSE)</f>
        <v>0</v>
      </c>
      <c r="E155" s="178" t="e">
        <f>VLOOKUP(B155,'Planning TB 2025'!$B$14:$Q$574,16,FALSE)</f>
        <v>#N/A</v>
      </c>
      <c r="F155" s="191" t="e">
        <f t="shared" si="4"/>
        <v>#N/A</v>
      </c>
      <c r="G155" s="206" t="e">
        <f t="shared" si="5"/>
        <v>#N/A</v>
      </c>
    </row>
    <row r="156" spans="1:7" hidden="1" x14ac:dyDescent="0.3">
      <c r="A156" s="177" t="s">
        <v>162</v>
      </c>
      <c r="B156" s="177" t="s">
        <v>1891</v>
      </c>
      <c r="C156" s="78" t="s">
        <v>1892</v>
      </c>
      <c r="D156" s="178">
        <f>VLOOKUP(B156,'Planning TB 2024'!$B$14:$Q$888,16,FALSE)</f>
        <v>226324000</v>
      </c>
      <c r="E156" s="178">
        <f>VLOOKUP(B156,'Planning TB 2025'!$B$14:$Q$574,16,FALSE)</f>
        <v>237672000</v>
      </c>
      <c r="F156" s="191">
        <f t="shared" si="4"/>
        <v>11348000</v>
      </c>
      <c r="G156" s="206">
        <f t="shared" si="5"/>
        <v>5.0140506530460753E-2</v>
      </c>
    </row>
    <row r="157" spans="1:7" hidden="1" x14ac:dyDescent="0.3">
      <c r="A157" s="177" t="s">
        <v>162</v>
      </c>
      <c r="B157" s="177" t="s">
        <v>1893</v>
      </c>
      <c r="C157" s="78" t="s">
        <v>1894</v>
      </c>
      <c r="D157" s="178">
        <f>VLOOKUP(B157,'Planning TB 2024'!$B$14:$Q$888,16,FALSE)</f>
        <v>158400</v>
      </c>
      <c r="E157" s="178">
        <f>VLOOKUP(B157,'Planning TB 2025'!$B$14:$Q$574,16,FALSE)</f>
        <v>158400</v>
      </c>
      <c r="F157" s="191">
        <f t="shared" si="4"/>
        <v>0</v>
      </c>
      <c r="G157" s="206">
        <f t="shared" si="5"/>
        <v>0</v>
      </c>
    </row>
    <row r="158" spans="1:7" hidden="1" x14ac:dyDescent="0.3">
      <c r="A158" s="177" t="s">
        <v>162</v>
      </c>
      <c r="B158" s="177" t="s">
        <v>1895</v>
      </c>
      <c r="C158" s="78" t="s">
        <v>1896</v>
      </c>
      <c r="D158" s="178">
        <f>VLOOKUP(B158,'Planning TB 2024'!$B$14:$Q$888,16,FALSE)</f>
        <v>19200</v>
      </c>
      <c r="E158" s="178">
        <f>VLOOKUP(B158,'Planning TB 2025'!$B$14:$Q$574,16,FALSE)</f>
        <v>19200</v>
      </c>
      <c r="F158" s="191">
        <f t="shared" si="4"/>
        <v>0</v>
      </c>
      <c r="G158" s="206">
        <f t="shared" si="5"/>
        <v>0</v>
      </c>
    </row>
    <row r="159" spans="1:7" hidden="1" x14ac:dyDescent="0.3">
      <c r="A159" s="177" t="s">
        <v>162</v>
      </c>
      <c r="B159" s="177" t="s">
        <v>1897</v>
      </c>
      <c r="C159" s="78" t="s">
        <v>1898</v>
      </c>
      <c r="D159" s="178">
        <f>VLOOKUP(B159,'Planning TB 2024'!$B$14:$Q$888,16,FALSE)</f>
        <v>1029108</v>
      </c>
      <c r="E159" s="178">
        <f>VLOOKUP(B159,'Planning TB 2025'!$B$14:$Q$574,16,FALSE)</f>
        <v>1029108</v>
      </c>
      <c r="F159" s="191">
        <f t="shared" si="4"/>
        <v>0</v>
      </c>
      <c r="G159" s="206">
        <f t="shared" si="5"/>
        <v>0</v>
      </c>
    </row>
    <row r="160" spans="1:7" hidden="1" x14ac:dyDescent="0.3">
      <c r="A160" s="177" t="s">
        <v>162</v>
      </c>
      <c r="B160" s="177" t="s">
        <v>1899</v>
      </c>
      <c r="C160" s="78" t="s">
        <v>1900</v>
      </c>
      <c r="D160" s="178">
        <f>VLOOKUP(B160,'Planning TB 2024'!$B$14:$Q$888,16,FALSE)</f>
        <v>-34512</v>
      </c>
      <c r="E160" s="178">
        <f>VLOOKUP(B160,'Planning TB 2025'!$B$14:$Q$574,16,FALSE)</f>
        <v>-34512</v>
      </c>
      <c r="F160" s="191">
        <f t="shared" si="4"/>
        <v>0</v>
      </c>
      <c r="G160" s="206">
        <f t="shared" si="5"/>
        <v>0</v>
      </c>
    </row>
    <row r="161" spans="1:7" hidden="1" x14ac:dyDescent="0.3">
      <c r="A161" s="177" t="s">
        <v>162</v>
      </c>
      <c r="B161" s="177" t="s">
        <v>1901</v>
      </c>
      <c r="C161" s="78" t="s">
        <v>1902</v>
      </c>
      <c r="D161" s="178">
        <f>VLOOKUP(B161,'Planning TB 2024'!$B$14:$Q$888,16,FALSE)</f>
        <v>0</v>
      </c>
      <c r="E161" s="178" t="e">
        <f>VLOOKUP(B161,'Planning TB 2025'!$B$14:$Q$574,16,FALSE)</f>
        <v>#N/A</v>
      </c>
      <c r="F161" s="191" t="e">
        <f t="shared" si="4"/>
        <v>#N/A</v>
      </c>
      <c r="G161" s="206" t="e">
        <f t="shared" si="5"/>
        <v>#N/A</v>
      </c>
    </row>
    <row r="162" spans="1:7" hidden="1" x14ac:dyDescent="0.3">
      <c r="A162" s="177" t="s">
        <v>162</v>
      </c>
      <c r="B162" s="177" t="s">
        <v>1903</v>
      </c>
      <c r="C162" s="78" t="s">
        <v>1904</v>
      </c>
      <c r="D162" s="178">
        <f>VLOOKUP(B162,'Planning TB 2024'!$B$14:$Q$888,16,FALSE)</f>
        <v>3104400</v>
      </c>
      <c r="E162" s="178">
        <f>VLOOKUP(B162,'Planning TB 2025'!$B$14:$Q$574,16,FALSE)</f>
        <v>3104400</v>
      </c>
      <c r="F162" s="191">
        <f t="shared" si="4"/>
        <v>0</v>
      </c>
      <c r="G162" s="206">
        <f t="shared" si="5"/>
        <v>0</v>
      </c>
    </row>
    <row r="163" spans="1:7" hidden="1" x14ac:dyDescent="0.3">
      <c r="A163" s="177" t="s">
        <v>162</v>
      </c>
      <c r="B163" s="177" t="s">
        <v>1905</v>
      </c>
      <c r="C163" s="78" t="s">
        <v>1906</v>
      </c>
      <c r="D163" s="178">
        <f>VLOOKUP(B163,'Planning TB 2024'!$B$14:$Q$888,16,FALSE)</f>
        <v>-368400</v>
      </c>
      <c r="E163" s="178">
        <f>VLOOKUP(B163,'Planning TB 2025'!$B$14:$Q$574,16,FALSE)</f>
        <v>-368400</v>
      </c>
      <c r="F163" s="191">
        <f t="shared" si="4"/>
        <v>0</v>
      </c>
      <c r="G163" s="206">
        <f t="shared" si="5"/>
        <v>0</v>
      </c>
    </row>
    <row r="164" spans="1:7" hidden="1" x14ac:dyDescent="0.3">
      <c r="A164" s="177" t="s">
        <v>162</v>
      </c>
      <c r="B164" s="177" t="s">
        <v>1907</v>
      </c>
      <c r="C164" s="78" t="s">
        <v>1908</v>
      </c>
      <c r="D164" s="178">
        <f>VLOOKUP(B164,'Planning TB 2024'!$B$14:$Q$888,16,FALSE)</f>
        <v>54835114</v>
      </c>
      <c r="E164" s="178">
        <f>VLOOKUP(B164,'Planning TB 2025'!$B$14:$Q$574,16,FALSE)</f>
        <v>55315114</v>
      </c>
      <c r="F164" s="191">
        <f t="shared" si="4"/>
        <v>480000</v>
      </c>
      <c r="G164" s="206">
        <f t="shared" si="5"/>
        <v>8.7535151290102173E-3</v>
      </c>
    </row>
    <row r="165" spans="1:7" hidden="1" x14ac:dyDescent="0.3">
      <c r="A165" s="177" t="s">
        <v>162</v>
      </c>
      <c r="B165" s="177" t="s">
        <v>1909</v>
      </c>
      <c r="C165" s="78" t="s">
        <v>1910</v>
      </c>
      <c r="D165" s="178">
        <f>VLOOKUP(B165,'Planning TB 2024'!$B$14:$Q$888,16,FALSE)</f>
        <v>847200</v>
      </c>
      <c r="E165" s="178">
        <f>VLOOKUP(B165,'Planning TB 2025'!$B$14:$Q$574,16,FALSE)</f>
        <v>847200</v>
      </c>
      <c r="F165" s="191">
        <f t="shared" si="4"/>
        <v>0</v>
      </c>
      <c r="G165" s="206">
        <f t="shared" si="5"/>
        <v>0</v>
      </c>
    </row>
    <row r="166" spans="1:7" hidden="1" x14ac:dyDescent="0.3">
      <c r="A166" s="177" t="s">
        <v>162</v>
      </c>
      <c r="B166" s="177" t="s">
        <v>1911</v>
      </c>
      <c r="C166" s="78" t="s">
        <v>1912</v>
      </c>
      <c r="D166" s="178">
        <f>VLOOKUP(B166,'Planning TB 2024'!$B$14:$Q$888,16,FALSE)</f>
        <v>10800</v>
      </c>
      <c r="E166" s="178">
        <f>VLOOKUP(B166,'Planning TB 2025'!$B$14:$Q$574,16,FALSE)</f>
        <v>10800</v>
      </c>
      <c r="F166" s="191">
        <f t="shared" si="4"/>
        <v>0</v>
      </c>
      <c r="G166" s="206">
        <f t="shared" si="5"/>
        <v>0</v>
      </c>
    </row>
    <row r="167" spans="1:7" hidden="1" x14ac:dyDescent="0.3">
      <c r="A167" s="177" t="s">
        <v>162</v>
      </c>
      <c r="B167" s="177" t="s">
        <v>1913</v>
      </c>
      <c r="C167" s="78" t="s">
        <v>1914</v>
      </c>
      <c r="D167" s="178">
        <f>VLOOKUP(B167,'Planning TB 2024'!$B$14:$Q$888,16,FALSE)</f>
        <v>0</v>
      </c>
      <c r="E167" s="178" t="e">
        <f>VLOOKUP(B167,'Planning TB 2025'!$B$14:$Q$574,16,FALSE)</f>
        <v>#N/A</v>
      </c>
      <c r="F167" s="191" t="e">
        <f t="shared" si="4"/>
        <v>#N/A</v>
      </c>
      <c r="G167" s="206" t="e">
        <f t="shared" si="5"/>
        <v>#N/A</v>
      </c>
    </row>
    <row r="168" spans="1:7" hidden="1" x14ac:dyDescent="0.3">
      <c r="A168" s="177" t="s">
        <v>162</v>
      </c>
      <c r="B168" s="177" t="s">
        <v>1915</v>
      </c>
      <c r="C168" s="78" t="s">
        <v>1916</v>
      </c>
      <c r="D168" s="178">
        <f>VLOOKUP(B168,'Planning TB 2024'!$B$14:$Q$888,16,FALSE)</f>
        <v>3132000</v>
      </c>
      <c r="E168" s="178">
        <f>VLOOKUP(B168,'Planning TB 2025'!$B$14:$Q$574,16,FALSE)</f>
        <v>3228000</v>
      </c>
      <c r="F168" s="191">
        <f t="shared" si="4"/>
        <v>96000</v>
      </c>
      <c r="G168" s="206">
        <f t="shared" si="5"/>
        <v>3.0651340996168581E-2</v>
      </c>
    </row>
    <row r="169" spans="1:7" hidden="1" x14ac:dyDescent="0.3">
      <c r="A169" s="177" t="s">
        <v>162</v>
      </c>
      <c r="B169" s="177" t="s">
        <v>1917</v>
      </c>
      <c r="C169" s="78" t="s">
        <v>1918</v>
      </c>
      <c r="D169" s="178">
        <f>VLOOKUP(B169,'Planning TB 2024'!$B$14:$Q$888,16,FALSE)</f>
        <v>1080000</v>
      </c>
      <c r="E169" s="178">
        <f>VLOOKUP(B169,'Planning TB 2025'!$B$14:$Q$574,16,FALSE)</f>
        <v>1116000</v>
      </c>
      <c r="F169" s="191">
        <f t="shared" si="4"/>
        <v>36000</v>
      </c>
      <c r="G169" s="206">
        <f t="shared" si="5"/>
        <v>3.3333333333333333E-2</v>
      </c>
    </row>
    <row r="170" spans="1:7" hidden="1" x14ac:dyDescent="0.3">
      <c r="A170" s="177" t="s">
        <v>162</v>
      </c>
      <c r="B170" s="177" t="s">
        <v>1919</v>
      </c>
      <c r="C170" s="78" t="s">
        <v>1920</v>
      </c>
      <c r="D170" s="178">
        <f>VLOOKUP(B170,'Planning TB 2024'!$B$14:$Q$888,16,FALSE)</f>
        <v>912000</v>
      </c>
      <c r="E170" s="178">
        <f>VLOOKUP(B170,'Planning TB 2025'!$B$14:$Q$574,16,FALSE)</f>
        <v>936000</v>
      </c>
      <c r="F170" s="191">
        <f t="shared" si="4"/>
        <v>24000</v>
      </c>
      <c r="G170" s="206">
        <f t="shared" si="5"/>
        <v>2.6315789473684209E-2</v>
      </c>
    </row>
    <row r="171" spans="1:7" hidden="1" x14ac:dyDescent="0.3">
      <c r="A171" s="177" t="s">
        <v>162</v>
      </c>
      <c r="B171" s="177" t="s">
        <v>1921</v>
      </c>
      <c r="C171" s="78" t="s">
        <v>1922</v>
      </c>
      <c r="D171" s="178">
        <f>VLOOKUP(B171,'Planning TB 2024'!$B$14:$Q$888,16,FALSE)</f>
        <v>585597000</v>
      </c>
      <c r="E171" s="178">
        <f>VLOOKUP(B171,'Planning TB 2025'!$B$14:$Q$574,16,FALSE)</f>
        <v>629939000</v>
      </c>
      <c r="F171" s="191">
        <f t="shared" si="4"/>
        <v>44342000</v>
      </c>
      <c r="G171" s="206">
        <f t="shared" si="5"/>
        <v>7.5721016330343227E-2</v>
      </c>
    </row>
    <row r="172" spans="1:7" hidden="1" x14ac:dyDescent="0.3">
      <c r="A172" s="177" t="s">
        <v>162</v>
      </c>
      <c r="B172" s="177" t="s">
        <v>1923</v>
      </c>
      <c r="C172" s="78" t="s">
        <v>1924</v>
      </c>
      <c r="D172" s="178">
        <f>VLOOKUP(B172,'Planning TB 2024'!$B$14:$Q$888,16,FALSE)</f>
        <v>21028651.428460799</v>
      </c>
      <c r="E172" s="178">
        <f>VLOOKUP(B172,'Planning TB 2025'!$B$14:$Q$574,16,FALSE)</f>
        <v>16783255.023564801</v>
      </c>
      <c r="F172" s="191">
        <f t="shared" si="4"/>
        <v>-4245396.4048959985</v>
      </c>
      <c r="G172" s="206">
        <f t="shared" si="5"/>
        <v>-0.20188628925343988</v>
      </c>
    </row>
    <row r="173" spans="1:7" hidden="1" x14ac:dyDescent="0.3">
      <c r="A173" s="177" t="s">
        <v>162</v>
      </c>
      <c r="B173" s="177" t="s">
        <v>1925</v>
      </c>
      <c r="C173" s="78" t="s">
        <v>1926</v>
      </c>
      <c r="D173" s="178">
        <f>VLOOKUP(B173,'Planning TB 2024'!$B$14:$Q$888,16,FALSE)</f>
        <v>132000</v>
      </c>
      <c r="E173" s="178">
        <f>VLOOKUP(B173,'Planning TB 2025'!$B$14:$Q$574,16,FALSE)</f>
        <v>132000</v>
      </c>
      <c r="F173" s="191">
        <f t="shared" si="4"/>
        <v>0</v>
      </c>
      <c r="G173" s="206">
        <f t="shared" si="5"/>
        <v>0</v>
      </c>
    </row>
    <row r="174" spans="1:7" hidden="1" x14ac:dyDescent="0.3">
      <c r="A174" s="177" t="s">
        <v>162</v>
      </c>
      <c r="B174" s="177" t="s">
        <v>1927</v>
      </c>
      <c r="C174" s="78" t="s">
        <v>1928</v>
      </c>
      <c r="D174" s="178">
        <f>VLOOKUP(B174,'Planning TB 2024'!$B$14:$Q$888,16,FALSE)</f>
        <v>540000</v>
      </c>
      <c r="E174" s="178">
        <f>VLOOKUP(B174,'Planning TB 2025'!$B$14:$Q$574,16,FALSE)</f>
        <v>540000</v>
      </c>
      <c r="F174" s="191">
        <f t="shared" si="4"/>
        <v>0</v>
      </c>
      <c r="G174" s="206">
        <f t="shared" si="5"/>
        <v>0</v>
      </c>
    </row>
    <row r="175" spans="1:7" hidden="1" x14ac:dyDescent="0.3">
      <c r="A175" s="177" t="s">
        <v>162</v>
      </c>
      <c r="B175" s="177" t="s">
        <v>1929</v>
      </c>
      <c r="C175" s="78" t="s">
        <v>1930</v>
      </c>
      <c r="D175" s="178">
        <f>VLOOKUP(B175,'Planning TB 2024'!$B$14:$Q$888,16,FALSE)</f>
        <v>0</v>
      </c>
      <c r="E175" s="178" t="e">
        <f>VLOOKUP(B175,'Planning TB 2025'!$B$14:$Q$574,16,FALSE)</f>
        <v>#N/A</v>
      </c>
      <c r="F175" s="191" t="e">
        <f t="shared" si="4"/>
        <v>#N/A</v>
      </c>
      <c r="G175" s="206" t="e">
        <f t="shared" si="5"/>
        <v>#N/A</v>
      </c>
    </row>
    <row r="176" spans="1:7" hidden="1" x14ac:dyDescent="0.3">
      <c r="A176" s="177" t="s">
        <v>162</v>
      </c>
      <c r="B176" s="177" t="s">
        <v>1931</v>
      </c>
      <c r="C176" s="78" t="s">
        <v>1932</v>
      </c>
      <c r="D176" s="178">
        <f>VLOOKUP(B176,'Planning TB 2024'!$B$14:$Q$888,16,FALSE)</f>
        <v>0</v>
      </c>
      <c r="E176" s="178" t="e">
        <f>VLOOKUP(B176,'Planning TB 2025'!$B$14:$Q$574,16,FALSE)</f>
        <v>#N/A</v>
      </c>
      <c r="F176" s="191" t="e">
        <f t="shared" si="4"/>
        <v>#N/A</v>
      </c>
      <c r="G176" s="206" t="e">
        <f t="shared" si="5"/>
        <v>#N/A</v>
      </c>
    </row>
    <row r="177" spans="1:7" hidden="1" x14ac:dyDescent="0.3">
      <c r="A177" s="177" t="s">
        <v>162</v>
      </c>
      <c r="B177" s="177" t="s">
        <v>1933</v>
      </c>
      <c r="C177" s="78" t="s">
        <v>1934</v>
      </c>
      <c r="D177" s="178">
        <f>VLOOKUP(B177,'Planning TB 2024'!$B$14:$Q$888,16,FALSE)</f>
        <v>0</v>
      </c>
      <c r="E177" s="178" t="e">
        <f>VLOOKUP(B177,'Planning TB 2025'!$B$14:$Q$574,16,FALSE)</f>
        <v>#N/A</v>
      </c>
      <c r="F177" s="191" t="e">
        <f t="shared" si="4"/>
        <v>#N/A</v>
      </c>
      <c r="G177" s="206" t="e">
        <f t="shared" si="5"/>
        <v>#N/A</v>
      </c>
    </row>
    <row r="178" spans="1:7" hidden="1" x14ac:dyDescent="0.3">
      <c r="A178" s="177" t="s">
        <v>162</v>
      </c>
      <c r="B178" s="177" t="s">
        <v>1935</v>
      </c>
      <c r="C178" s="78" t="s">
        <v>1936</v>
      </c>
      <c r="D178" s="178">
        <f>VLOOKUP(B178,'Planning TB 2024'!$B$14:$Q$888,16,FALSE)</f>
        <v>0</v>
      </c>
      <c r="E178" s="178" t="e">
        <f>VLOOKUP(B178,'Planning TB 2025'!$B$14:$Q$574,16,FALSE)</f>
        <v>#N/A</v>
      </c>
      <c r="F178" s="191" t="e">
        <f t="shared" si="4"/>
        <v>#N/A</v>
      </c>
      <c r="G178" s="206" t="e">
        <f t="shared" si="5"/>
        <v>#N/A</v>
      </c>
    </row>
    <row r="179" spans="1:7" hidden="1" x14ac:dyDescent="0.3">
      <c r="A179" s="177" t="s">
        <v>162</v>
      </c>
      <c r="B179" s="177" t="s">
        <v>1937</v>
      </c>
      <c r="C179" s="78" t="s">
        <v>1938</v>
      </c>
      <c r="D179" s="178">
        <f>VLOOKUP(B179,'Planning TB 2024'!$B$14:$Q$888,16,FALSE)</f>
        <v>-5500000</v>
      </c>
      <c r="E179" s="178">
        <f>VLOOKUP(B179,'Planning TB 2025'!$B$14:$Q$574,16,FALSE)</f>
        <v>-5665000</v>
      </c>
      <c r="F179" s="191">
        <f t="shared" si="4"/>
        <v>-165000</v>
      </c>
      <c r="G179" s="206">
        <f t="shared" si="5"/>
        <v>0.03</v>
      </c>
    </row>
    <row r="180" spans="1:7" hidden="1" x14ac:dyDescent="0.3">
      <c r="A180" s="177" t="s">
        <v>162</v>
      </c>
      <c r="B180" s="177" t="s">
        <v>1939</v>
      </c>
      <c r="C180" s="78" t="s">
        <v>1940</v>
      </c>
      <c r="D180" s="178">
        <f>VLOOKUP(B180,'Planning TB 2024'!$B$14:$Q$888,16,FALSE)</f>
        <v>72823374.190000013</v>
      </c>
      <c r="E180" s="178">
        <f>VLOOKUP(B180,'Planning TB 2025'!$B$14:$Q$574,16,FALSE)</f>
        <v>63619929.91234991</v>
      </c>
      <c r="F180" s="191">
        <f t="shared" si="4"/>
        <v>-9203444.277650103</v>
      </c>
      <c r="G180" s="206">
        <f t="shared" si="5"/>
        <v>-0.12638036042710454</v>
      </c>
    </row>
    <row r="181" spans="1:7" hidden="1" x14ac:dyDescent="0.3">
      <c r="A181" s="177" t="s">
        <v>162</v>
      </c>
      <c r="B181" s="177" t="s">
        <v>1941</v>
      </c>
      <c r="C181" s="78" t="s">
        <v>1942</v>
      </c>
      <c r="D181" s="178">
        <f>VLOOKUP(B181,'Planning TB 2024'!$B$14:$Q$888,16,FALSE)</f>
        <v>10836123.369999999</v>
      </c>
      <c r="E181" s="178">
        <f>VLOOKUP(B181,'Planning TB 2025'!$B$14:$Q$574,16,FALSE)</f>
        <v>11161207.084321201</v>
      </c>
      <c r="F181" s="191">
        <f t="shared" si="4"/>
        <v>325083.71432120167</v>
      </c>
      <c r="G181" s="206">
        <f t="shared" si="5"/>
        <v>3.0000001220104391E-2</v>
      </c>
    </row>
    <row r="182" spans="1:7" hidden="1" x14ac:dyDescent="0.3">
      <c r="A182" s="177" t="s">
        <v>162</v>
      </c>
      <c r="B182" s="177" t="s">
        <v>1943</v>
      </c>
      <c r="C182" s="78" t="s">
        <v>1944</v>
      </c>
      <c r="D182" s="178">
        <f>VLOOKUP(B182,'Planning TB 2024'!$B$14:$Q$888,16,FALSE)</f>
        <v>58439246.399999991</v>
      </c>
      <c r="E182" s="178">
        <f>VLOOKUP(B182,'Planning TB 2025'!$B$14:$Q$574,16,FALSE)</f>
        <v>58233449.346822195</v>
      </c>
      <c r="F182" s="191">
        <f t="shared" si="4"/>
        <v>-205797.0531777963</v>
      </c>
      <c r="G182" s="206">
        <f t="shared" si="5"/>
        <v>-3.5215555616370225E-3</v>
      </c>
    </row>
    <row r="183" spans="1:7" hidden="1" x14ac:dyDescent="0.3">
      <c r="A183" s="177" t="s">
        <v>162</v>
      </c>
      <c r="B183" s="177" t="s">
        <v>1945</v>
      </c>
      <c r="C183" s="78" t="s">
        <v>1946</v>
      </c>
      <c r="D183" s="178">
        <f>VLOOKUP(B183,'Planning TB 2024'!$B$14:$Q$888,16,FALSE)</f>
        <v>3931206.98</v>
      </c>
      <c r="E183" s="178">
        <f>VLOOKUP(B183,'Planning TB 2025'!$B$14:$Q$574,16,FALSE)</f>
        <v>3638269.8425614992</v>
      </c>
      <c r="F183" s="191">
        <f t="shared" si="4"/>
        <v>-292937.13743850077</v>
      </c>
      <c r="G183" s="206">
        <f t="shared" si="5"/>
        <v>-7.4515826546100797E-2</v>
      </c>
    </row>
    <row r="184" spans="1:7" hidden="1" x14ac:dyDescent="0.3">
      <c r="A184" s="177" t="s">
        <v>162</v>
      </c>
      <c r="B184" s="177" t="s">
        <v>1947</v>
      </c>
      <c r="C184" s="78" t="s">
        <v>1948</v>
      </c>
      <c r="D184" s="178">
        <f>VLOOKUP(B184,'Planning TB 2024'!$B$14:$Q$888,16,FALSE)</f>
        <v>1451539130.590276</v>
      </c>
      <c r="E184" s="178">
        <f>VLOOKUP(B184,'Planning TB 2025'!$B$14:$Q$574,16,FALSE)</f>
        <v>1458813481.5844078</v>
      </c>
      <c r="F184" s="191">
        <f t="shared" si="4"/>
        <v>7274350.9941318035</v>
      </c>
      <c r="G184" s="206">
        <f t="shared" si="5"/>
        <v>5.0114742626150566E-3</v>
      </c>
    </row>
    <row r="185" spans="1:7" hidden="1" x14ac:dyDescent="0.3">
      <c r="A185" s="177" t="s">
        <v>162</v>
      </c>
      <c r="B185" s="177" t="s">
        <v>1949</v>
      </c>
      <c r="C185" s="78" t="s">
        <v>1950</v>
      </c>
      <c r="D185" s="178">
        <f>VLOOKUP(B185,'Planning TB 2024'!$B$14:$Q$888,16,FALSE)</f>
        <v>16503760.244100001</v>
      </c>
      <c r="E185" s="178">
        <f>VLOOKUP(B185,'Planning TB 2025'!$B$14:$Q$574,16,FALSE)</f>
        <v>1942342.2428800021</v>
      </c>
      <c r="F185" s="191">
        <f t="shared" si="4"/>
        <v>-14561418.001219999</v>
      </c>
      <c r="G185" s="206">
        <f t="shared" si="5"/>
        <v>-0.88230910930892992</v>
      </c>
    </row>
    <row r="186" spans="1:7" hidden="1" x14ac:dyDescent="0.3">
      <c r="A186" s="177" t="s">
        <v>162</v>
      </c>
      <c r="B186" s="177" t="s">
        <v>1951</v>
      </c>
      <c r="C186" s="78" t="s">
        <v>1952</v>
      </c>
      <c r="D186" s="178">
        <f>VLOOKUP(B186,'Planning TB 2024'!$B$14:$Q$888,16,FALSE)</f>
        <v>3256490.7899999996</v>
      </c>
      <c r="E186" s="178">
        <f>VLOOKUP(B186,'Planning TB 2025'!$B$14:$Q$574,16,FALSE)</f>
        <v>-102541.32800040048</v>
      </c>
      <c r="F186" s="191">
        <f t="shared" si="4"/>
        <v>-3359032.1180004003</v>
      </c>
      <c r="G186" s="206">
        <f t="shared" si="5"/>
        <v>-1.0314882904982516</v>
      </c>
    </row>
    <row r="187" spans="1:7" hidden="1" x14ac:dyDescent="0.3">
      <c r="A187" s="177" t="s">
        <v>162</v>
      </c>
      <c r="B187" s="177" t="s">
        <v>1953</v>
      </c>
      <c r="C187" s="78" t="s">
        <v>1954</v>
      </c>
      <c r="D187" s="178">
        <f>VLOOKUP(B187,'Planning TB 2024'!$B$14:$Q$888,16,FALSE)</f>
        <v>0</v>
      </c>
      <c r="E187" s="178" t="e">
        <f>VLOOKUP(B187,'Planning TB 2025'!$B$14:$Q$574,16,FALSE)</f>
        <v>#N/A</v>
      </c>
      <c r="F187" s="191" t="e">
        <f t="shared" si="4"/>
        <v>#N/A</v>
      </c>
      <c r="G187" s="206" t="e">
        <f t="shared" si="5"/>
        <v>#N/A</v>
      </c>
    </row>
    <row r="188" spans="1:7" hidden="1" x14ac:dyDescent="0.3">
      <c r="A188" s="177" t="s">
        <v>162</v>
      </c>
      <c r="B188" s="177" t="s">
        <v>1955</v>
      </c>
      <c r="C188" s="78" t="s">
        <v>1956</v>
      </c>
      <c r="D188" s="178">
        <f>VLOOKUP(B188,'Planning TB 2024'!$B$14:$Q$888,16,FALSE)</f>
        <v>0</v>
      </c>
      <c r="E188" s="178" t="e">
        <f>VLOOKUP(B188,'Planning TB 2025'!$B$14:$Q$574,16,FALSE)</f>
        <v>#N/A</v>
      </c>
      <c r="F188" s="191" t="e">
        <f t="shared" si="4"/>
        <v>#N/A</v>
      </c>
      <c r="G188" s="206" t="e">
        <f t="shared" si="5"/>
        <v>#N/A</v>
      </c>
    </row>
    <row r="189" spans="1:7" hidden="1" x14ac:dyDescent="0.3">
      <c r="A189" s="177" t="s">
        <v>162</v>
      </c>
      <c r="B189" s="177" t="s">
        <v>1957</v>
      </c>
      <c r="C189" s="78" t="s">
        <v>1958</v>
      </c>
      <c r="D189" s="178">
        <f>VLOOKUP(B189,'Planning TB 2024'!$B$14:$Q$888,16,FALSE)</f>
        <v>0</v>
      </c>
      <c r="E189" s="178" t="e">
        <f>VLOOKUP(B189,'Planning TB 2025'!$B$14:$Q$574,16,FALSE)</f>
        <v>#N/A</v>
      </c>
      <c r="F189" s="191" t="e">
        <f t="shared" si="4"/>
        <v>#N/A</v>
      </c>
      <c r="G189" s="206" t="e">
        <f t="shared" si="5"/>
        <v>#N/A</v>
      </c>
    </row>
    <row r="190" spans="1:7" hidden="1" x14ac:dyDescent="0.3">
      <c r="A190" s="177" t="s">
        <v>162</v>
      </c>
      <c r="B190" s="177" t="s">
        <v>1959</v>
      </c>
      <c r="C190" s="78" t="s">
        <v>1960</v>
      </c>
      <c r="D190" s="178">
        <f>VLOOKUP(B190,'Planning TB 2024'!$B$14:$Q$888,16,FALSE)</f>
        <v>6618992.9310720004</v>
      </c>
      <c r="E190" s="178">
        <f>VLOOKUP(B190,'Planning TB 2025'!$B$14:$Q$574,16,FALSE)</f>
        <v>6467715.7839648016</v>
      </c>
      <c r="F190" s="191">
        <f t="shared" si="4"/>
        <v>-151277.14710719883</v>
      </c>
      <c r="G190" s="206">
        <f t="shared" si="5"/>
        <v>-2.2855009618917701E-2</v>
      </c>
    </row>
    <row r="191" spans="1:7" hidden="1" x14ac:dyDescent="0.3">
      <c r="A191" s="177" t="s">
        <v>162</v>
      </c>
      <c r="B191" s="177" t="s">
        <v>1961</v>
      </c>
      <c r="C191" s="78" t="s">
        <v>1962</v>
      </c>
      <c r="D191" s="178">
        <f>VLOOKUP(B191,'Planning TB 2024'!$B$14:$Q$888,16,FALSE)</f>
        <v>62905309.73049999</v>
      </c>
      <c r="E191" s="178">
        <f>VLOOKUP(B191,'Planning TB 2025'!$B$14:$Q$574,16,FALSE)</f>
        <v>61357035.122499995</v>
      </c>
      <c r="F191" s="191">
        <f t="shared" si="4"/>
        <v>-1548274.6079999954</v>
      </c>
      <c r="G191" s="206">
        <f t="shared" si="5"/>
        <v>-2.4612780934282655E-2</v>
      </c>
    </row>
    <row r="192" spans="1:7" hidden="1" x14ac:dyDescent="0.3">
      <c r="A192" s="177" t="s">
        <v>162</v>
      </c>
      <c r="B192" s="177" t="s">
        <v>1963</v>
      </c>
      <c r="C192" s="78" t="s">
        <v>1964</v>
      </c>
      <c r="D192" s="178">
        <f>VLOOKUP(B192,'Planning TB 2024'!$B$14:$Q$888,16,FALSE)</f>
        <v>398273500</v>
      </c>
      <c r="E192" s="178">
        <f>VLOOKUP(B192,'Planning TB 2025'!$B$14:$Q$574,16,FALSE)</f>
        <v>408630798</v>
      </c>
      <c r="F192" s="191">
        <f t="shared" si="4"/>
        <v>10357298</v>
      </c>
      <c r="G192" s="206">
        <f t="shared" si="5"/>
        <v>2.6005491201398036E-2</v>
      </c>
    </row>
    <row r="193" spans="1:7" hidden="1" x14ac:dyDescent="0.3">
      <c r="A193" s="177" t="s">
        <v>162</v>
      </c>
      <c r="B193" s="177" t="s">
        <v>1965</v>
      </c>
      <c r="C193" s="78" t="s">
        <v>1966</v>
      </c>
      <c r="D193" s="178">
        <f>VLOOKUP(B193,'Planning TB 2024'!$B$14:$Q$888,16,FALSE)</f>
        <v>59679326.173773602</v>
      </c>
      <c r="E193" s="178">
        <f>VLOOKUP(B193,'Planning TB 2025'!$B$14:$Q$574,16,FALSE)</f>
        <v>58262811.206628002</v>
      </c>
      <c r="F193" s="191">
        <f t="shared" si="4"/>
        <v>-1416514.9671455994</v>
      </c>
      <c r="G193" s="206">
        <f t="shared" si="5"/>
        <v>-2.3735438349638982E-2</v>
      </c>
    </row>
    <row r="194" spans="1:7" hidden="1" x14ac:dyDescent="0.3">
      <c r="A194" s="177" t="s">
        <v>162</v>
      </c>
      <c r="B194" s="177" t="s">
        <v>1967</v>
      </c>
      <c r="C194" s="78" t="s">
        <v>1968</v>
      </c>
      <c r="D194" s="178">
        <f>VLOOKUP(B194,'Planning TB 2024'!$B$14:$Q$888,16,FALSE)</f>
        <v>51000</v>
      </c>
      <c r="E194" s="178">
        <f>VLOOKUP(B194,'Planning TB 2025'!$B$14:$Q$574,16,FALSE)</f>
        <v>51000</v>
      </c>
      <c r="F194" s="191">
        <f t="shared" si="4"/>
        <v>0</v>
      </c>
      <c r="G194" s="206">
        <f t="shared" si="5"/>
        <v>0</v>
      </c>
    </row>
    <row r="195" spans="1:7" hidden="1" x14ac:dyDescent="0.3">
      <c r="A195" s="177" t="s">
        <v>162</v>
      </c>
      <c r="B195" s="177" t="s">
        <v>1969</v>
      </c>
      <c r="C195" s="78" t="s">
        <v>1970</v>
      </c>
      <c r="D195" s="178">
        <f>VLOOKUP(B195,'Planning TB 2024'!$B$14:$Q$888,16,FALSE)</f>
        <v>25169113.260000002</v>
      </c>
      <c r="E195" s="178">
        <f>VLOOKUP(B195,'Planning TB 2025'!$B$14:$Q$574,16,FALSE)</f>
        <v>26416372.84</v>
      </c>
      <c r="F195" s="191">
        <f t="shared" si="4"/>
        <v>1247259.5799999982</v>
      </c>
      <c r="G195" s="206">
        <f t="shared" si="5"/>
        <v>4.9555165774640329E-2</v>
      </c>
    </row>
    <row r="196" spans="1:7" hidden="1" x14ac:dyDescent="0.3">
      <c r="A196" s="177" t="s">
        <v>162</v>
      </c>
      <c r="B196" s="177" t="s">
        <v>1971</v>
      </c>
      <c r="C196" s="78" t="s">
        <v>1972</v>
      </c>
      <c r="D196" s="178">
        <f>VLOOKUP(B196,'Planning TB 2024'!$B$14:$Q$888,16,FALSE)</f>
        <v>218000</v>
      </c>
      <c r="E196" s="178">
        <f>VLOOKUP(B196,'Planning TB 2025'!$B$14:$Q$574,16,FALSE)</f>
        <v>218000</v>
      </c>
      <c r="F196" s="191">
        <f t="shared" ref="F196:F259" si="6">E196-D196</f>
        <v>0</v>
      </c>
      <c r="G196" s="206">
        <f t="shared" ref="G196:G255" si="7">F196/D196</f>
        <v>0</v>
      </c>
    </row>
    <row r="197" spans="1:7" hidden="1" x14ac:dyDescent="0.3">
      <c r="A197" s="177" t="s">
        <v>162</v>
      </c>
      <c r="B197" s="177" t="s">
        <v>1973</v>
      </c>
      <c r="C197" s="78" t="s">
        <v>1974</v>
      </c>
      <c r="D197" s="178">
        <f>VLOOKUP(B197,'Planning TB 2024'!$B$14:$Q$888,16,FALSE)</f>
        <v>16262898.5641743</v>
      </c>
      <c r="E197" s="178">
        <f>VLOOKUP(B197,'Planning TB 2025'!$B$14:$Q$574,16,FALSE)</f>
        <v>16344399.661764299</v>
      </c>
      <c r="F197" s="191">
        <f t="shared" si="6"/>
        <v>81501.097589999437</v>
      </c>
      <c r="G197" s="206">
        <f t="shared" si="7"/>
        <v>5.0114742626224708E-3</v>
      </c>
    </row>
    <row r="198" spans="1:7" hidden="1" x14ac:dyDescent="0.3">
      <c r="A198" s="177" t="s">
        <v>162</v>
      </c>
      <c r="B198" s="177" t="s">
        <v>1975</v>
      </c>
      <c r="C198" s="78" t="s">
        <v>1976</v>
      </c>
      <c r="D198" s="178">
        <f>VLOOKUP(B198,'Planning TB 2024'!$B$14:$Q$888,16,FALSE)</f>
        <v>3479571.1180675002</v>
      </c>
      <c r="E198" s="178">
        <f>VLOOKUP(B198,'Planning TB 2025'!$B$14:$Q$574,16,FALSE)</f>
        <v>2096424.1968801999</v>
      </c>
      <c r="F198" s="191">
        <f t="shared" si="6"/>
        <v>-1383146.9211873002</v>
      </c>
      <c r="G198" s="206">
        <f t="shared" si="7"/>
        <v>-0.3975050011207929</v>
      </c>
    </row>
    <row r="199" spans="1:7" hidden="1" x14ac:dyDescent="0.3">
      <c r="A199" s="177" t="s">
        <v>162</v>
      </c>
      <c r="B199" s="177" t="s">
        <v>1977</v>
      </c>
      <c r="C199" s="78" t="s">
        <v>1978</v>
      </c>
      <c r="D199" s="178">
        <f>VLOOKUP(B199,'Planning TB 2024'!$B$14:$Q$888,16,FALSE)</f>
        <v>575753429.36000013</v>
      </c>
      <c r="E199" s="178">
        <f>VLOOKUP(B199,'Planning TB 2025'!$B$14:$Q$574,16,FALSE)</f>
        <v>555112497.9200002</v>
      </c>
      <c r="F199" s="191">
        <f t="shared" si="6"/>
        <v>-20640931.439999938</v>
      </c>
      <c r="G199" s="206">
        <f t="shared" si="7"/>
        <v>-3.5850296997699385E-2</v>
      </c>
    </row>
    <row r="200" spans="1:7" hidden="1" x14ac:dyDescent="0.3">
      <c r="A200" s="177" t="s">
        <v>162</v>
      </c>
      <c r="B200" s="177" t="s">
        <v>1979</v>
      </c>
      <c r="C200" s="78" t="s">
        <v>1980</v>
      </c>
      <c r="D200" s="178">
        <f>VLOOKUP(B200,'Planning TB 2024'!$B$14:$Q$888,16,FALSE)</f>
        <v>0</v>
      </c>
      <c r="E200" s="178" t="e">
        <f>VLOOKUP(B200,'Planning TB 2025'!$B$14:$Q$574,16,FALSE)</f>
        <v>#N/A</v>
      </c>
      <c r="F200" s="191" t="e">
        <f t="shared" si="6"/>
        <v>#N/A</v>
      </c>
      <c r="G200" s="206" t="e">
        <f t="shared" si="7"/>
        <v>#N/A</v>
      </c>
    </row>
    <row r="201" spans="1:7" hidden="1" x14ac:dyDescent="0.3">
      <c r="A201" s="177" t="s">
        <v>162</v>
      </c>
      <c r="B201" s="177" t="s">
        <v>1981</v>
      </c>
      <c r="C201" s="78" t="s">
        <v>1982</v>
      </c>
      <c r="D201" s="178">
        <f>VLOOKUP(B201,'Planning TB 2024'!$B$14:$Q$888,16,FALSE)</f>
        <v>17551857.594532199</v>
      </c>
      <c r="E201" s="178">
        <f>VLOOKUP(B201,'Planning TB 2025'!$B$14:$Q$574,16,FALSE)</f>
        <v>19730161.744113896</v>
      </c>
      <c r="F201" s="191">
        <f t="shared" si="6"/>
        <v>2178304.1495816968</v>
      </c>
      <c r="G201" s="206">
        <f t="shared" si="7"/>
        <v>0.12410675837868511</v>
      </c>
    </row>
    <row r="202" spans="1:7" hidden="1" x14ac:dyDescent="0.3">
      <c r="A202" s="177" t="s">
        <v>162</v>
      </c>
      <c r="B202" s="177" t="s">
        <v>1983</v>
      </c>
      <c r="C202" s="78" t="s">
        <v>1984</v>
      </c>
      <c r="D202" s="178">
        <f>VLOOKUP(B202,'Planning TB 2024'!$B$14:$Q$888,16,FALSE)</f>
        <v>8805493.7946029995</v>
      </c>
      <c r="E202" s="178">
        <f>VLOOKUP(B202,'Planning TB 2025'!$B$14:$Q$574,16,FALSE)</f>
        <v>9202341.4263426997</v>
      </c>
      <c r="F202" s="191">
        <f t="shared" si="6"/>
        <v>396847.63173970021</v>
      </c>
      <c r="G202" s="206">
        <f t="shared" si="7"/>
        <v>4.5068185952607594E-2</v>
      </c>
    </row>
    <row r="203" spans="1:7" hidden="1" x14ac:dyDescent="0.3">
      <c r="A203" s="177" t="s">
        <v>162</v>
      </c>
      <c r="B203" s="177" t="s">
        <v>1985</v>
      </c>
      <c r="C203" s="78" t="s">
        <v>1986</v>
      </c>
      <c r="D203" s="178">
        <f>VLOOKUP(B203,'Planning TB 2024'!$B$14:$Q$888,16,FALSE)</f>
        <v>19022856.848927405</v>
      </c>
      <c r="E203" s="178">
        <f>VLOOKUP(B203,'Planning TB 2025'!$B$14:$Q$574,16,FALSE)</f>
        <v>20023493.7974893</v>
      </c>
      <c r="F203" s="191">
        <f t="shared" si="6"/>
        <v>1000636.9485618956</v>
      </c>
      <c r="G203" s="206">
        <f t="shared" si="7"/>
        <v>5.2601822981090042E-2</v>
      </c>
    </row>
    <row r="204" spans="1:7" hidden="1" x14ac:dyDescent="0.3">
      <c r="A204" s="177" t="s">
        <v>162</v>
      </c>
      <c r="B204" s="177" t="s">
        <v>1987</v>
      </c>
      <c r="C204" s="78" t="s">
        <v>1988</v>
      </c>
      <c r="D204" s="178">
        <f>VLOOKUP(B204,'Planning TB 2024'!$B$14:$Q$888,16,FALSE)</f>
        <v>2893994.4539176999</v>
      </c>
      <c r="E204" s="178">
        <f>VLOOKUP(B204,'Planning TB 2025'!$B$14:$Q$574,16,FALSE)</f>
        <v>3101086.3363860995</v>
      </c>
      <c r="F204" s="191">
        <f t="shared" si="6"/>
        <v>207091.88246839959</v>
      </c>
      <c r="G204" s="206">
        <f t="shared" si="7"/>
        <v>7.1559184292164832E-2</v>
      </c>
    </row>
    <row r="205" spans="1:7" hidden="1" x14ac:dyDescent="0.3">
      <c r="A205" s="177" t="s">
        <v>162</v>
      </c>
      <c r="B205" s="177" t="s">
        <v>1989</v>
      </c>
      <c r="C205" s="78" t="s">
        <v>1990</v>
      </c>
      <c r="D205" s="178">
        <f>VLOOKUP(B205,'Planning TB 2024'!$B$14:$Q$888,16,FALSE)</f>
        <v>93729917.308019906</v>
      </c>
      <c r="E205" s="178">
        <f>VLOOKUP(B205,'Planning TB 2025'!$B$14:$Q$574,16,FALSE)</f>
        <v>98436584.695667803</v>
      </c>
      <c r="F205" s="191">
        <f t="shared" si="6"/>
        <v>4706667.387647897</v>
      </c>
      <c r="G205" s="206">
        <f t="shared" si="7"/>
        <v>5.0215209005045988E-2</v>
      </c>
    </row>
    <row r="206" spans="1:7" hidden="1" x14ac:dyDescent="0.3">
      <c r="A206" s="177" t="s">
        <v>162</v>
      </c>
      <c r="B206" s="177" t="s">
        <v>1991</v>
      </c>
      <c r="C206" s="78" t="s">
        <v>1992</v>
      </c>
      <c r="D206" s="178">
        <f>VLOOKUP(B206,'Planning TB 2024'!$B$14:$Q$888,16,FALSE)</f>
        <v>7207257</v>
      </c>
      <c r="E206" s="178">
        <f>VLOOKUP(B206,'Planning TB 2025'!$B$14:$Q$574,16,FALSE)</f>
        <v>7207257</v>
      </c>
      <c r="F206" s="191">
        <f t="shared" si="6"/>
        <v>0</v>
      </c>
      <c r="G206" s="206">
        <f t="shared" si="7"/>
        <v>0</v>
      </c>
    </row>
    <row r="207" spans="1:7" hidden="1" x14ac:dyDescent="0.3">
      <c r="A207" s="177" t="s">
        <v>162</v>
      </c>
      <c r="B207" s="177" t="s">
        <v>1993</v>
      </c>
      <c r="C207" s="78" t="s">
        <v>1994</v>
      </c>
      <c r="D207" s="178">
        <f>VLOOKUP(B207,'Planning TB 2024'!$B$14:$Q$888,16,FALSE)</f>
        <v>13112728.680000002</v>
      </c>
      <c r="E207" s="178">
        <f>VLOOKUP(B207,'Planning TB 2025'!$B$14:$Q$574,16,FALSE)</f>
        <v>13112728.680000002</v>
      </c>
      <c r="F207" s="191">
        <f t="shared" si="6"/>
        <v>0</v>
      </c>
      <c r="G207" s="206">
        <f t="shared" si="7"/>
        <v>0</v>
      </c>
    </row>
    <row r="208" spans="1:7" hidden="1" x14ac:dyDescent="0.3">
      <c r="A208" s="177" t="s">
        <v>162</v>
      </c>
      <c r="B208" s="177" t="s">
        <v>1995</v>
      </c>
      <c r="C208" s="78" t="s">
        <v>1996</v>
      </c>
      <c r="D208" s="178">
        <f>VLOOKUP(B208,'Planning TB 2024'!$B$14:$Q$888,16,FALSE)</f>
        <v>380640.48</v>
      </c>
      <c r="E208" s="178">
        <f>VLOOKUP(B208,'Planning TB 2025'!$B$14:$Q$574,16,FALSE)</f>
        <v>380640.48</v>
      </c>
      <c r="F208" s="191">
        <f t="shared" si="6"/>
        <v>0</v>
      </c>
      <c r="G208" s="206">
        <f t="shared" si="7"/>
        <v>0</v>
      </c>
    </row>
    <row r="209" spans="1:7" hidden="1" x14ac:dyDescent="0.3">
      <c r="A209" s="177" t="s">
        <v>162</v>
      </c>
      <c r="B209" s="177" t="s">
        <v>1997</v>
      </c>
      <c r="C209" s="78" t="s">
        <v>1998</v>
      </c>
      <c r="D209" s="178">
        <f>VLOOKUP(B209,'Planning TB 2024'!$B$14:$Q$888,16,FALSE)</f>
        <v>3215664</v>
      </c>
      <c r="E209" s="178">
        <f>VLOOKUP(B209,'Planning TB 2025'!$B$14:$Q$574,16,FALSE)</f>
        <v>3215664</v>
      </c>
      <c r="F209" s="191">
        <f t="shared" si="6"/>
        <v>0</v>
      </c>
      <c r="G209" s="206">
        <f t="shared" si="7"/>
        <v>0</v>
      </c>
    </row>
    <row r="210" spans="1:7" hidden="1" x14ac:dyDescent="0.3">
      <c r="A210" s="177" t="s">
        <v>162</v>
      </c>
      <c r="B210" s="177" t="s">
        <v>1999</v>
      </c>
      <c r="C210" s="78" t="s">
        <v>2000</v>
      </c>
      <c r="D210" s="178">
        <f>VLOOKUP(B210,'Planning TB 2024'!$B$14:$Q$888,16,FALSE)</f>
        <v>0</v>
      </c>
      <c r="E210" s="178" t="e">
        <f>VLOOKUP(B210,'Planning TB 2025'!$B$14:$Q$574,16,FALSE)</f>
        <v>#N/A</v>
      </c>
      <c r="F210" s="191" t="e">
        <f t="shared" si="6"/>
        <v>#N/A</v>
      </c>
      <c r="G210" s="206" t="e">
        <f t="shared" si="7"/>
        <v>#N/A</v>
      </c>
    </row>
    <row r="211" spans="1:7" hidden="1" x14ac:dyDescent="0.3">
      <c r="A211" s="177" t="s">
        <v>162</v>
      </c>
      <c r="B211" s="177" t="s">
        <v>2001</v>
      </c>
      <c r="C211" s="78" t="s">
        <v>2002</v>
      </c>
      <c r="D211" s="178">
        <f>VLOOKUP(B211,'Planning TB 2024'!$B$14:$Q$888,16,FALSE)</f>
        <v>118921548</v>
      </c>
      <c r="E211" s="178">
        <f>VLOOKUP(B211,'Planning TB 2025'!$B$14:$Q$574,16,FALSE)</f>
        <v>118921548</v>
      </c>
      <c r="F211" s="191">
        <f t="shared" si="6"/>
        <v>0</v>
      </c>
      <c r="G211" s="206">
        <f t="shared" si="7"/>
        <v>0</v>
      </c>
    </row>
    <row r="212" spans="1:7" hidden="1" x14ac:dyDescent="0.3">
      <c r="A212" s="177" t="s">
        <v>162</v>
      </c>
      <c r="B212" s="177" t="s">
        <v>2003</v>
      </c>
      <c r="C212" s="78" t="s">
        <v>2004</v>
      </c>
      <c r="D212" s="178">
        <f>VLOOKUP(B212,'Planning TB 2024'!$B$14:$Q$888,16,FALSE)</f>
        <v>47257310.493333302</v>
      </c>
      <c r="E212" s="178">
        <f>VLOOKUP(B212,'Planning TB 2025'!$B$14:$Q$574,16,FALSE)</f>
        <v>59081383.057777606</v>
      </c>
      <c r="F212" s="191">
        <f t="shared" si="6"/>
        <v>11824072.564444304</v>
      </c>
      <c r="G212" s="206">
        <f t="shared" si="7"/>
        <v>0.25020621023518369</v>
      </c>
    </row>
    <row r="213" spans="1:7" hidden="1" x14ac:dyDescent="0.3">
      <c r="A213" s="177" t="s">
        <v>162</v>
      </c>
      <c r="B213" s="177" t="s">
        <v>2005</v>
      </c>
      <c r="C213" s="78" t="s">
        <v>2006</v>
      </c>
      <c r="D213" s="178">
        <f>VLOOKUP(B213,'Planning TB 2024'!$B$14:$Q$888,16,FALSE)</f>
        <v>30578454.352835797</v>
      </c>
      <c r="E213" s="178">
        <f>VLOOKUP(B213,'Planning TB 2025'!$B$14:$Q$574,16,FALSE)</f>
        <v>38396077.685373306</v>
      </c>
      <c r="F213" s="191">
        <f t="shared" si="6"/>
        <v>7817623.3325375095</v>
      </c>
      <c r="G213" s="206">
        <f t="shared" si="7"/>
        <v>0.25565789697321689</v>
      </c>
    </row>
    <row r="214" spans="1:7" hidden="1" x14ac:dyDescent="0.3">
      <c r="A214" s="177" t="s">
        <v>162</v>
      </c>
      <c r="B214" s="177" t="s">
        <v>2007</v>
      </c>
      <c r="C214" s="78" t="s">
        <v>2008</v>
      </c>
      <c r="D214" s="178">
        <f>VLOOKUP(B214,'Planning TB 2024'!$B$14:$Q$888,16,FALSE)</f>
        <v>0</v>
      </c>
      <c r="E214" s="178" t="e">
        <f>VLOOKUP(B214,'Planning TB 2025'!$B$14:$Q$574,16,FALSE)</f>
        <v>#N/A</v>
      </c>
      <c r="F214" s="191" t="e">
        <f t="shared" si="6"/>
        <v>#N/A</v>
      </c>
      <c r="G214" s="206" t="e">
        <f t="shared" si="7"/>
        <v>#N/A</v>
      </c>
    </row>
    <row r="215" spans="1:7" hidden="1" x14ac:dyDescent="0.3">
      <c r="A215" s="177" t="s">
        <v>162</v>
      </c>
      <c r="B215" s="177" t="s">
        <v>2009</v>
      </c>
      <c r="C215" s="78" t="s">
        <v>2010</v>
      </c>
      <c r="D215" s="178">
        <f>VLOOKUP(B215,'Planning TB 2024'!$B$14:$Q$888,16,FALSE)</f>
        <v>274633000</v>
      </c>
      <c r="E215" s="178">
        <f>VLOOKUP(B215,'Planning TB 2025'!$B$14:$Q$574,16,FALSE)</f>
        <v>279505000</v>
      </c>
      <c r="F215" s="191">
        <f t="shared" si="6"/>
        <v>4872000</v>
      </c>
      <c r="G215" s="206">
        <f t="shared" si="7"/>
        <v>1.7740038524139488E-2</v>
      </c>
    </row>
    <row r="216" spans="1:7" hidden="1" x14ac:dyDescent="0.3">
      <c r="A216" s="177" t="s">
        <v>162</v>
      </c>
      <c r="B216" s="177" t="s">
        <v>2011</v>
      </c>
      <c r="C216" s="78" t="s">
        <v>2012</v>
      </c>
      <c r="D216" s="178">
        <f>VLOOKUP(B216,'Planning TB 2024'!$B$14:$Q$888,16,FALSE)</f>
        <v>0</v>
      </c>
      <c r="E216" s="178" t="e">
        <f>VLOOKUP(B216,'Planning TB 2025'!$B$14:$Q$574,16,FALSE)</f>
        <v>#N/A</v>
      </c>
      <c r="F216" s="191" t="e">
        <f t="shared" si="6"/>
        <v>#N/A</v>
      </c>
      <c r="G216" s="206" t="e">
        <f t="shared" si="7"/>
        <v>#N/A</v>
      </c>
    </row>
    <row r="217" spans="1:7" hidden="1" x14ac:dyDescent="0.3">
      <c r="A217" s="177" t="s">
        <v>162</v>
      </c>
      <c r="B217" s="177" t="s">
        <v>2013</v>
      </c>
      <c r="C217" s="78" t="s">
        <v>2014</v>
      </c>
      <c r="D217" s="178">
        <f>VLOOKUP(B217,'Planning TB 2024'!$B$14:$Q$888,16,FALSE)</f>
        <v>0</v>
      </c>
      <c r="E217" s="178" t="e">
        <f>VLOOKUP(B217,'Planning TB 2025'!$B$14:$Q$574,16,FALSE)</f>
        <v>#N/A</v>
      </c>
      <c r="F217" s="191" t="e">
        <f t="shared" si="6"/>
        <v>#N/A</v>
      </c>
      <c r="G217" s="206" t="e">
        <f t="shared" si="7"/>
        <v>#N/A</v>
      </c>
    </row>
    <row r="218" spans="1:7" hidden="1" x14ac:dyDescent="0.3">
      <c r="A218" s="177" t="s">
        <v>162</v>
      </c>
      <c r="B218" s="177" t="s">
        <v>2015</v>
      </c>
      <c r="C218" s="78" t="s">
        <v>2016</v>
      </c>
      <c r="D218" s="178">
        <f>VLOOKUP(B218,'Planning TB 2024'!$B$14:$Q$888,16,FALSE)</f>
        <v>20497204.218800601</v>
      </c>
      <c r="E218" s="178">
        <f>VLOOKUP(B218,'Planning TB 2025'!$B$14:$Q$574,16,FALSE)</f>
        <v>3874219.5197991994</v>
      </c>
      <c r="F218" s="191">
        <f t="shared" si="6"/>
        <v>-16622984.699001402</v>
      </c>
      <c r="G218" s="206">
        <f t="shared" si="7"/>
        <v>-0.81098790457258274</v>
      </c>
    </row>
    <row r="219" spans="1:7" hidden="1" x14ac:dyDescent="0.3">
      <c r="A219" s="177" t="s">
        <v>162</v>
      </c>
      <c r="B219" s="177" t="s">
        <v>2017</v>
      </c>
      <c r="C219" s="78" t="s">
        <v>2018</v>
      </c>
      <c r="D219" s="178">
        <f>VLOOKUP(B219,'Planning TB 2024'!$B$14:$Q$888,16,FALSE)</f>
        <v>6277418.9415084003</v>
      </c>
      <c r="E219" s="178">
        <f>VLOOKUP(B219,'Planning TB 2025'!$B$14:$Q$574,16,FALSE)</f>
        <v>6571633.3945866004</v>
      </c>
      <c r="F219" s="191">
        <f t="shared" si="6"/>
        <v>294214.45307820011</v>
      </c>
      <c r="G219" s="206">
        <f t="shared" si="7"/>
        <v>4.6868698077924265E-2</v>
      </c>
    </row>
    <row r="220" spans="1:7" hidden="1" x14ac:dyDescent="0.3">
      <c r="A220" s="177" t="s">
        <v>162</v>
      </c>
      <c r="B220" s="177" t="s">
        <v>2019</v>
      </c>
      <c r="C220" s="78" t="s">
        <v>2020</v>
      </c>
      <c r="D220" s="178">
        <f>VLOOKUP(B220,'Planning TB 2024'!$B$14:$Q$888,16,FALSE)</f>
        <v>0</v>
      </c>
      <c r="E220" s="178" t="e">
        <f>VLOOKUP(B220,'Planning TB 2025'!$B$14:$Q$574,16,FALSE)</f>
        <v>#N/A</v>
      </c>
      <c r="F220" s="191" t="e">
        <f t="shared" si="6"/>
        <v>#N/A</v>
      </c>
      <c r="G220" s="206" t="e">
        <f t="shared" si="7"/>
        <v>#N/A</v>
      </c>
    </row>
    <row r="221" spans="1:7" hidden="1" x14ac:dyDescent="0.3">
      <c r="A221" s="177" t="s">
        <v>162</v>
      </c>
      <c r="B221" s="177" t="s">
        <v>2021</v>
      </c>
      <c r="C221" s="78" t="s">
        <v>2022</v>
      </c>
      <c r="D221" s="178">
        <f>VLOOKUP(B221,'Planning TB 2024'!$B$14:$Q$888,16,FALSE)</f>
        <v>314137268.09454364</v>
      </c>
      <c r="E221" s="178">
        <f>VLOOKUP(B221,'Planning TB 2025'!$B$14:$Q$574,16,FALSE)</f>
        <v>359152636.23206621</v>
      </c>
      <c r="F221" s="191">
        <f t="shared" si="6"/>
        <v>45015368.137522578</v>
      </c>
      <c r="G221" s="206">
        <f t="shared" si="7"/>
        <v>0.14329840076146147</v>
      </c>
    </row>
    <row r="222" spans="1:7" hidden="1" x14ac:dyDescent="0.3">
      <c r="A222" s="177" t="s">
        <v>162</v>
      </c>
      <c r="B222" s="177" t="s">
        <v>2023</v>
      </c>
      <c r="C222" s="78" t="s">
        <v>2024</v>
      </c>
      <c r="D222" s="178">
        <f>VLOOKUP(B222,'Planning TB 2024'!$B$14:$Q$888,16,FALSE)</f>
        <v>0</v>
      </c>
      <c r="E222" s="178" t="e">
        <f>VLOOKUP(B222,'Planning TB 2025'!$B$14:$Q$574,16,FALSE)</f>
        <v>#N/A</v>
      </c>
      <c r="F222" s="191" t="e">
        <f t="shared" si="6"/>
        <v>#N/A</v>
      </c>
      <c r="G222" s="206" t="e">
        <f t="shared" si="7"/>
        <v>#N/A</v>
      </c>
    </row>
    <row r="223" spans="1:7" hidden="1" x14ac:dyDescent="0.3">
      <c r="A223" s="177" t="s">
        <v>162</v>
      </c>
      <c r="B223" s="177" t="s">
        <v>2025</v>
      </c>
      <c r="C223" s="78" t="s">
        <v>2026</v>
      </c>
      <c r="D223" s="178">
        <f>VLOOKUP(B223,'Planning TB 2024'!$B$14:$Q$888,16,FALSE)</f>
        <v>0</v>
      </c>
      <c r="E223" s="178" t="e">
        <f>VLOOKUP(B223,'Planning TB 2025'!$B$14:$Q$574,16,FALSE)</f>
        <v>#N/A</v>
      </c>
      <c r="F223" s="191" t="e">
        <f t="shared" si="6"/>
        <v>#N/A</v>
      </c>
      <c r="G223" s="206" t="e">
        <f t="shared" si="7"/>
        <v>#N/A</v>
      </c>
    </row>
    <row r="224" spans="1:7" hidden="1" x14ac:dyDescent="0.3">
      <c r="A224" s="177" t="s">
        <v>162</v>
      </c>
      <c r="B224" s="177" t="s">
        <v>2027</v>
      </c>
      <c r="C224" s="78" t="s">
        <v>2028</v>
      </c>
      <c r="D224" s="178">
        <f>VLOOKUP(B224,'Planning TB 2024'!$B$14:$Q$888,16,FALSE)</f>
        <v>7217493.130069701</v>
      </c>
      <c r="E224" s="178">
        <f>VLOOKUP(B224,'Planning TB 2025'!$B$14:$Q$574,16,FALSE)</f>
        <v>5140524.2989773992</v>
      </c>
      <c r="F224" s="191">
        <f t="shared" si="6"/>
        <v>-2076968.8310923018</v>
      </c>
      <c r="G224" s="206">
        <f t="shared" si="7"/>
        <v>-0.28776872989863783</v>
      </c>
    </row>
    <row r="225" spans="1:7" hidden="1" x14ac:dyDescent="0.3">
      <c r="A225" s="177" t="s">
        <v>162</v>
      </c>
      <c r="B225" s="177" t="s">
        <v>2029</v>
      </c>
      <c r="C225" s="78" t="s">
        <v>2030</v>
      </c>
      <c r="D225" s="178">
        <f>VLOOKUP(B225,'Planning TB 2024'!$B$14:$Q$888,16,FALSE)</f>
        <v>0</v>
      </c>
      <c r="E225" s="178" t="e">
        <f>VLOOKUP(B225,'Planning TB 2025'!$B$14:$Q$574,16,FALSE)</f>
        <v>#N/A</v>
      </c>
      <c r="F225" s="191" t="e">
        <f t="shared" si="6"/>
        <v>#N/A</v>
      </c>
      <c r="G225" s="206" t="e">
        <f t="shared" si="7"/>
        <v>#N/A</v>
      </c>
    </row>
    <row r="226" spans="1:7" hidden="1" x14ac:dyDescent="0.3">
      <c r="A226" s="177" t="s">
        <v>162</v>
      </c>
      <c r="B226" s="177" t="s">
        <v>2031</v>
      </c>
      <c r="C226" s="78" t="s">
        <v>2032</v>
      </c>
      <c r="D226" s="178">
        <f>VLOOKUP(B226,'Planning TB 2024'!$B$14:$Q$888,16,FALSE)</f>
        <v>44361228.586666696</v>
      </c>
      <c r="E226" s="178">
        <f>VLOOKUP(B226,'Planning TB 2025'!$B$14:$Q$574,16,FALSE)</f>
        <v>54683257.528889403</v>
      </c>
      <c r="F226" s="191">
        <f t="shared" si="6"/>
        <v>10322028.942222707</v>
      </c>
      <c r="G226" s="206">
        <f t="shared" si="7"/>
        <v>0.23268131363983724</v>
      </c>
    </row>
    <row r="227" spans="1:7" hidden="1" x14ac:dyDescent="0.3">
      <c r="A227" s="177" t="s">
        <v>162</v>
      </c>
      <c r="B227" s="177" t="s">
        <v>2033</v>
      </c>
      <c r="C227" s="78" t="s">
        <v>2034</v>
      </c>
      <c r="D227" s="178">
        <f>VLOOKUP(B227,'Planning TB 2024'!$B$14:$Q$888,16,FALSE)</f>
        <v>12944771.620000001</v>
      </c>
      <c r="E227" s="178">
        <f>VLOOKUP(B227,'Planning TB 2025'!$B$14:$Q$574,16,FALSE)</f>
        <v>13683062.686323402</v>
      </c>
      <c r="F227" s="191">
        <f t="shared" si="6"/>
        <v>738291.06632340141</v>
      </c>
      <c r="G227" s="206">
        <f t="shared" si="7"/>
        <v>5.7033919793743053E-2</v>
      </c>
    </row>
    <row r="228" spans="1:7" hidden="1" x14ac:dyDescent="0.3">
      <c r="A228" s="177" t="s">
        <v>162</v>
      </c>
      <c r="B228" s="177" t="s">
        <v>2035</v>
      </c>
      <c r="C228" s="78" t="s">
        <v>2036</v>
      </c>
      <c r="D228" s="178">
        <f>VLOOKUP(B228,'Planning TB 2024'!$B$14:$Q$888,16,FALSE)</f>
        <v>101246862.03003901</v>
      </c>
      <c r="E228" s="178">
        <f>VLOOKUP(B228,'Planning TB 2025'!$B$14:$Q$574,16,FALSE)</f>
        <v>347467045.04585248</v>
      </c>
      <c r="F228" s="191">
        <f t="shared" si="6"/>
        <v>246220183.01581347</v>
      </c>
      <c r="G228" s="206">
        <f t="shared" si="7"/>
        <v>2.4318796462330083</v>
      </c>
    </row>
    <row r="229" spans="1:7" hidden="1" x14ac:dyDescent="0.3">
      <c r="A229" s="177" t="s">
        <v>162</v>
      </c>
      <c r="B229" s="177" t="s">
        <v>2037</v>
      </c>
      <c r="C229" s="78" t="s">
        <v>2038</v>
      </c>
      <c r="D229" s="178">
        <f>VLOOKUP(B229,'Planning TB 2024'!$B$14:$Q$888,16,FALSE)</f>
        <v>46440454</v>
      </c>
      <c r="E229" s="178">
        <f>VLOOKUP(B229,'Planning TB 2025'!$B$14:$Q$574,16,FALSE)</f>
        <v>5737715</v>
      </c>
      <c r="F229" s="191">
        <f t="shared" si="6"/>
        <v>-40702739</v>
      </c>
      <c r="G229" s="206">
        <f t="shared" si="7"/>
        <v>-0.87645006657342328</v>
      </c>
    </row>
    <row r="230" spans="1:7" hidden="1" x14ac:dyDescent="0.3">
      <c r="A230" s="177" t="s">
        <v>162</v>
      </c>
      <c r="B230" s="177" t="s">
        <v>2039</v>
      </c>
      <c r="C230" s="78" t="s">
        <v>2040</v>
      </c>
      <c r="D230" s="178">
        <f>VLOOKUP(B230,'Planning TB 2024'!$B$14:$Q$888,16,FALSE)</f>
        <v>108252539</v>
      </c>
      <c r="E230" s="178">
        <f>VLOOKUP(B230,'Planning TB 2025'!$B$14:$Q$574,16,FALSE)</f>
        <v>59501758</v>
      </c>
      <c r="F230" s="191">
        <f t="shared" si="6"/>
        <v>-48750781</v>
      </c>
      <c r="G230" s="206">
        <f t="shared" si="7"/>
        <v>-0.45034307232276555</v>
      </c>
    </row>
    <row r="231" spans="1:7" hidden="1" x14ac:dyDescent="0.3">
      <c r="A231" s="177" t="s">
        <v>162</v>
      </c>
      <c r="B231" s="177" t="s">
        <v>2041</v>
      </c>
      <c r="C231" s="78" t="s">
        <v>2042</v>
      </c>
      <c r="D231" s="178">
        <f>VLOOKUP(B231,'Planning TB 2024'!$B$14:$Q$888,16,FALSE)</f>
        <v>14711646</v>
      </c>
      <c r="E231" s="178">
        <f>VLOOKUP(B231,'Planning TB 2025'!$B$14:$Q$574,16,FALSE)</f>
        <v>850074</v>
      </c>
      <c r="F231" s="191">
        <f t="shared" si="6"/>
        <v>-13861572</v>
      </c>
      <c r="G231" s="206">
        <f t="shared" si="7"/>
        <v>-0.9422176145347706</v>
      </c>
    </row>
    <row r="232" spans="1:7" hidden="1" x14ac:dyDescent="0.3">
      <c r="A232" s="177" t="s">
        <v>162</v>
      </c>
      <c r="B232" s="177" t="s">
        <v>2043</v>
      </c>
      <c r="C232" s="78" t="s">
        <v>2044</v>
      </c>
      <c r="D232" s="178">
        <f>VLOOKUP(B232,'Planning TB 2024'!$B$14:$Q$888,16,FALSE)</f>
        <v>8573.94</v>
      </c>
      <c r="E232" s="178">
        <f>VLOOKUP(B232,'Planning TB 2025'!$B$14:$Q$574,16,FALSE)</f>
        <v>8573.94</v>
      </c>
      <c r="F232" s="191">
        <f t="shared" si="6"/>
        <v>0</v>
      </c>
      <c r="G232" s="206">
        <f t="shared" si="7"/>
        <v>0</v>
      </c>
    </row>
    <row r="233" spans="1:7" hidden="1" x14ac:dyDescent="0.3">
      <c r="A233" s="177" t="s">
        <v>162</v>
      </c>
      <c r="B233" s="177" t="s">
        <v>2045</v>
      </c>
      <c r="C233" s="78" t="s">
        <v>2046</v>
      </c>
      <c r="D233" s="178">
        <f>VLOOKUP(B233,'Planning TB 2024'!$B$14:$Q$888,16,FALSE)</f>
        <v>6336000</v>
      </c>
      <c r="E233" s="178">
        <f>VLOOKUP(B233,'Planning TB 2025'!$B$14:$Q$574,16,FALSE)</f>
        <v>1584000</v>
      </c>
      <c r="F233" s="191">
        <f t="shared" si="6"/>
        <v>-4752000</v>
      </c>
      <c r="G233" s="206">
        <f t="shared" si="7"/>
        <v>-0.75</v>
      </c>
    </row>
    <row r="234" spans="1:7" hidden="1" x14ac:dyDescent="0.3">
      <c r="A234" s="177" t="s">
        <v>162</v>
      </c>
      <c r="B234" s="177" t="s">
        <v>2047</v>
      </c>
      <c r="C234" s="78" t="s">
        <v>2048</v>
      </c>
      <c r="D234" s="178">
        <f>VLOOKUP(B234,'Planning TB 2024'!$B$14:$Q$888,16,FALSE)</f>
        <v>740256</v>
      </c>
      <c r="E234" s="178">
        <f>VLOOKUP(B234,'Planning TB 2025'!$B$14:$Q$574,16,FALSE)</f>
        <v>711744</v>
      </c>
      <c r="F234" s="191">
        <f t="shared" si="6"/>
        <v>-28512</v>
      </c>
      <c r="G234" s="206">
        <f t="shared" si="7"/>
        <v>-3.8516405135520682E-2</v>
      </c>
    </row>
    <row r="235" spans="1:7" hidden="1" x14ac:dyDescent="0.3">
      <c r="A235" s="177" t="s">
        <v>162</v>
      </c>
      <c r="B235" s="177" t="s">
        <v>2049</v>
      </c>
      <c r="C235" s="78" t="s">
        <v>2050</v>
      </c>
      <c r="D235" s="178">
        <f>VLOOKUP(B235,'Planning TB 2024'!$B$14:$Q$888,16,FALSE)</f>
        <v>57709654.640000001</v>
      </c>
      <c r="E235" s="178">
        <f>VLOOKUP(B235,'Planning TB 2025'!$B$14:$Q$574,16,FALSE)</f>
        <v>64800812.926666699</v>
      </c>
      <c r="F235" s="191">
        <f t="shared" si="6"/>
        <v>7091158.2866666988</v>
      </c>
      <c r="G235" s="206">
        <f t="shared" si="7"/>
        <v>0.12287646375467373</v>
      </c>
    </row>
    <row r="236" spans="1:7" hidden="1" x14ac:dyDescent="0.3">
      <c r="A236" s="177" t="s">
        <v>162</v>
      </c>
      <c r="B236" s="177" t="s">
        <v>2051</v>
      </c>
      <c r="C236" s="78" t="s">
        <v>2052</v>
      </c>
      <c r="D236" s="178">
        <f>VLOOKUP(B236,'Planning TB 2024'!$B$14:$Q$888,16,FALSE)</f>
        <v>409602</v>
      </c>
      <c r="E236" s="178">
        <f>VLOOKUP(B236,'Planning TB 2025'!$B$14:$Q$574,16,FALSE)</f>
        <v>409362</v>
      </c>
      <c r="F236" s="191">
        <f t="shared" si="6"/>
        <v>-240</v>
      </c>
      <c r="G236" s="206">
        <f t="shared" si="7"/>
        <v>-5.8593463899102056E-4</v>
      </c>
    </row>
    <row r="237" spans="1:7" hidden="1" x14ac:dyDescent="0.3">
      <c r="A237" s="177" t="s">
        <v>162</v>
      </c>
      <c r="B237" s="177" t="s">
        <v>2053</v>
      </c>
      <c r="C237" s="78" t="s">
        <v>2054</v>
      </c>
      <c r="D237" s="178">
        <f>VLOOKUP(B237,'Planning TB 2024'!$B$14:$Q$888,16,FALSE)</f>
        <v>5509612128.3199997</v>
      </c>
      <c r="E237" s="178">
        <f>VLOOKUP(B237,'Planning TB 2025'!$B$14:$Q$574,16,FALSE)</f>
        <v>5150975723.4500008</v>
      </c>
      <c r="F237" s="191">
        <f t="shared" si="6"/>
        <v>-358636404.86999893</v>
      </c>
      <c r="G237" s="206">
        <f t="shared" si="7"/>
        <v>-6.5092858901367887E-2</v>
      </c>
    </row>
    <row r="238" spans="1:7" hidden="1" x14ac:dyDescent="0.3">
      <c r="A238" s="177" t="s">
        <v>162</v>
      </c>
      <c r="B238" s="177" t="s">
        <v>2055</v>
      </c>
      <c r="C238" s="78" t="s">
        <v>2056</v>
      </c>
      <c r="D238" s="178">
        <f>VLOOKUP(B238,'Planning TB 2024'!$B$14:$Q$888,16,FALSE)</f>
        <v>490930480.19225508</v>
      </c>
      <c r="E238" s="178">
        <f>VLOOKUP(B238,'Planning TB 2025'!$B$14:$Q$574,16,FALSE)</f>
        <v>626827434.83821642</v>
      </c>
      <c r="F238" s="191">
        <f t="shared" si="6"/>
        <v>135896954.64596134</v>
      </c>
      <c r="G238" s="206">
        <f t="shared" si="7"/>
        <v>0.27681506879088508</v>
      </c>
    </row>
    <row r="239" spans="1:7" hidden="1" x14ac:dyDescent="0.3">
      <c r="A239" s="177" t="s">
        <v>162</v>
      </c>
      <c r="B239" s="177" t="s">
        <v>2057</v>
      </c>
      <c r="C239" s="78" t="s">
        <v>389</v>
      </c>
      <c r="D239" s="178">
        <f>VLOOKUP(B239,'Planning TB 2024'!$B$14:$Q$888,16,FALSE)</f>
        <v>2817941558.52</v>
      </c>
      <c r="E239" s="178">
        <f>VLOOKUP(B239,'Planning TB 2025'!$B$14:$Q$574,16,FALSE)</f>
        <v>3136940620.3700004</v>
      </c>
      <c r="F239" s="191">
        <f t="shared" si="6"/>
        <v>318999061.85000038</v>
      </c>
      <c r="G239" s="206">
        <f t="shared" si="7"/>
        <v>0.11320286642762763</v>
      </c>
    </row>
    <row r="240" spans="1:7" hidden="1" x14ac:dyDescent="0.3">
      <c r="A240" s="177" t="s">
        <v>162</v>
      </c>
      <c r="B240" s="177" t="s">
        <v>2058</v>
      </c>
      <c r="C240" s="78" t="s">
        <v>2059</v>
      </c>
      <c r="D240" s="178">
        <f>VLOOKUP(B240,'Planning TB 2024'!$B$14:$Q$888,16,FALSE)</f>
        <v>10247.759999999997</v>
      </c>
      <c r="E240" s="178">
        <f>VLOOKUP(B240,'Planning TB 2025'!$B$14:$Q$574,16,FALSE)</f>
        <v>-62195.740000000005</v>
      </c>
      <c r="F240" s="191">
        <f t="shared" si="6"/>
        <v>-72443.5</v>
      </c>
      <c r="G240" s="206">
        <f t="shared" si="7"/>
        <v>-7.0692034161611925</v>
      </c>
    </row>
    <row r="241" spans="1:9" hidden="1" x14ac:dyDescent="0.3">
      <c r="A241" s="177" t="s">
        <v>162</v>
      </c>
      <c r="B241" s="177" t="s">
        <v>2060</v>
      </c>
      <c r="C241" s="78" t="s">
        <v>2061</v>
      </c>
      <c r="D241" s="178">
        <f>VLOOKUP(B241,'Planning TB 2024'!$B$14:$Q$888,16,FALSE)</f>
        <v>-94513.439999999988</v>
      </c>
      <c r="E241" s="178">
        <f>VLOOKUP(B241,'Planning TB 2025'!$B$14:$Q$574,16,FALSE)</f>
        <v>-94513.439999999988</v>
      </c>
      <c r="F241" s="191">
        <f t="shared" si="6"/>
        <v>0</v>
      </c>
      <c r="G241" s="206">
        <f t="shared" si="7"/>
        <v>0</v>
      </c>
    </row>
    <row r="242" spans="1:9" hidden="1" x14ac:dyDescent="0.3">
      <c r="A242" s="177" t="s">
        <v>162</v>
      </c>
      <c r="B242" s="177" t="s">
        <v>2062</v>
      </c>
      <c r="C242" s="78" t="s">
        <v>2063</v>
      </c>
      <c r="D242" s="178">
        <f>VLOOKUP(B242,'Planning TB 2024'!$B$14:$Q$888,16,FALSE)</f>
        <v>556600261.43999994</v>
      </c>
      <c r="E242" s="178">
        <f>VLOOKUP(B242,'Planning TB 2025'!$B$14:$Q$574,16,FALSE)</f>
        <v>536501020.92000008</v>
      </c>
      <c r="F242" s="191">
        <f t="shared" si="6"/>
        <v>-20099240.519999862</v>
      </c>
      <c r="G242" s="206">
        <f t="shared" si="7"/>
        <v>-3.6110727774364346E-2</v>
      </c>
    </row>
    <row r="243" spans="1:9" hidden="1" x14ac:dyDescent="0.3">
      <c r="A243" s="177" t="s">
        <v>162</v>
      </c>
      <c r="B243" s="177" t="s">
        <v>2064</v>
      </c>
      <c r="C243" s="78" t="s">
        <v>2065</v>
      </c>
      <c r="D243" s="178">
        <f>VLOOKUP(B243,'Planning TB 2024'!$B$14:$Q$888,16,FALSE)</f>
        <v>91705524.839999974</v>
      </c>
      <c r="E243" s="178">
        <f>VLOOKUP(B243,'Planning TB 2025'!$B$14:$Q$574,16,FALSE)</f>
        <v>85051143.359999999</v>
      </c>
      <c r="F243" s="191">
        <f t="shared" si="6"/>
        <v>-6654381.4799999744</v>
      </c>
      <c r="G243" s="206">
        <f t="shared" si="7"/>
        <v>-7.256249273541561E-2</v>
      </c>
    </row>
    <row r="244" spans="1:9" hidden="1" x14ac:dyDescent="0.3">
      <c r="A244" s="177" t="s">
        <v>162</v>
      </c>
      <c r="B244" s="177" t="s">
        <v>2066</v>
      </c>
      <c r="C244" s="78" t="s">
        <v>2067</v>
      </c>
      <c r="D244" s="178">
        <f>VLOOKUP(B244,'Planning TB 2024'!$B$14:$Q$888,16,FALSE)</f>
        <v>17521642164.240002</v>
      </c>
      <c r="E244" s="178">
        <f>VLOOKUP(B244,'Planning TB 2025'!$B$14:$Q$574,16,FALSE)</f>
        <v>17965316237.330002</v>
      </c>
      <c r="F244" s="191">
        <f t="shared" si="6"/>
        <v>443674073.09000015</v>
      </c>
      <c r="G244" s="206">
        <f t="shared" si="7"/>
        <v>2.5321489214949075E-2</v>
      </c>
    </row>
    <row r="245" spans="1:9" hidden="1" x14ac:dyDescent="0.3">
      <c r="A245" s="177" t="s">
        <v>162</v>
      </c>
      <c r="B245" s="177" t="s">
        <v>2068</v>
      </c>
      <c r="C245" s="78" t="s">
        <v>2069</v>
      </c>
      <c r="D245" s="178">
        <f>VLOOKUP(B245,'Planning TB 2024'!$B$14:$Q$888,16,FALSE)</f>
        <v>3392412324.8799992</v>
      </c>
      <c r="E245" s="178">
        <f>VLOOKUP(B245,'Planning TB 2025'!$B$14:$Q$574,16,FALSE)</f>
        <v>3632813298.1300001</v>
      </c>
      <c r="F245" s="191">
        <f t="shared" si="6"/>
        <v>240400973.25000095</v>
      </c>
      <c r="G245" s="206">
        <f t="shared" si="7"/>
        <v>7.0864314307225243E-2</v>
      </c>
    </row>
    <row r="246" spans="1:9" hidden="1" x14ac:dyDescent="0.3">
      <c r="A246" s="177" t="s">
        <v>162</v>
      </c>
      <c r="B246" s="177" t="s">
        <v>2070</v>
      </c>
      <c r="C246" s="78" t="s">
        <v>2071</v>
      </c>
      <c r="D246" s="178">
        <f>VLOOKUP(B246,'Planning TB 2024'!$B$14:$Q$888,16,FALSE)</f>
        <v>-2498329719.5999999</v>
      </c>
      <c r="E246" s="178">
        <f>VLOOKUP(B246,'Planning TB 2025'!$B$14:$Q$574,16,FALSE)</f>
        <v>-2042495253.1899998</v>
      </c>
      <c r="F246" s="191">
        <f t="shared" si="6"/>
        <v>455834466.41000009</v>
      </c>
      <c r="G246" s="206">
        <f t="shared" si="7"/>
        <v>-0.18245568742743146</v>
      </c>
    </row>
    <row r="247" spans="1:9" hidden="1" x14ac:dyDescent="0.3">
      <c r="A247" s="177" t="s">
        <v>162</v>
      </c>
      <c r="B247" s="177" t="s">
        <v>2072</v>
      </c>
      <c r="C247" s="78" t="s">
        <v>2073</v>
      </c>
      <c r="D247" s="178">
        <f>VLOOKUP(B247,'Planning TB 2024'!$B$14:$Q$888,16,FALSE)</f>
        <v>330312020.92000008</v>
      </c>
      <c r="E247" s="178">
        <f>VLOOKUP(B247,'Planning TB 2025'!$B$14:$Q$574,16,FALSE)</f>
        <v>306170874.44</v>
      </c>
      <c r="F247" s="191">
        <f t="shared" si="6"/>
        <v>-24141146.480000079</v>
      </c>
      <c r="G247" s="206">
        <f t="shared" si="7"/>
        <v>-7.308588531764923E-2</v>
      </c>
    </row>
    <row r="248" spans="1:9" hidden="1" x14ac:dyDescent="0.3">
      <c r="A248" s="177" t="s">
        <v>162</v>
      </c>
      <c r="B248" s="177" t="s">
        <v>2074</v>
      </c>
      <c r="C248" s="78" t="s">
        <v>2075</v>
      </c>
      <c r="D248" s="178">
        <f>VLOOKUP(B248,'Planning TB 2024'!$B$14:$Q$888,16,FALSE)</f>
        <v>949679145.12</v>
      </c>
      <c r="E248" s="178">
        <f>VLOOKUP(B248,'Planning TB 2025'!$B$14:$Q$574,16,FALSE)</f>
        <v>949679145.12</v>
      </c>
      <c r="F248" s="191">
        <f t="shared" si="6"/>
        <v>0</v>
      </c>
      <c r="G248" s="206">
        <f t="shared" si="7"/>
        <v>0</v>
      </c>
    </row>
    <row r="249" spans="1:9" hidden="1" x14ac:dyDescent="0.3">
      <c r="A249" s="177" t="s">
        <v>162</v>
      </c>
      <c r="B249" s="177" t="s">
        <v>2076</v>
      </c>
      <c r="C249" s="78" t="s">
        <v>2077</v>
      </c>
      <c r="D249" s="178">
        <f>VLOOKUP(B249,'Planning TB 2024'!$B$14:$Q$888,16,FALSE)</f>
        <v>23118096.479999993</v>
      </c>
      <c r="E249" s="178">
        <f>VLOOKUP(B249,'Planning TB 2025'!$B$14:$Q$574,16,FALSE)</f>
        <v>23118096.479999993</v>
      </c>
      <c r="F249" s="191">
        <f t="shared" si="6"/>
        <v>0</v>
      </c>
      <c r="G249" s="206">
        <f t="shared" si="7"/>
        <v>0</v>
      </c>
    </row>
    <row r="250" spans="1:9" hidden="1" x14ac:dyDescent="0.3">
      <c r="A250" s="177" t="s">
        <v>162</v>
      </c>
      <c r="B250" s="177" t="s">
        <v>2078</v>
      </c>
      <c r="C250" s="78" t="s">
        <v>2079</v>
      </c>
      <c r="D250" s="178">
        <f>VLOOKUP(B250,'Planning TB 2024'!$B$14:$Q$888,16,FALSE)</f>
        <v>57681666.119999982</v>
      </c>
      <c r="E250" s="178">
        <f>VLOOKUP(B250,'Planning TB 2025'!$B$14:$Q$574,16,FALSE)</f>
        <v>56192463.130000003</v>
      </c>
      <c r="F250" s="191">
        <f t="shared" si="6"/>
        <v>-1489202.9899999797</v>
      </c>
      <c r="G250" s="206">
        <f t="shared" si="7"/>
        <v>-2.581761398677123E-2</v>
      </c>
    </row>
    <row r="251" spans="1:9" hidden="1" x14ac:dyDescent="0.3">
      <c r="A251" s="177" t="s">
        <v>162</v>
      </c>
      <c r="B251" s="177" t="s">
        <v>2080</v>
      </c>
      <c r="C251" s="78" t="s">
        <v>2081</v>
      </c>
      <c r="D251" s="178">
        <f>VLOOKUP(B251,'Planning TB 2024'!$B$14:$Q$888,16,FALSE)</f>
        <v>155974748.40000001</v>
      </c>
      <c r="E251" s="178">
        <f>VLOOKUP(B251,'Planning TB 2025'!$B$14:$Q$574,16,FALSE)</f>
        <v>155974748.40000001</v>
      </c>
      <c r="F251" s="191">
        <f t="shared" si="6"/>
        <v>0</v>
      </c>
      <c r="G251" s="206">
        <f t="shared" si="7"/>
        <v>0</v>
      </c>
    </row>
    <row r="252" spans="1:9" hidden="1" x14ac:dyDescent="0.3">
      <c r="A252" s="177" t="s">
        <v>162</v>
      </c>
      <c r="B252" s="177" t="s">
        <v>2082</v>
      </c>
      <c r="C252" s="78" t="s">
        <v>2083</v>
      </c>
      <c r="D252" s="178">
        <f>VLOOKUP(B252,'Planning TB 2024'!$B$14:$Q$888,16,FALSE)</f>
        <v>2.4</v>
      </c>
      <c r="E252" s="178">
        <f>VLOOKUP(B252,'Planning TB 2025'!$B$14:$Q$574,16,FALSE)</f>
        <v>2.4</v>
      </c>
      <c r="F252" s="191">
        <f t="shared" si="6"/>
        <v>0</v>
      </c>
      <c r="G252" s="206">
        <f t="shared" si="7"/>
        <v>0</v>
      </c>
    </row>
    <row r="253" spans="1:9" hidden="1" x14ac:dyDescent="0.3">
      <c r="A253" s="177" t="s">
        <v>162</v>
      </c>
      <c r="B253" s="177" t="s">
        <v>2084</v>
      </c>
      <c r="C253" s="78" t="s">
        <v>2085</v>
      </c>
      <c r="D253" s="178">
        <f>VLOOKUP(B253,'Planning TB 2024'!$B$14:$Q$888,16,FALSE)</f>
        <v>-851178480.64000022</v>
      </c>
      <c r="E253" s="178">
        <f>VLOOKUP(B253,'Planning TB 2025'!$B$14:$Q$574,16,FALSE)</f>
        <v>-696122700.23000002</v>
      </c>
      <c r="F253" s="191">
        <f t="shared" si="6"/>
        <v>155055780.41000021</v>
      </c>
      <c r="G253" s="206">
        <f t="shared" si="7"/>
        <v>-0.1821660015340307</v>
      </c>
    </row>
    <row r="254" spans="1:9" hidden="1" x14ac:dyDescent="0.3">
      <c r="A254" s="177" t="s">
        <v>162</v>
      </c>
      <c r="B254" s="177" t="s">
        <v>2086</v>
      </c>
      <c r="C254" s="78" t="s">
        <v>2087</v>
      </c>
      <c r="D254" s="178">
        <f>VLOOKUP(B254,'Planning TB 2024'!$B$14:$Q$888,16,FALSE)</f>
        <v>3175432.5599999991</v>
      </c>
      <c r="E254" s="178">
        <f>VLOOKUP(B254,'Planning TB 2025'!$B$14:$Q$574,16,FALSE)</f>
        <v>2921767.5599999991</v>
      </c>
      <c r="F254" s="191">
        <f t="shared" si="6"/>
        <v>-253665</v>
      </c>
      <c r="G254" s="206">
        <f t="shared" si="7"/>
        <v>-7.9883604896965624E-2</v>
      </c>
    </row>
    <row r="255" spans="1:9" hidden="1" x14ac:dyDescent="0.3">
      <c r="A255" s="177" t="s">
        <v>162</v>
      </c>
      <c r="B255" s="177" t="s">
        <v>2088</v>
      </c>
      <c r="C255" s="78" t="s">
        <v>2089</v>
      </c>
      <c r="D255" s="178">
        <f>VLOOKUP(B255,'Planning TB 2024'!$B$14:$Q$888,16,FALSE)</f>
        <v>29706013.430000007</v>
      </c>
      <c r="E255" s="178">
        <f>VLOOKUP(B255,'Planning TB 2025'!$B$14:$Q$574,16,FALSE)</f>
        <v>21858343.350000009</v>
      </c>
      <c r="F255" s="191">
        <f t="shared" si="6"/>
        <v>-7847670.0799999982</v>
      </c>
      <c r="G255" s="206">
        <f t="shared" si="7"/>
        <v>-0.26417782710872478</v>
      </c>
    </row>
    <row r="256" spans="1:9" x14ac:dyDescent="0.3">
      <c r="A256" s="177" t="s">
        <v>162</v>
      </c>
      <c r="B256" s="177" t="s">
        <v>2090</v>
      </c>
      <c r="C256" s="78" t="s">
        <v>2091</v>
      </c>
      <c r="D256" s="178">
        <f>VLOOKUP(B256,'Planning TB 2024'!$B$14:$Q$888,16,FALSE)/1000</f>
        <v>-24609.839117994998</v>
      </c>
      <c r="E256" s="178">
        <f>VLOOKUP(B256,'Planning TB 2025'!$B$14:$Q$574,16,FALSE)/1000</f>
        <v>-21603.035811908801</v>
      </c>
      <c r="F256" s="191">
        <f t="shared" si="6"/>
        <v>3006.8033060861962</v>
      </c>
      <c r="G256" s="206">
        <f>IFERROR(F256/D256,0)</f>
        <v>-0.12217890948696154</v>
      </c>
      <c r="H256" t="s">
        <v>1575</v>
      </c>
      <c r="I256" t="s">
        <v>3369</v>
      </c>
    </row>
    <row r="257" spans="1:9" x14ac:dyDescent="0.3">
      <c r="A257" s="177" t="s">
        <v>162</v>
      </c>
      <c r="B257" s="177" t="s">
        <v>2092</v>
      </c>
      <c r="C257" s="78" t="s">
        <v>2093</v>
      </c>
      <c r="D257" s="178">
        <f>VLOOKUP(B257,'Planning TB 2024'!$B$14:$Q$888,16,FALSE)/1000</f>
        <v>112834.0239999996</v>
      </c>
      <c r="E257" s="178">
        <f>VLOOKUP(B257,'Planning TB 2025'!$B$14:$Q$574,16,FALSE)/1000</f>
        <v>3131.7980000004</v>
      </c>
      <c r="F257" s="191">
        <f t="shared" si="6"/>
        <v>-109702.22599999919</v>
      </c>
      <c r="G257" s="206">
        <f t="shared" ref="G257:G277" si="8">IFERROR(F257/D257,0)</f>
        <v>-0.97224420534713529</v>
      </c>
      <c r="H257" t="s">
        <v>1575</v>
      </c>
      <c r="I257" t="s">
        <v>3370</v>
      </c>
    </row>
    <row r="258" spans="1:9" hidden="1" x14ac:dyDescent="0.3">
      <c r="A258" s="177" t="s">
        <v>162</v>
      </c>
      <c r="B258" s="177" t="s">
        <v>2094</v>
      </c>
      <c r="C258" s="78" t="s">
        <v>2095</v>
      </c>
      <c r="D258" s="178">
        <f>VLOOKUP(B258,'Planning TB 2024'!$B$14:$Q$888,16,FALSE)/1000</f>
        <v>-10384.68</v>
      </c>
      <c r="E258" s="178">
        <v>0</v>
      </c>
      <c r="F258" s="191">
        <f t="shared" si="6"/>
        <v>10384.68</v>
      </c>
      <c r="G258" s="206">
        <f t="shared" si="8"/>
        <v>-1</v>
      </c>
    </row>
    <row r="259" spans="1:9" hidden="1" x14ac:dyDescent="0.3">
      <c r="A259" s="177" t="s">
        <v>162</v>
      </c>
      <c r="B259" s="177" t="s">
        <v>2096</v>
      </c>
      <c r="C259" s="78" t="s">
        <v>2097</v>
      </c>
      <c r="D259" s="178">
        <f>VLOOKUP(B259,'Planning TB 2024'!$B$14:$Q$888,16,FALSE)/1000</f>
        <v>-3535.3915536014001</v>
      </c>
      <c r="E259" s="178">
        <f>VLOOKUP(B259,'Planning TB 2025'!$B$14:$Q$574,16,FALSE)/1000</f>
        <v>-3119.9699657645997</v>
      </c>
      <c r="F259" s="191">
        <f t="shared" si="6"/>
        <v>415.42158783680043</v>
      </c>
      <c r="G259" s="206">
        <f t="shared" si="8"/>
        <v>-0.1175036998132845</v>
      </c>
    </row>
    <row r="260" spans="1:9" x14ac:dyDescent="0.3">
      <c r="A260" s="177" t="s">
        <v>162</v>
      </c>
      <c r="B260" s="177" t="s">
        <v>2098</v>
      </c>
      <c r="C260" s="78" t="s">
        <v>2099</v>
      </c>
      <c r="D260" s="178">
        <f>VLOOKUP(B260,'Planning TB 2024'!$B$14:$Q$888,16,FALSE)/1000</f>
        <v>7418.9040000000005</v>
      </c>
      <c r="E260" s="178">
        <f>VLOOKUP(B260,'Planning TB 2025'!$B$14:$Q$574,16,FALSE)/1000</f>
        <v>234.83900000040003</v>
      </c>
      <c r="F260" s="191">
        <f t="shared" ref="F260:F323" si="9">E260-D260</f>
        <v>-7184.0649999996003</v>
      </c>
      <c r="G260" s="206">
        <f t="shared" si="8"/>
        <v>-0.96834586348598117</v>
      </c>
      <c r="H260" t="s">
        <v>1575</v>
      </c>
      <c r="I260" t="s">
        <v>3371</v>
      </c>
    </row>
    <row r="261" spans="1:9" x14ac:dyDescent="0.3">
      <c r="A261" s="177" t="s">
        <v>162</v>
      </c>
      <c r="B261" s="177" t="s">
        <v>2100</v>
      </c>
      <c r="C261" s="78" t="s">
        <v>2101</v>
      </c>
      <c r="D261" s="178">
        <f>VLOOKUP(B261,'Planning TB 2024'!$B$14:$Q$888,16,FALSE)/1000</f>
        <v>-1893.5916711199998</v>
      </c>
      <c r="E261" s="178">
        <f>VLOOKUP(B261,'Planning TB 2025'!$B$14:$Q$574,16,FALSE)/1000</f>
        <v>-2.6684455999999995E-3</v>
      </c>
      <c r="F261" s="191">
        <f t="shared" si="9"/>
        <v>1893.5890026743998</v>
      </c>
      <c r="G261" s="206">
        <f t="shared" si="8"/>
        <v>-0.99999859080199782</v>
      </c>
      <c r="H261" t="s">
        <v>1575</v>
      </c>
    </row>
    <row r="262" spans="1:9" hidden="1" x14ac:dyDescent="0.3">
      <c r="A262" s="177" t="s">
        <v>162</v>
      </c>
      <c r="B262" s="177" t="s">
        <v>2102</v>
      </c>
      <c r="C262" s="78" t="s">
        <v>2103</v>
      </c>
      <c r="D262" s="178">
        <f>VLOOKUP(B262,'Planning TB 2024'!$B$14:$Q$888,16,FALSE)/1000</f>
        <v>-3315.5189999999998</v>
      </c>
      <c r="E262" s="178">
        <f>VLOOKUP(B262,'Planning TB 2025'!$B$14:$Q$574,16,FALSE)/1000</f>
        <v>-2946.6550000000002</v>
      </c>
      <c r="F262" s="191">
        <f t="shared" si="9"/>
        <v>368.86399999999958</v>
      </c>
      <c r="G262" s="206">
        <f t="shared" si="8"/>
        <v>-0.11125377354194008</v>
      </c>
    </row>
    <row r="263" spans="1:9" x14ac:dyDescent="0.3">
      <c r="A263" s="177" t="s">
        <v>162</v>
      </c>
      <c r="B263" s="177" t="s">
        <v>2104</v>
      </c>
      <c r="C263" s="78" t="s">
        <v>2105</v>
      </c>
      <c r="D263" s="178">
        <f>VLOOKUP(B263,'Planning TB 2024'!$B$14:$Q$888,16,FALSE)/1000</f>
        <v>-6397.6880000000001</v>
      </c>
      <c r="E263" s="178">
        <f>VLOOKUP(B263,'Planning TB 2025'!$B$14:$Q$574,16,FALSE)/1000</f>
        <v>-3534.3820000000001</v>
      </c>
      <c r="F263" s="191">
        <f t="shared" si="9"/>
        <v>2863.306</v>
      </c>
      <c r="G263" s="206">
        <f t="shared" si="8"/>
        <v>-0.44755324110835037</v>
      </c>
      <c r="H263" t="s">
        <v>1575</v>
      </c>
    </row>
    <row r="264" spans="1:9" hidden="1" x14ac:dyDescent="0.3">
      <c r="A264" s="177" t="s">
        <v>162</v>
      </c>
      <c r="B264" s="177" t="s">
        <v>2106</v>
      </c>
      <c r="C264" s="78" t="s">
        <v>2107</v>
      </c>
      <c r="D264" s="178">
        <f>VLOOKUP(B264,'Planning TB 2024'!$B$14:$Q$888,16,FALSE)/1000</f>
        <v>1777.3019999999999</v>
      </c>
      <c r="E264" s="178">
        <v>0</v>
      </c>
      <c r="F264" s="191">
        <f t="shared" si="9"/>
        <v>-1777.3019999999999</v>
      </c>
      <c r="G264" s="206">
        <f t="shared" si="8"/>
        <v>-1</v>
      </c>
    </row>
    <row r="265" spans="1:9" hidden="1" x14ac:dyDescent="0.3">
      <c r="A265" s="177" t="s">
        <v>162</v>
      </c>
      <c r="B265" s="177" t="s">
        <v>2108</v>
      </c>
      <c r="C265" s="78" t="s">
        <v>2109</v>
      </c>
      <c r="D265" s="178">
        <f>VLOOKUP(B265,'Planning TB 2024'!$B$14:$Q$888,16,FALSE)/1000</f>
        <v>19.442879999999999</v>
      </c>
      <c r="E265" s="178">
        <f>VLOOKUP(B265,'Planning TB 2025'!$B$14:$Q$574,16,FALSE)/1000</f>
        <v>19.571554638000002</v>
      </c>
      <c r="F265" s="191">
        <f t="shared" si="9"/>
        <v>0.12867463800000323</v>
      </c>
      <c r="G265" s="206">
        <f t="shared" si="8"/>
        <v>6.6180852836618459E-3</v>
      </c>
    </row>
    <row r="266" spans="1:9" x14ac:dyDescent="0.3">
      <c r="A266" s="177" t="s">
        <v>162</v>
      </c>
      <c r="B266" s="177" t="s">
        <v>2110</v>
      </c>
      <c r="C266" s="78" t="s">
        <v>2111</v>
      </c>
      <c r="D266" s="178">
        <f>VLOOKUP(B266,'Planning TB 2024'!$B$14:$Q$888,16,FALSE)/1000</f>
        <v>32543.554611974603</v>
      </c>
      <c r="E266" s="178">
        <f>VLOOKUP(B266,'Planning TB 2025'!$B$14:$Q$574,16,FALSE)/1000</f>
        <v>-5522.7086771975992</v>
      </c>
      <c r="F266" s="191">
        <f t="shared" si="9"/>
        <v>-38066.263289172202</v>
      </c>
      <c r="G266" s="206">
        <f t="shared" si="8"/>
        <v>-1.1697020729003427</v>
      </c>
      <c r="H266" t="s">
        <v>1576</v>
      </c>
      <c r="I266" t="s">
        <v>3372</v>
      </c>
    </row>
    <row r="267" spans="1:9" hidden="1" x14ac:dyDescent="0.3">
      <c r="A267" s="177" t="s">
        <v>162</v>
      </c>
      <c r="B267" s="177" t="s">
        <v>2112</v>
      </c>
      <c r="C267" s="78" t="s">
        <v>2113</v>
      </c>
      <c r="D267" s="178">
        <f>VLOOKUP(B267,'Planning TB 2024'!$B$14:$Q$888,16,FALSE)/1000</f>
        <v>-813.68399999999997</v>
      </c>
      <c r="E267" s="178">
        <f>VLOOKUP(B267,'Planning TB 2025'!$B$14:$Q$574,16,FALSE)/1000</f>
        <v>-1558.366</v>
      </c>
      <c r="F267" s="191">
        <f t="shared" si="9"/>
        <v>-744.68200000000002</v>
      </c>
      <c r="G267" s="206">
        <f t="shared" si="8"/>
        <v>0.91519803756740947</v>
      </c>
    </row>
    <row r="268" spans="1:9" hidden="1" x14ac:dyDescent="0.3">
      <c r="A268" s="177" t="s">
        <v>162</v>
      </c>
      <c r="B268" s="177" t="s">
        <v>2114</v>
      </c>
      <c r="C268" s="78" t="s">
        <v>2115</v>
      </c>
      <c r="D268" s="178">
        <f>VLOOKUP(B268,'Planning TB 2024'!$B$14:$Q$888,16,FALSE)/1000</f>
        <v>-21830.667137500899</v>
      </c>
      <c r="E268" s="178">
        <f>VLOOKUP(B268,'Planning TB 2025'!$B$14:$Q$574,16,FALSE)/1000</f>
        <v>-19089.006611253302</v>
      </c>
      <c r="F268" s="191">
        <f t="shared" si="9"/>
        <v>2741.6605262475969</v>
      </c>
      <c r="G268" s="206">
        <f t="shared" si="8"/>
        <v>-0.12558757407545965</v>
      </c>
    </row>
    <row r="269" spans="1:9" hidden="1" x14ac:dyDescent="0.3">
      <c r="A269" s="177" t="s">
        <v>162</v>
      </c>
      <c r="B269" s="177" t="s">
        <v>2116</v>
      </c>
      <c r="C269" s="78" t="s">
        <v>2117</v>
      </c>
      <c r="D269" s="178">
        <f>VLOOKUP(B269,'Planning TB 2024'!$B$14:$Q$888,16,FALSE)/1000</f>
        <v>-3519.7468943961003</v>
      </c>
      <c r="E269" s="178">
        <f>VLOOKUP(B269,'Planning TB 2025'!$B$14:$Q$574,16,FALSE)/1000</f>
        <v>-4496.9591573139005</v>
      </c>
      <c r="F269" s="191">
        <f t="shared" si="9"/>
        <v>-977.21226291780022</v>
      </c>
      <c r="G269" s="206">
        <f t="shared" si="8"/>
        <v>0.2776370836419092</v>
      </c>
    </row>
    <row r="270" spans="1:9" hidden="1" x14ac:dyDescent="0.3">
      <c r="A270" s="177" t="s">
        <v>162</v>
      </c>
      <c r="B270" s="177" t="s">
        <v>2118</v>
      </c>
      <c r="C270" s="78" t="s">
        <v>2119</v>
      </c>
      <c r="D270" s="178">
        <f>VLOOKUP(B270,'Planning TB 2024'!$B$14:$Q$888,16,FALSE)/1000</f>
        <v>0</v>
      </c>
      <c r="E270" s="178">
        <v>0</v>
      </c>
      <c r="F270" s="191">
        <f t="shared" si="9"/>
        <v>0</v>
      </c>
      <c r="G270" s="206">
        <f t="shared" si="8"/>
        <v>0</v>
      </c>
    </row>
    <row r="271" spans="1:9" hidden="1" x14ac:dyDescent="0.3">
      <c r="A271" s="177" t="s">
        <v>162</v>
      </c>
      <c r="B271" s="177" t="s">
        <v>2120</v>
      </c>
      <c r="C271" s="78" t="s">
        <v>2121</v>
      </c>
      <c r="D271" s="178">
        <f>VLOOKUP(B271,'Planning TB 2024'!$B$14:$Q$888,16,FALSE)/1000</f>
        <v>-1926.6088743999999</v>
      </c>
      <c r="E271" s="178">
        <f>VLOOKUP(B271,'Planning TB 2025'!$B$14:$Q$574,16,FALSE)/1000</f>
        <v>-2.6380952000000005E-3</v>
      </c>
      <c r="F271" s="191">
        <f t="shared" si="9"/>
        <v>1926.6062363047999</v>
      </c>
      <c r="G271" s="206">
        <f t="shared" si="8"/>
        <v>-0.99999863070536266</v>
      </c>
    </row>
    <row r="272" spans="1:9" hidden="1" x14ac:dyDescent="0.3">
      <c r="A272" s="177" t="s">
        <v>162</v>
      </c>
      <c r="B272" s="177" t="s">
        <v>2122</v>
      </c>
      <c r="C272" s="78" t="s">
        <v>2123</v>
      </c>
      <c r="D272" s="178">
        <f>VLOOKUP(B272,'Planning TB 2024'!$B$14:$Q$888,16,FALSE)/1000</f>
        <v>7363.19</v>
      </c>
      <c r="E272" s="178">
        <f>VLOOKUP(B272,'Planning TB 2025'!$B$14:$Q$574,16,FALSE)/1000</f>
        <v>1013.905</v>
      </c>
      <c r="F272" s="191">
        <f t="shared" si="9"/>
        <v>-6349.2849999999999</v>
      </c>
      <c r="G272" s="206">
        <f t="shared" si="8"/>
        <v>-0.86230085058242423</v>
      </c>
    </row>
    <row r="273" spans="1:7" hidden="1" x14ac:dyDescent="0.3">
      <c r="A273" s="177" t="s">
        <v>162</v>
      </c>
      <c r="B273" s="177" t="s">
        <v>2124</v>
      </c>
      <c r="C273" s="78" t="s">
        <v>2125</v>
      </c>
      <c r="D273" s="178">
        <f>VLOOKUP(B273,'Planning TB 2024'!$B$14:$Q$888,16,FALSE)/1000</f>
        <v>0</v>
      </c>
      <c r="E273" s="178">
        <f>VLOOKUP(B273,'Planning TB 2025'!$B$14:$Q$574,16,FALSE)/1000</f>
        <v>-48.859000000000002</v>
      </c>
      <c r="F273" s="191">
        <f t="shared" si="9"/>
        <v>-48.859000000000002</v>
      </c>
      <c r="G273" s="206">
        <f t="shared" si="8"/>
        <v>0</v>
      </c>
    </row>
    <row r="274" spans="1:7" hidden="1" x14ac:dyDescent="0.3">
      <c r="A274" s="177" t="s">
        <v>162</v>
      </c>
      <c r="B274" s="177" t="s">
        <v>2126</v>
      </c>
      <c r="C274" s="78" t="s">
        <v>2127</v>
      </c>
      <c r="D274" s="178">
        <f>VLOOKUP(B274,'Planning TB 2024'!$B$14:$Q$888,16,FALSE)/1000</f>
        <v>6468.9459999999999</v>
      </c>
      <c r="E274" s="178">
        <f>VLOOKUP(B274,'Planning TB 2025'!$B$14:$Q$574,16,FALSE)/1000</f>
        <v>7965.0140000000001</v>
      </c>
      <c r="F274" s="191">
        <f t="shared" si="9"/>
        <v>1496.0680000000002</v>
      </c>
      <c r="G274" s="206">
        <f t="shared" si="8"/>
        <v>0.23126920521519273</v>
      </c>
    </row>
    <row r="275" spans="1:7" hidden="1" x14ac:dyDescent="0.3">
      <c r="A275" s="177" t="s">
        <v>162</v>
      </c>
      <c r="B275" s="177" t="s">
        <v>2128</v>
      </c>
      <c r="C275" s="78" t="s">
        <v>2129</v>
      </c>
      <c r="D275" s="178">
        <f>VLOOKUP(B275,'Planning TB 2024'!$B$14:$Q$888,16,FALSE)/1000</f>
        <v>-4293.1189999999997</v>
      </c>
      <c r="E275" s="178">
        <f>VLOOKUP(B275,'Planning TB 2025'!$B$14:$Q$574,16,FALSE)/1000</f>
        <v>-11698.519</v>
      </c>
      <c r="F275" s="191">
        <f t="shared" si="9"/>
        <v>-7405.4000000000005</v>
      </c>
      <c r="G275" s="206">
        <f t="shared" si="8"/>
        <v>1.7249463618408902</v>
      </c>
    </row>
    <row r="276" spans="1:7" hidden="1" x14ac:dyDescent="0.3">
      <c r="A276" s="177" t="s">
        <v>162</v>
      </c>
      <c r="B276" s="177" t="s">
        <v>2130</v>
      </c>
      <c r="C276" s="78" t="s">
        <v>2131</v>
      </c>
      <c r="D276" s="178">
        <f>VLOOKUP(B276,'Planning TB 2024'!$B$14:$Q$888,16,FALSE)/1000</f>
        <v>0</v>
      </c>
      <c r="E276" s="178">
        <f>VLOOKUP(B276,'Planning TB 2025'!$B$14:$Q$574,16,FALSE)/1000</f>
        <v>1688.414</v>
      </c>
      <c r="F276" s="191">
        <f t="shared" si="9"/>
        <v>1688.414</v>
      </c>
      <c r="G276" s="206">
        <f t="shared" si="8"/>
        <v>0</v>
      </c>
    </row>
    <row r="277" spans="1:7" hidden="1" x14ac:dyDescent="0.3">
      <c r="A277" s="177" t="s">
        <v>162</v>
      </c>
      <c r="B277" s="177" t="s">
        <v>2132</v>
      </c>
      <c r="C277" s="78" t="s">
        <v>2133</v>
      </c>
      <c r="D277" s="178">
        <f>VLOOKUP(B277,'Planning TB 2024'!$B$14:$Q$888,16,FALSE)/1000</f>
        <v>-2.3759999999999999</v>
      </c>
      <c r="E277" s="178">
        <f>VLOOKUP(B277,'Planning TB 2025'!$B$14:$Q$574,16,FALSE)/1000</f>
        <v>-2.3759999999999999</v>
      </c>
      <c r="F277" s="191">
        <f t="shared" si="9"/>
        <v>0</v>
      </c>
      <c r="G277" s="206">
        <f t="shared" si="8"/>
        <v>0</v>
      </c>
    </row>
    <row r="278" spans="1:7" hidden="1" x14ac:dyDescent="0.3">
      <c r="A278" s="177" t="s">
        <v>162</v>
      </c>
      <c r="B278" s="177" t="s">
        <v>2134</v>
      </c>
      <c r="C278" s="78" t="s">
        <v>2135</v>
      </c>
      <c r="D278" s="178">
        <f>VLOOKUP(B278,'Planning TB 2024'!$B$14:$Q$888,16,FALSE)</f>
        <v>3582554</v>
      </c>
      <c r="E278" s="178">
        <f>VLOOKUP(B278,'Planning TB 2025'!$B$14:$Q$574,16,FALSE)</f>
        <v>3582554</v>
      </c>
      <c r="F278" s="191">
        <f t="shared" si="9"/>
        <v>0</v>
      </c>
      <c r="G278" s="206">
        <f t="shared" ref="G278:G323" si="10">F278/D278</f>
        <v>0</v>
      </c>
    </row>
    <row r="279" spans="1:7" hidden="1" x14ac:dyDescent="0.3">
      <c r="A279" s="177" t="s">
        <v>162</v>
      </c>
      <c r="B279" s="177" t="s">
        <v>2136</v>
      </c>
      <c r="C279" s="78" t="s">
        <v>2137</v>
      </c>
      <c r="D279" s="178">
        <f>VLOOKUP(B279,'Planning TB 2024'!$B$14:$Q$888,16,FALSE)</f>
        <v>915425108</v>
      </c>
      <c r="E279" s="178">
        <f>VLOOKUP(B279,'Planning TB 2025'!$B$14:$Q$574,16,FALSE)</f>
        <v>925862922</v>
      </c>
      <c r="F279" s="191">
        <f t="shared" si="9"/>
        <v>10437814</v>
      </c>
      <c r="G279" s="206">
        <f t="shared" si="10"/>
        <v>1.1402149568307448E-2</v>
      </c>
    </row>
    <row r="280" spans="1:7" hidden="1" x14ac:dyDescent="0.3">
      <c r="A280" s="177" t="s">
        <v>162</v>
      </c>
      <c r="B280" s="177" t="s">
        <v>2138</v>
      </c>
      <c r="C280" s="78" t="s">
        <v>2139</v>
      </c>
      <c r="D280" s="178">
        <f>VLOOKUP(B280,'Planning TB 2024'!$B$14:$Q$888,16,FALSE)</f>
        <v>391710105</v>
      </c>
      <c r="E280" s="178">
        <f>VLOOKUP(B280,'Planning TB 2025'!$B$14:$Q$574,16,FALSE)</f>
        <v>353941539</v>
      </c>
      <c r="F280" s="191">
        <f t="shared" si="9"/>
        <v>-37768566</v>
      </c>
      <c r="G280" s="206">
        <f t="shared" si="10"/>
        <v>-9.6419687717783031E-2</v>
      </c>
    </row>
    <row r="281" spans="1:7" hidden="1" x14ac:dyDescent="0.3">
      <c r="A281" s="177" t="s">
        <v>162</v>
      </c>
      <c r="B281" s="177" t="s">
        <v>2140</v>
      </c>
      <c r="C281" s="78" t="s">
        <v>2141</v>
      </c>
      <c r="D281" s="178">
        <f>VLOOKUP(B281,'Planning TB 2024'!$B$14:$Q$888,16,FALSE)</f>
        <v>6320466</v>
      </c>
      <c r="E281" s="178">
        <f>VLOOKUP(B281,'Planning TB 2025'!$B$14:$Q$574,16,FALSE)</f>
        <v>2161601</v>
      </c>
      <c r="F281" s="191">
        <f t="shared" si="9"/>
        <v>-4158865</v>
      </c>
      <c r="G281" s="206">
        <f t="shared" si="10"/>
        <v>-0.65799974242405546</v>
      </c>
    </row>
    <row r="282" spans="1:7" hidden="1" x14ac:dyDescent="0.3">
      <c r="A282" s="177" t="s">
        <v>162</v>
      </c>
      <c r="B282" s="177" t="s">
        <v>2142</v>
      </c>
      <c r="C282" s="78" t="s">
        <v>2143</v>
      </c>
      <c r="D282" s="178">
        <f>VLOOKUP(B282,'Planning TB 2024'!$B$14:$Q$888,16,FALSE)</f>
        <v>21920513</v>
      </c>
      <c r="E282" s="178">
        <f>VLOOKUP(B282,'Planning TB 2025'!$B$14:$Q$574,16,FALSE)</f>
        <v>37177786</v>
      </c>
      <c r="F282" s="191">
        <f t="shared" si="9"/>
        <v>15257273</v>
      </c>
      <c r="G282" s="206">
        <f t="shared" si="10"/>
        <v>0.69602718695497678</v>
      </c>
    </row>
    <row r="283" spans="1:7" hidden="1" x14ac:dyDescent="0.3">
      <c r="A283" s="177" t="s">
        <v>162</v>
      </c>
      <c r="B283" s="177" t="s">
        <v>2144</v>
      </c>
      <c r="C283" s="78" t="s">
        <v>2145</v>
      </c>
      <c r="D283" s="178">
        <f>VLOOKUP(B283,'Planning TB 2024'!$B$14:$Q$888,16,FALSE)</f>
        <v>9075772</v>
      </c>
      <c r="E283" s="178">
        <f>VLOOKUP(B283,'Planning TB 2025'!$B$14:$Q$574,16,FALSE)</f>
        <v>9163895</v>
      </c>
      <c r="F283" s="191">
        <f t="shared" si="9"/>
        <v>88123</v>
      </c>
      <c r="G283" s="206">
        <f t="shared" si="10"/>
        <v>9.7096974229850634E-3</v>
      </c>
    </row>
    <row r="284" spans="1:7" hidden="1" x14ac:dyDescent="0.3">
      <c r="A284" s="177" t="s">
        <v>162</v>
      </c>
      <c r="B284" s="177" t="s">
        <v>2146</v>
      </c>
      <c r="C284" s="78" t="s">
        <v>2147</v>
      </c>
      <c r="D284" s="178">
        <f>VLOOKUP(B284,'Planning TB 2024'!$B$14:$Q$888,16,FALSE)</f>
        <v>30647527.609999999</v>
      </c>
      <c r="E284" s="178">
        <f>VLOOKUP(B284,'Planning TB 2025'!$B$14:$Q$574,16,FALSE)</f>
        <v>29965394.660000004</v>
      </c>
      <c r="F284" s="191">
        <f t="shared" si="9"/>
        <v>-682132.94999999553</v>
      </c>
      <c r="G284" s="206">
        <f t="shared" si="10"/>
        <v>-2.2257356569846828E-2</v>
      </c>
    </row>
    <row r="285" spans="1:7" hidden="1" x14ac:dyDescent="0.3">
      <c r="A285" s="177" t="s">
        <v>162</v>
      </c>
      <c r="B285" s="177" t="s">
        <v>2148</v>
      </c>
      <c r="C285" s="78" t="s">
        <v>2149</v>
      </c>
      <c r="D285" s="178">
        <f>VLOOKUP(B285,'Planning TB 2024'!$B$14:$Q$888,16,FALSE)</f>
        <v>37268598.030000001</v>
      </c>
      <c r="E285" s="178">
        <f>VLOOKUP(B285,'Planning TB 2025'!$B$14:$Q$574,16,FALSE)</f>
        <v>36484328.68</v>
      </c>
      <c r="F285" s="191">
        <f t="shared" si="9"/>
        <v>-784269.35000000149</v>
      </c>
      <c r="G285" s="206">
        <f t="shared" si="10"/>
        <v>-2.104370412240059E-2</v>
      </c>
    </row>
    <row r="286" spans="1:7" hidden="1" x14ac:dyDescent="0.3">
      <c r="A286" s="177" t="s">
        <v>162</v>
      </c>
      <c r="B286" s="177" t="s">
        <v>2150</v>
      </c>
      <c r="C286" s="78" t="s">
        <v>2151</v>
      </c>
      <c r="D286" s="178">
        <f>VLOOKUP(B286,'Planning TB 2024'!$B$14:$Q$888,16,FALSE)</f>
        <v>67346467.63000001</v>
      </c>
      <c r="E286" s="178">
        <f>VLOOKUP(B286,'Planning TB 2025'!$B$14:$Q$574,16,FALSE)</f>
        <v>77303348.890000001</v>
      </c>
      <c r="F286" s="191">
        <f t="shared" si="9"/>
        <v>9956881.2599999905</v>
      </c>
      <c r="G286" s="206">
        <f t="shared" si="10"/>
        <v>0.14784563482531665</v>
      </c>
    </row>
    <row r="287" spans="1:7" hidden="1" x14ac:dyDescent="0.3">
      <c r="A287" s="177" t="s">
        <v>162</v>
      </c>
      <c r="B287" s="177" t="s">
        <v>2152</v>
      </c>
      <c r="C287" s="78" t="s">
        <v>2153</v>
      </c>
      <c r="D287" s="178">
        <f>VLOOKUP(B287,'Planning TB 2024'!$B$14:$Q$888,16,FALSE)</f>
        <v>43829427</v>
      </c>
      <c r="E287" s="178">
        <f>VLOOKUP(B287,'Planning TB 2025'!$B$14:$Q$574,16,FALSE)</f>
        <v>43027990</v>
      </c>
      <c r="F287" s="191">
        <f t="shared" si="9"/>
        <v>-801437</v>
      </c>
      <c r="G287" s="206">
        <f t="shared" si="10"/>
        <v>-1.828536339295515E-2</v>
      </c>
    </row>
    <row r="288" spans="1:7" hidden="1" x14ac:dyDescent="0.3">
      <c r="A288" s="177" t="s">
        <v>162</v>
      </c>
      <c r="B288" s="177" t="s">
        <v>2154</v>
      </c>
      <c r="C288" s="78" t="s">
        <v>2155</v>
      </c>
      <c r="D288" s="178">
        <f>VLOOKUP(B288,'Planning TB 2024'!$B$14:$Q$888,16,FALSE)</f>
        <v>22311504.879999999</v>
      </c>
      <c r="E288" s="178" t="e">
        <f>VLOOKUP(B288,'Planning TB 2025'!$B$14:$Q$574,16,FALSE)</f>
        <v>#N/A</v>
      </c>
      <c r="F288" s="191" t="e">
        <f t="shared" si="9"/>
        <v>#N/A</v>
      </c>
      <c r="G288" s="206" t="e">
        <f t="shared" si="10"/>
        <v>#N/A</v>
      </c>
    </row>
    <row r="289" spans="1:7" hidden="1" x14ac:dyDescent="0.3">
      <c r="A289" s="177" t="s">
        <v>162</v>
      </c>
      <c r="B289" s="177" t="s">
        <v>2156</v>
      </c>
      <c r="C289" s="78" t="s">
        <v>2157</v>
      </c>
      <c r="D289" s="178">
        <f>VLOOKUP(B289,'Planning TB 2024'!$B$14:$Q$888,16,FALSE)</f>
        <v>0</v>
      </c>
      <c r="E289" s="178" t="e">
        <f>VLOOKUP(B289,'Planning TB 2025'!$B$14:$Q$574,16,FALSE)</f>
        <v>#N/A</v>
      </c>
      <c r="F289" s="191" t="e">
        <f t="shared" si="9"/>
        <v>#N/A</v>
      </c>
      <c r="G289" s="206" t="e">
        <f t="shared" si="10"/>
        <v>#N/A</v>
      </c>
    </row>
    <row r="290" spans="1:7" hidden="1" x14ac:dyDescent="0.3">
      <c r="A290" s="177" t="s">
        <v>162</v>
      </c>
      <c r="B290" s="177" t="s">
        <v>2158</v>
      </c>
      <c r="C290" s="78" t="s">
        <v>2159</v>
      </c>
      <c r="D290" s="178">
        <f>VLOOKUP(B290,'Planning TB 2024'!$B$14:$Q$888,16,FALSE)</f>
        <v>0</v>
      </c>
      <c r="E290" s="178" t="e">
        <f>VLOOKUP(B290,'Planning TB 2025'!$B$14:$Q$574,16,FALSE)</f>
        <v>#N/A</v>
      </c>
      <c r="F290" s="191" t="e">
        <f t="shared" si="9"/>
        <v>#N/A</v>
      </c>
      <c r="G290" s="206" t="e">
        <f t="shared" si="10"/>
        <v>#N/A</v>
      </c>
    </row>
    <row r="291" spans="1:7" hidden="1" x14ac:dyDescent="0.3">
      <c r="A291" s="177" t="s">
        <v>162</v>
      </c>
      <c r="B291" s="177" t="s">
        <v>2160</v>
      </c>
      <c r="C291" s="78" t="s">
        <v>2161</v>
      </c>
      <c r="D291" s="178">
        <f>VLOOKUP(B291,'Planning TB 2024'!$B$14:$Q$888,16,FALSE)</f>
        <v>0</v>
      </c>
      <c r="E291" s="178" t="e">
        <f>VLOOKUP(B291,'Planning TB 2025'!$B$14:$Q$574,16,FALSE)</f>
        <v>#N/A</v>
      </c>
      <c r="F291" s="191" t="e">
        <f t="shared" si="9"/>
        <v>#N/A</v>
      </c>
      <c r="G291" s="206" t="e">
        <f t="shared" si="10"/>
        <v>#N/A</v>
      </c>
    </row>
    <row r="292" spans="1:7" hidden="1" x14ac:dyDescent="0.3">
      <c r="A292" s="177" t="s">
        <v>162</v>
      </c>
      <c r="B292" s="177" t="s">
        <v>2162</v>
      </c>
      <c r="C292" s="78" t="s">
        <v>2163</v>
      </c>
      <c r="D292" s="178">
        <f>VLOOKUP(B292,'Planning TB 2024'!$B$14:$Q$888,16,FALSE)</f>
        <v>0</v>
      </c>
      <c r="E292" s="178" t="e">
        <f>VLOOKUP(B292,'Planning TB 2025'!$B$14:$Q$574,16,FALSE)</f>
        <v>#N/A</v>
      </c>
      <c r="F292" s="191" t="e">
        <f t="shared" si="9"/>
        <v>#N/A</v>
      </c>
      <c r="G292" s="206" t="e">
        <f t="shared" si="10"/>
        <v>#N/A</v>
      </c>
    </row>
    <row r="293" spans="1:7" hidden="1" x14ac:dyDescent="0.3">
      <c r="A293" s="177" t="s">
        <v>162</v>
      </c>
      <c r="B293" s="177" t="s">
        <v>2164</v>
      </c>
      <c r="C293" s="78" t="s">
        <v>2165</v>
      </c>
      <c r="D293" s="178">
        <f>VLOOKUP(B293,'Planning TB 2024'!$B$14:$Q$888,16,FALSE)</f>
        <v>0</v>
      </c>
      <c r="E293" s="178" t="e">
        <f>VLOOKUP(B293,'Planning TB 2025'!$B$14:$Q$574,16,FALSE)</f>
        <v>#N/A</v>
      </c>
      <c r="F293" s="191" t="e">
        <f t="shared" si="9"/>
        <v>#N/A</v>
      </c>
      <c r="G293" s="206" t="e">
        <f t="shared" si="10"/>
        <v>#N/A</v>
      </c>
    </row>
    <row r="294" spans="1:7" hidden="1" x14ac:dyDescent="0.3">
      <c r="A294" s="177" t="s">
        <v>162</v>
      </c>
      <c r="B294" s="177" t="s">
        <v>2166</v>
      </c>
      <c r="C294" s="78" t="s">
        <v>2167</v>
      </c>
      <c r="D294" s="178">
        <f>VLOOKUP(B294,'Planning TB 2024'!$B$14:$Q$888,16,FALSE)</f>
        <v>0</v>
      </c>
      <c r="E294" s="178" t="e">
        <f>VLOOKUP(B294,'Planning TB 2025'!$B$14:$Q$574,16,FALSE)</f>
        <v>#N/A</v>
      </c>
      <c r="F294" s="191" t="e">
        <f t="shared" si="9"/>
        <v>#N/A</v>
      </c>
      <c r="G294" s="206" t="e">
        <f t="shared" si="10"/>
        <v>#N/A</v>
      </c>
    </row>
    <row r="295" spans="1:7" hidden="1" x14ac:dyDescent="0.3">
      <c r="A295" s="177" t="s">
        <v>162</v>
      </c>
      <c r="B295" s="177" t="s">
        <v>2168</v>
      </c>
      <c r="C295" s="78" t="s">
        <v>2169</v>
      </c>
      <c r="D295" s="178">
        <f>VLOOKUP(B295,'Planning TB 2024'!$B$14:$Q$888,16,FALSE)</f>
        <v>0</v>
      </c>
      <c r="E295" s="178" t="e">
        <f>VLOOKUP(B295,'Planning TB 2025'!$B$14:$Q$574,16,FALSE)</f>
        <v>#N/A</v>
      </c>
      <c r="F295" s="191" t="e">
        <f t="shared" si="9"/>
        <v>#N/A</v>
      </c>
      <c r="G295" s="206" t="e">
        <f t="shared" si="10"/>
        <v>#N/A</v>
      </c>
    </row>
    <row r="296" spans="1:7" hidden="1" x14ac:dyDescent="0.3">
      <c r="A296" s="177" t="s">
        <v>162</v>
      </c>
      <c r="B296" s="177" t="s">
        <v>2170</v>
      </c>
      <c r="C296" s="78" t="s">
        <v>2171</v>
      </c>
      <c r="D296" s="178">
        <f>VLOOKUP(B296,'Planning TB 2024'!$B$14:$Q$888,16,FALSE)</f>
        <v>0</v>
      </c>
      <c r="E296" s="178" t="e">
        <f>VLOOKUP(B296,'Planning TB 2025'!$B$14:$Q$574,16,FALSE)</f>
        <v>#N/A</v>
      </c>
      <c r="F296" s="191" t="e">
        <f t="shared" si="9"/>
        <v>#N/A</v>
      </c>
      <c r="G296" s="206" t="e">
        <f t="shared" si="10"/>
        <v>#N/A</v>
      </c>
    </row>
    <row r="297" spans="1:7" hidden="1" x14ac:dyDescent="0.3">
      <c r="A297" s="177" t="s">
        <v>162</v>
      </c>
      <c r="B297" s="177" t="s">
        <v>2172</v>
      </c>
      <c r="C297" s="78" t="s">
        <v>2173</v>
      </c>
      <c r="D297" s="178">
        <f>VLOOKUP(B297,'Planning TB 2024'!$B$14:$Q$888,16,FALSE)</f>
        <v>0</v>
      </c>
      <c r="E297" s="178" t="e">
        <f>VLOOKUP(B297,'Planning TB 2025'!$B$14:$Q$574,16,FALSE)</f>
        <v>#N/A</v>
      </c>
      <c r="F297" s="191" t="e">
        <f t="shared" si="9"/>
        <v>#N/A</v>
      </c>
      <c r="G297" s="206" t="e">
        <f t="shared" si="10"/>
        <v>#N/A</v>
      </c>
    </row>
    <row r="298" spans="1:7" hidden="1" x14ac:dyDescent="0.3">
      <c r="A298" s="177" t="s">
        <v>162</v>
      </c>
      <c r="B298" s="177" t="s">
        <v>2174</v>
      </c>
      <c r="C298" s="78" t="s">
        <v>2175</v>
      </c>
      <c r="D298" s="178">
        <f>VLOOKUP(B298,'Planning TB 2024'!$B$14:$Q$888,16,FALSE)</f>
        <v>0</v>
      </c>
      <c r="E298" s="178" t="e">
        <f>VLOOKUP(B298,'Planning TB 2025'!$B$14:$Q$574,16,FALSE)</f>
        <v>#N/A</v>
      </c>
      <c r="F298" s="191" t="e">
        <f t="shared" si="9"/>
        <v>#N/A</v>
      </c>
      <c r="G298" s="206" t="e">
        <f t="shared" si="10"/>
        <v>#N/A</v>
      </c>
    </row>
    <row r="299" spans="1:7" hidden="1" x14ac:dyDescent="0.3">
      <c r="A299" s="177" t="s">
        <v>162</v>
      </c>
      <c r="B299" s="177" t="s">
        <v>2176</v>
      </c>
      <c r="C299" s="78" t="s">
        <v>2177</v>
      </c>
      <c r="D299" s="178">
        <f>VLOOKUP(B299,'Planning TB 2024'!$B$14:$Q$888,16,FALSE)</f>
        <v>357842959</v>
      </c>
      <c r="E299" s="178">
        <f>VLOOKUP(B299,'Planning TB 2025'!$B$14:$Q$574,16,FALSE)</f>
        <v>362208466</v>
      </c>
      <c r="F299" s="191">
        <f t="shared" si="9"/>
        <v>4365507</v>
      </c>
      <c r="G299" s="206">
        <f t="shared" si="10"/>
        <v>1.2199505090723331E-2</v>
      </c>
    </row>
    <row r="300" spans="1:7" hidden="1" x14ac:dyDescent="0.3">
      <c r="A300" s="177" t="s">
        <v>162</v>
      </c>
      <c r="B300" s="177" t="s">
        <v>2178</v>
      </c>
      <c r="C300" s="78" t="s">
        <v>2179</v>
      </c>
      <c r="D300" s="178">
        <f>VLOOKUP(B300,'Planning TB 2024'!$B$14:$Q$888,16,FALSE)</f>
        <v>240216101</v>
      </c>
      <c r="E300" s="178">
        <f>VLOOKUP(B300,'Planning TB 2025'!$B$14:$Q$574,16,FALSE)</f>
        <v>217070000</v>
      </c>
      <c r="F300" s="191">
        <f t="shared" si="9"/>
        <v>-23146101</v>
      </c>
      <c r="G300" s="206">
        <f t="shared" si="10"/>
        <v>-9.6355327156026072E-2</v>
      </c>
    </row>
    <row r="301" spans="1:7" hidden="1" x14ac:dyDescent="0.3">
      <c r="A301" s="177" t="s">
        <v>162</v>
      </c>
      <c r="B301" s="177" t="s">
        <v>2180</v>
      </c>
      <c r="C301" s="78" t="s">
        <v>2181</v>
      </c>
      <c r="D301" s="178">
        <f>VLOOKUP(B301,'Planning TB 2024'!$B$14:$Q$888,16,FALSE)</f>
        <v>2992017</v>
      </c>
      <c r="E301" s="178">
        <f>VLOOKUP(B301,'Planning TB 2025'!$B$14:$Q$574,16,FALSE)</f>
        <v>1046662</v>
      </c>
      <c r="F301" s="191">
        <f t="shared" si="9"/>
        <v>-1945355</v>
      </c>
      <c r="G301" s="206">
        <f t="shared" si="10"/>
        <v>-0.65018180043763119</v>
      </c>
    </row>
    <row r="302" spans="1:7" hidden="1" x14ac:dyDescent="0.3">
      <c r="A302" s="177" t="s">
        <v>162</v>
      </c>
      <c r="B302" s="177" t="s">
        <v>2182</v>
      </c>
      <c r="C302" s="78" t="s">
        <v>2183</v>
      </c>
      <c r="D302" s="178">
        <f>VLOOKUP(B302,'Planning TB 2024'!$B$14:$Q$888,16,FALSE)</f>
        <v>10931163</v>
      </c>
      <c r="E302" s="178">
        <f>VLOOKUP(B302,'Planning TB 2025'!$B$14:$Q$574,16,FALSE)</f>
        <v>17676375</v>
      </c>
      <c r="F302" s="191">
        <f t="shared" si="9"/>
        <v>6745212</v>
      </c>
      <c r="G302" s="206">
        <f t="shared" si="10"/>
        <v>0.61706261264240592</v>
      </c>
    </row>
    <row r="303" spans="1:7" hidden="1" x14ac:dyDescent="0.3">
      <c r="A303" s="177" t="s">
        <v>162</v>
      </c>
      <c r="B303" s="177" t="s">
        <v>2184</v>
      </c>
      <c r="C303" s="78" t="s">
        <v>2185</v>
      </c>
      <c r="D303" s="178">
        <f>VLOOKUP(B303,'Planning TB 2024'!$B$14:$Q$888,16,FALSE)</f>
        <v>5059099</v>
      </c>
      <c r="E303" s="178">
        <f>VLOOKUP(B303,'Planning TB 2025'!$B$14:$Q$574,16,FALSE)</f>
        <v>5108622</v>
      </c>
      <c r="F303" s="191">
        <f t="shared" si="9"/>
        <v>49523</v>
      </c>
      <c r="G303" s="206">
        <f t="shared" si="10"/>
        <v>9.7888971929586677E-3</v>
      </c>
    </row>
    <row r="304" spans="1:7" hidden="1" x14ac:dyDescent="0.3">
      <c r="A304" s="177" t="s">
        <v>162</v>
      </c>
      <c r="B304" s="177" t="s">
        <v>2186</v>
      </c>
      <c r="C304" s="78" t="s">
        <v>2187</v>
      </c>
      <c r="D304" s="178">
        <f>VLOOKUP(B304,'Planning TB 2024'!$B$14:$Q$888,16,FALSE)</f>
        <v>20540500.730000004</v>
      </c>
      <c r="E304" s="178">
        <f>VLOOKUP(B304,'Planning TB 2025'!$B$14:$Q$574,16,FALSE)</f>
        <v>20067129.620000001</v>
      </c>
      <c r="F304" s="191">
        <f t="shared" si="9"/>
        <v>-473371.11000000313</v>
      </c>
      <c r="G304" s="206">
        <f t="shared" si="10"/>
        <v>-2.3045743442302296E-2</v>
      </c>
    </row>
    <row r="305" spans="1:7" hidden="1" x14ac:dyDescent="0.3">
      <c r="A305" s="177" t="s">
        <v>162</v>
      </c>
      <c r="B305" s="177" t="s">
        <v>2188</v>
      </c>
      <c r="C305" s="78" t="s">
        <v>2189</v>
      </c>
      <c r="D305" s="178">
        <f>VLOOKUP(B305,'Planning TB 2024'!$B$14:$Q$888,16,FALSE)</f>
        <v>16760832.429999998</v>
      </c>
      <c r="E305" s="178">
        <f>VLOOKUP(B305,'Planning TB 2025'!$B$14:$Q$574,16,FALSE)</f>
        <v>16374532.550000001</v>
      </c>
      <c r="F305" s="191">
        <f t="shared" si="9"/>
        <v>-386299.87999999709</v>
      </c>
      <c r="G305" s="206">
        <f t="shared" si="10"/>
        <v>-2.3047774125380786E-2</v>
      </c>
    </row>
    <row r="306" spans="1:7" hidden="1" x14ac:dyDescent="0.3">
      <c r="A306" s="177" t="s">
        <v>162</v>
      </c>
      <c r="B306" s="177" t="s">
        <v>2190</v>
      </c>
      <c r="C306" s="78" t="s">
        <v>2191</v>
      </c>
      <c r="D306" s="178">
        <f>VLOOKUP(B306,'Planning TB 2024'!$B$14:$Q$888,16,FALSE)</f>
        <v>0</v>
      </c>
      <c r="E306" s="178" t="e">
        <f>VLOOKUP(B306,'Planning TB 2025'!$B$14:$Q$574,16,FALSE)</f>
        <v>#N/A</v>
      </c>
      <c r="F306" s="191" t="e">
        <f t="shared" si="9"/>
        <v>#N/A</v>
      </c>
      <c r="G306" s="206" t="e">
        <f t="shared" si="10"/>
        <v>#N/A</v>
      </c>
    </row>
    <row r="307" spans="1:7" hidden="1" x14ac:dyDescent="0.3">
      <c r="A307" s="177" t="s">
        <v>162</v>
      </c>
      <c r="B307" s="177" t="s">
        <v>2192</v>
      </c>
      <c r="C307" s="78" t="s">
        <v>2193</v>
      </c>
      <c r="D307" s="178">
        <f>VLOOKUP(B307,'Planning TB 2024'!$B$14:$Q$888,16,FALSE)</f>
        <v>17514751.010000002</v>
      </c>
      <c r="E307" s="178">
        <f>VLOOKUP(B307,'Planning TB 2025'!$B$14:$Q$574,16,FALSE)</f>
        <v>20113983.830000002</v>
      </c>
      <c r="F307" s="191">
        <f t="shared" si="9"/>
        <v>2599232.8200000003</v>
      </c>
      <c r="G307" s="206">
        <f t="shared" si="10"/>
        <v>0.14840249904300523</v>
      </c>
    </row>
    <row r="308" spans="1:7" hidden="1" x14ac:dyDescent="0.3">
      <c r="A308" s="177" t="s">
        <v>162</v>
      </c>
      <c r="B308" s="177" t="s">
        <v>2194</v>
      </c>
      <c r="C308" s="78" t="s">
        <v>2195</v>
      </c>
      <c r="D308" s="178">
        <f>VLOOKUP(B308,'Planning TB 2024'!$B$14:$Q$888,16,FALSE)</f>
        <v>17717316</v>
      </c>
      <c r="E308" s="178">
        <f>VLOOKUP(B308,'Planning TB 2025'!$B$14:$Q$574,16,FALSE)</f>
        <v>18628285</v>
      </c>
      <c r="F308" s="191">
        <f t="shared" si="9"/>
        <v>910969</v>
      </c>
      <c r="G308" s="206">
        <f t="shared" si="10"/>
        <v>5.1416873752209422E-2</v>
      </c>
    </row>
    <row r="309" spans="1:7" hidden="1" x14ac:dyDescent="0.3">
      <c r="A309" s="177" t="s">
        <v>162</v>
      </c>
      <c r="B309" s="177" t="s">
        <v>2196</v>
      </c>
      <c r="C309" s="78" t="s">
        <v>2197</v>
      </c>
      <c r="D309" s="178">
        <f>VLOOKUP(B309,'Planning TB 2024'!$B$14:$Q$888,16,FALSE)</f>
        <v>4638221.5299999993</v>
      </c>
      <c r="E309" s="178" t="e">
        <f>VLOOKUP(B309,'Planning TB 2025'!$B$14:$Q$574,16,FALSE)</f>
        <v>#N/A</v>
      </c>
      <c r="F309" s="191" t="e">
        <f t="shared" si="9"/>
        <v>#N/A</v>
      </c>
      <c r="G309" s="206" t="e">
        <f t="shared" si="10"/>
        <v>#N/A</v>
      </c>
    </row>
    <row r="310" spans="1:7" hidden="1" x14ac:dyDescent="0.3">
      <c r="A310" s="177" t="s">
        <v>162</v>
      </c>
      <c r="B310" s="177" t="s">
        <v>2198</v>
      </c>
      <c r="C310" s="78" t="s">
        <v>2199</v>
      </c>
      <c r="D310" s="178">
        <f>VLOOKUP(B310,'Planning TB 2024'!$B$14:$Q$888,16,FALSE)</f>
        <v>0</v>
      </c>
      <c r="E310" s="178" t="e">
        <f>VLOOKUP(B310,'Planning TB 2025'!$B$14:$Q$574,16,FALSE)</f>
        <v>#N/A</v>
      </c>
      <c r="F310" s="191" t="e">
        <f t="shared" si="9"/>
        <v>#N/A</v>
      </c>
      <c r="G310" s="206" t="e">
        <f t="shared" si="10"/>
        <v>#N/A</v>
      </c>
    </row>
    <row r="311" spans="1:7" hidden="1" x14ac:dyDescent="0.3">
      <c r="A311" s="177" t="s">
        <v>162</v>
      </c>
      <c r="B311" s="177" t="s">
        <v>2200</v>
      </c>
      <c r="C311" s="78" t="s">
        <v>2201</v>
      </c>
      <c r="D311" s="178">
        <f>VLOOKUP(B311,'Planning TB 2024'!$B$14:$Q$888,16,FALSE)</f>
        <v>0</v>
      </c>
      <c r="E311" s="178" t="e">
        <f>VLOOKUP(B311,'Planning TB 2025'!$B$14:$Q$574,16,FALSE)</f>
        <v>#N/A</v>
      </c>
      <c r="F311" s="191" t="e">
        <f t="shared" si="9"/>
        <v>#N/A</v>
      </c>
      <c r="G311" s="206" t="e">
        <f t="shared" si="10"/>
        <v>#N/A</v>
      </c>
    </row>
    <row r="312" spans="1:7" hidden="1" x14ac:dyDescent="0.3">
      <c r="A312" s="177" t="s">
        <v>162</v>
      </c>
      <c r="B312" s="177" t="s">
        <v>2202</v>
      </c>
      <c r="C312" s="78" t="s">
        <v>2203</v>
      </c>
      <c r="D312" s="178">
        <f>VLOOKUP(B312,'Planning TB 2024'!$B$14:$Q$888,16,FALSE)</f>
        <v>0</v>
      </c>
      <c r="E312" s="178" t="e">
        <f>VLOOKUP(B312,'Planning TB 2025'!$B$14:$Q$574,16,FALSE)</f>
        <v>#N/A</v>
      </c>
      <c r="F312" s="191" t="e">
        <f t="shared" si="9"/>
        <v>#N/A</v>
      </c>
      <c r="G312" s="206" t="e">
        <f t="shared" si="10"/>
        <v>#N/A</v>
      </c>
    </row>
    <row r="313" spans="1:7" hidden="1" x14ac:dyDescent="0.3">
      <c r="A313" s="177" t="s">
        <v>162</v>
      </c>
      <c r="B313" s="177" t="s">
        <v>2204</v>
      </c>
      <c r="C313" s="78" t="s">
        <v>2205</v>
      </c>
      <c r="D313" s="178">
        <f>VLOOKUP(B313,'Planning TB 2024'!$B$14:$Q$888,16,FALSE)</f>
        <v>0</v>
      </c>
      <c r="E313" s="178" t="e">
        <f>VLOOKUP(B313,'Planning TB 2025'!$B$14:$Q$574,16,FALSE)</f>
        <v>#N/A</v>
      </c>
      <c r="F313" s="191" t="e">
        <f t="shared" si="9"/>
        <v>#N/A</v>
      </c>
      <c r="G313" s="206" t="e">
        <f t="shared" si="10"/>
        <v>#N/A</v>
      </c>
    </row>
    <row r="314" spans="1:7" hidden="1" x14ac:dyDescent="0.3">
      <c r="A314" s="177" t="s">
        <v>162</v>
      </c>
      <c r="B314" s="177" t="s">
        <v>2206</v>
      </c>
      <c r="C314" s="78" t="s">
        <v>2207</v>
      </c>
      <c r="D314" s="178">
        <f>VLOOKUP(B314,'Planning TB 2024'!$B$14:$Q$888,16,FALSE)</f>
        <v>0</v>
      </c>
      <c r="E314" s="178" t="e">
        <f>VLOOKUP(B314,'Planning TB 2025'!$B$14:$Q$574,16,FALSE)</f>
        <v>#N/A</v>
      </c>
      <c r="F314" s="191" t="e">
        <f t="shared" si="9"/>
        <v>#N/A</v>
      </c>
      <c r="G314" s="206" t="e">
        <f t="shared" si="10"/>
        <v>#N/A</v>
      </c>
    </row>
    <row r="315" spans="1:7" hidden="1" x14ac:dyDescent="0.3">
      <c r="A315" s="177" t="s">
        <v>162</v>
      </c>
      <c r="B315" s="177" t="s">
        <v>2208</v>
      </c>
      <c r="C315" s="78" t="s">
        <v>2209</v>
      </c>
      <c r="D315" s="178">
        <f>VLOOKUP(B315,'Planning TB 2024'!$B$14:$Q$888,16,FALSE)</f>
        <v>0</v>
      </c>
      <c r="E315" s="178" t="e">
        <f>VLOOKUP(B315,'Planning TB 2025'!$B$14:$Q$574,16,FALSE)</f>
        <v>#N/A</v>
      </c>
      <c r="F315" s="191" t="e">
        <f t="shared" si="9"/>
        <v>#N/A</v>
      </c>
      <c r="G315" s="206" t="e">
        <f t="shared" si="10"/>
        <v>#N/A</v>
      </c>
    </row>
    <row r="316" spans="1:7" hidden="1" x14ac:dyDescent="0.3">
      <c r="A316" s="177" t="s">
        <v>162</v>
      </c>
      <c r="B316" s="177" t="s">
        <v>2210</v>
      </c>
      <c r="C316" s="78" t="s">
        <v>2211</v>
      </c>
      <c r="D316" s="178">
        <f>VLOOKUP(B316,'Planning TB 2024'!$B$14:$Q$888,16,FALSE)</f>
        <v>0</v>
      </c>
      <c r="E316" s="178" t="e">
        <f>VLOOKUP(B316,'Planning TB 2025'!$B$14:$Q$574,16,FALSE)</f>
        <v>#N/A</v>
      </c>
      <c r="F316" s="191" t="e">
        <f t="shared" si="9"/>
        <v>#N/A</v>
      </c>
      <c r="G316" s="206" t="e">
        <f t="shared" si="10"/>
        <v>#N/A</v>
      </c>
    </row>
    <row r="317" spans="1:7" hidden="1" x14ac:dyDescent="0.3">
      <c r="A317" s="177" t="s">
        <v>162</v>
      </c>
      <c r="B317" s="177" t="s">
        <v>2212</v>
      </c>
      <c r="C317" s="78" t="s">
        <v>2213</v>
      </c>
      <c r="D317" s="178">
        <f>VLOOKUP(B317,'Planning TB 2024'!$B$14:$Q$888,16,FALSE)</f>
        <v>0</v>
      </c>
      <c r="E317" s="178" t="e">
        <f>VLOOKUP(B317,'Planning TB 2025'!$B$14:$Q$574,16,FALSE)</f>
        <v>#N/A</v>
      </c>
      <c r="F317" s="191" t="e">
        <f t="shared" si="9"/>
        <v>#N/A</v>
      </c>
      <c r="G317" s="206" t="e">
        <f t="shared" si="10"/>
        <v>#N/A</v>
      </c>
    </row>
    <row r="318" spans="1:7" hidden="1" x14ac:dyDescent="0.3">
      <c r="A318" s="177" t="s">
        <v>162</v>
      </c>
      <c r="B318" s="177" t="s">
        <v>2214</v>
      </c>
      <c r="C318" s="78" t="s">
        <v>2215</v>
      </c>
      <c r="D318" s="178">
        <f>VLOOKUP(B318,'Planning TB 2024'!$B$14:$Q$888,16,FALSE)</f>
        <v>0</v>
      </c>
      <c r="E318" s="178" t="e">
        <f>VLOOKUP(B318,'Planning TB 2025'!$B$14:$Q$574,16,FALSE)</f>
        <v>#N/A</v>
      </c>
      <c r="F318" s="191" t="e">
        <f t="shared" si="9"/>
        <v>#N/A</v>
      </c>
      <c r="G318" s="206" t="e">
        <f t="shared" si="10"/>
        <v>#N/A</v>
      </c>
    </row>
    <row r="319" spans="1:7" hidden="1" x14ac:dyDescent="0.3">
      <c r="A319" s="177" t="s">
        <v>162</v>
      </c>
      <c r="B319" s="177" t="s">
        <v>2216</v>
      </c>
      <c r="C319" s="78" t="s">
        <v>2217</v>
      </c>
      <c r="D319" s="178">
        <f>VLOOKUP(B319,'Planning TB 2024'!$B$14:$Q$888,16,FALSE)</f>
        <v>21407721</v>
      </c>
      <c r="E319" s="178">
        <f>VLOOKUP(B319,'Planning TB 2025'!$B$14:$Q$574,16,FALSE)</f>
        <v>20889756</v>
      </c>
      <c r="F319" s="191">
        <f t="shared" si="9"/>
        <v>-517965</v>
      </c>
      <c r="G319" s="206">
        <f t="shared" si="10"/>
        <v>-2.4195242454813384E-2</v>
      </c>
    </row>
    <row r="320" spans="1:7" hidden="1" x14ac:dyDescent="0.3">
      <c r="A320" s="177" t="s">
        <v>162</v>
      </c>
      <c r="B320" s="177" t="s">
        <v>2218</v>
      </c>
      <c r="C320" s="78" t="s">
        <v>2219</v>
      </c>
      <c r="D320" s="178">
        <f>VLOOKUP(B320,'Planning TB 2024'!$B$14:$Q$888,16,FALSE)</f>
        <v>25030834</v>
      </c>
      <c r="E320" s="178">
        <f>VLOOKUP(B320,'Planning TB 2025'!$B$14:$Q$574,16,FALSE)</f>
        <v>21812870</v>
      </c>
      <c r="F320" s="191">
        <f t="shared" si="9"/>
        <v>-3217964</v>
      </c>
      <c r="G320" s="206">
        <f t="shared" si="10"/>
        <v>-0.12855999923933817</v>
      </c>
    </row>
    <row r="321" spans="1:7" hidden="1" x14ac:dyDescent="0.3">
      <c r="A321" s="177" t="s">
        <v>162</v>
      </c>
      <c r="B321" s="177" t="s">
        <v>2220</v>
      </c>
      <c r="C321" s="78" t="s">
        <v>2221</v>
      </c>
      <c r="D321" s="178">
        <f>VLOOKUP(B321,'Planning TB 2024'!$B$14:$Q$888,16,FALSE)</f>
        <v>269315</v>
      </c>
      <c r="E321" s="178">
        <f>VLOOKUP(B321,'Planning TB 2025'!$B$14:$Q$574,16,FALSE)</f>
        <v>83593</v>
      </c>
      <c r="F321" s="191">
        <f t="shared" si="9"/>
        <v>-185722</v>
      </c>
      <c r="G321" s="206">
        <f t="shared" si="10"/>
        <v>-0.68960882238271171</v>
      </c>
    </row>
    <row r="322" spans="1:7" hidden="1" x14ac:dyDescent="0.3">
      <c r="A322" s="177" t="s">
        <v>162</v>
      </c>
      <c r="B322" s="177" t="s">
        <v>2222</v>
      </c>
      <c r="C322" s="78" t="s">
        <v>2223</v>
      </c>
      <c r="D322" s="178">
        <f>VLOOKUP(B322,'Planning TB 2024'!$B$14:$Q$888,16,FALSE)</f>
        <v>1006861</v>
      </c>
      <c r="E322" s="178">
        <f>VLOOKUP(B322,'Planning TB 2025'!$B$14:$Q$574,16,FALSE)</f>
        <v>1325706</v>
      </c>
      <c r="F322" s="191">
        <f t="shared" si="9"/>
        <v>318845</v>
      </c>
      <c r="G322" s="206">
        <f t="shared" si="10"/>
        <v>0.31667231127236034</v>
      </c>
    </row>
    <row r="323" spans="1:7" hidden="1" x14ac:dyDescent="0.3">
      <c r="A323" s="177" t="s">
        <v>162</v>
      </c>
      <c r="B323" s="177" t="s">
        <v>2224</v>
      </c>
      <c r="C323" s="78" t="s">
        <v>2225</v>
      </c>
      <c r="D323" s="178">
        <f>VLOOKUP(B323,'Planning TB 2024'!$B$14:$Q$888,16,FALSE)</f>
        <v>493993</v>
      </c>
      <c r="E323" s="178">
        <f>VLOOKUP(B323,'Planning TB 2025'!$B$14:$Q$574,16,FALSE)</f>
        <v>481189</v>
      </c>
      <c r="F323" s="191">
        <f t="shared" si="9"/>
        <v>-12804</v>
      </c>
      <c r="G323" s="206">
        <f t="shared" si="10"/>
        <v>-2.5919395618966262E-2</v>
      </c>
    </row>
    <row r="324" spans="1:7" hidden="1" x14ac:dyDescent="0.3">
      <c r="A324" s="177" t="s">
        <v>162</v>
      </c>
      <c r="B324" s="177" t="s">
        <v>2226</v>
      </c>
      <c r="C324" s="78" t="s">
        <v>2227</v>
      </c>
      <c r="D324" s="178">
        <f>VLOOKUP(B324,'Planning TB 2024'!$B$14:$Q$888,16,FALSE)</f>
        <v>1269841.4999999998</v>
      </c>
      <c r="E324" s="178">
        <f>VLOOKUP(B324,'Planning TB 2025'!$B$14:$Q$574,16,FALSE)</f>
        <v>1194427.5900000001</v>
      </c>
      <c r="F324" s="191">
        <f t="shared" ref="F324:F387" si="11">E324-D324</f>
        <v>-75413.909999999683</v>
      </c>
      <c r="G324" s="206">
        <f t="shared" ref="G324:G387" si="12">F324/D324</f>
        <v>-5.9388443360844402E-2</v>
      </c>
    </row>
    <row r="325" spans="1:7" hidden="1" x14ac:dyDescent="0.3">
      <c r="A325" s="177" t="s">
        <v>162</v>
      </c>
      <c r="B325" s="177" t="s">
        <v>2228</v>
      </c>
      <c r="C325" s="78" t="s">
        <v>2229</v>
      </c>
      <c r="D325" s="178">
        <f>VLOOKUP(B325,'Planning TB 2024'!$B$14:$Q$888,16,FALSE)</f>
        <v>0</v>
      </c>
      <c r="E325" s="178" t="e">
        <f>VLOOKUP(B325,'Planning TB 2025'!$B$14:$Q$574,16,FALSE)</f>
        <v>#N/A</v>
      </c>
      <c r="F325" s="191" t="e">
        <f t="shared" si="11"/>
        <v>#N/A</v>
      </c>
      <c r="G325" s="206" t="e">
        <f t="shared" si="12"/>
        <v>#N/A</v>
      </c>
    </row>
    <row r="326" spans="1:7" hidden="1" x14ac:dyDescent="0.3">
      <c r="A326" s="177" t="s">
        <v>162</v>
      </c>
      <c r="B326" s="177" t="s">
        <v>2230</v>
      </c>
      <c r="C326" s="78" t="s">
        <v>2231</v>
      </c>
      <c r="D326" s="178">
        <f>VLOOKUP(B326,'Planning TB 2024'!$B$14:$Q$888,16,FALSE)</f>
        <v>331114.65000000002</v>
      </c>
      <c r="E326" s="178">
        <f>VLOOKUP(B326,'Planning TB 2025'!$B$14:$Q$574,16,FALSE)</f>
        <v>377472.11</v>
      </c>
      <c r="F326" s="191">
        <f t="shared" si="11"/>
        <v>46357.459999999963</v>
      </c>
      <c r="G326" s="206">
        <f t="shared" si="12"/>
        <v>0.14000425532364683</v>
      </c>
    </row>
    <row r="327" spans="1:7" hidden="1" x14ac:dyDescent="0.3">
      <c r="A327" s="177" t="s">
        <v>162</v>
      </c>
      <c r="B327" s="177" t="s">
        <v>2232</v>
      </c>
      <c r="C327" s="78" t="s">
        <v>2233</v>
      </c>
      <c r="D327" s="178">
        <f>VLOOKUP(B327,'Planning TB 2024'!$B$14:$Q$888,16,FALSE)</f>
        <v>945246</v>
      </c>
      <c r="E327" s="178">
        <f>VLOOKUP(B327,'Planning TB 2025'!$B$14:$Q$574,16,FALSE)</f>
        <v>1612138</v>
      </c>
      <c r="F327" s="191">
        <f t="shared" si="11"/>
        <v>666892</v>
      </c>
      <c r="G327" s="206">
        <f t="shared" si="12"/>
        <v>0.70552216036883519</v>
      </c>
    </row>
    <row r="328" spans="1:7" hidden="1" x14ac:dyDescent="0.3">
      <c r="A328" s="177" t="s">
        <v>162</v>
      </c>
      <c r="B328" s="177" t="s">
        <v>2234</v>
      </c>
      <c r="C328" s="78" t="s">
        <v>2235</v>
      </c>
      <c r="D328" s="178">
        <f>VLOOKUP(B328,'Planning TB 2024'!$B$14:$Q$888,16,FALSE)</f>
        <v>38841.83</v>
      </c>
      <c r="E328" s="178" t="e">
        <f>VLOOKUP(B328,'Planning TB 2025'!$B$14:$Q$574,16,FALSE)</f>
        <v>#N/A</v>
      </c>
      <c r="F328" s="191" t="e">
        <f t="shared" si="11"/>
        <v>#N/A</v>
      </c>
      <c r="G328" s="206" t="e">
        <f t="shared" si="12"/>
        <v>#N/A</v>
      </c>
    </row>
    <row r="329" spans="1:7" hidden="1" x14ac:dyDescent="0.3">
      <c r="A329" s="177" t="s">
        <v>162</v>
      </c>
      <c r="B329" s="177" t="s">
        <v>2236</v>
      </c>
      <c r="C329" s="78" t="s">
        <v>2237</v>
      </c>
      <c r="D329" s="178">
        <f>VLOOKUP(B329,'Planning TB 2024'!$B$14:$Q$888,16,FALSE)</f>
        <v>0</v>
      </c>
      <c r="E329" s="178" t="e">
        <f>VLOOKUP(B329,'Planning TB 2025'!$B$14:$Q$574,16,FALSE)</f>
        <v>#N/A</v>
      </c>
      <c r="F329" s="191" t="e">
        <f t="shared" si="11"/>
        <v>#N/A</v>
      </c>
      <c r="G329" s="206" t="e">
        <f t="shared" si="12"/>
        <v>#N/A</v>
      </c>
    </row>
    <row r="330" spans="1:7" hidden="1" x14ac:dyDescent="0.3">
      <c r="A330" s="177" t="s">
        <v>162</v>
      </c>
      <c r="B330" s="177" t="s">
        <v>2238</v>
      </c>
      <c r="C330" s="78" t="s">
        <v>2239</v>
      </c>
      <c r="D330" s="178">
        <f>VLOOKUP(B330,'Planning TB 2024'!$B$14:$Q$888,16,FALSE)</f>
        <v>0</v>
      </c>
      <c r="E330" s="178" t="e">
        <f>VLOOKUP(B330,'Planning TB 2025'!$B$14:$Q$574,16,FALSE)</f>
        <v>#N/A</v>
      </c>
      <c r="F330" s="191" t="e">
        <f t="shared" si="11"/>
        <v>#N/A</v>
      </c>
      <c r="G330" s="206" t="e">
        <f t="shared" si="12"/>
        <v>#N/A</v>
      </c>
    </row>
    <row r="331" spans="1:7" hidden="1" x14ac:dyDescent="0.3">
      <c r="A331" s="177" t="s">
        <v>162</v>
      </c>
      <c r="B331" s="177" t="s">
        <v>2240</v>
      </c>
      <c r="C331" s="78" t="s">
        <v>2241</v>
      </c>
      <c r="D331" s="178">
        <f>VLOOKUP(B331,'Planning TB 2024'!$B$14:$Q$888,16,FALSE)</f>
        <v>0</v>
      </c>
      <c r="E331" s="178" t="e">
        <f>VLOOKUP(B331,'Planning TB 2025'!$B$14:$Q$574,16,FALSE)</f>
        <v>#N/A</v>
      </c>
      <c r="F331" s="191" t="e">
        <f t="shared" si="11"/>
        <v>#N/A</v>
      </c>
      <c r="G331" s="206" t="e">
        <f t="shared" si="12"/>
        <v>#N/A</v>
      </c>
    </row>
    <row r="332" spans="1:7" hidden="1" x14ac:dyDescent="0.3">
      <c r="A332" s="177" t="s">
        <v>162</v>
      </c>
      <c r="B332" s="177" t="s">
        <v>2242</v>
      </c>
      <c r="C332" s="78" t="s">
        <v>2243</v>
      </c>
      <c r="D332" s="178">
        <f>VLOOKUP(B332,'Planning TB 2024'!$B$14:$Q$888,16,FALSE)</f>
        <v>0</v>
      </c>
      <c r="E332" s="178" t="e">
        <f>VLOOKUP(B332,'Planning TB 2025'!$B$14:$Q$574,16,FALSE)</f>
        <v>#N/A</v>
      </c>
      <c r="F332" s="191" t="e">
        <f t="shared" si="11"/>
        <v>#N/A</v>
      </c>
      <c r="G332" s="206" t="e">
        <f t="shared" si="12"/>
        <v>#N/A</v>
      </c>
    </row>
    <row r="333" spans="1:7" hidden="1" x14ac:dyDescent="0.3">
      <c r="A333" s="177" t="s">
        <v>162</v>
      </c>
      <c r="B333" s="177" t="s">
        <v>2244</v>
      </c>
      <c r="C333" s="78" t="s">
        <v>2245</v>
      </c>
      <c r="D333" s="178">
        <f>VLOOKUP(B333,'Planning TB 2024'!$B$14:$Q$888,16,FALSE)</f>
        <v>0</v>
      </c>
      <c r="E333" s="178" t="e">
        <f>VLOOKUP(B333,'Planning TB 2025'!$B$14:$Q$574,16,FALSE)</f>
        <v>#N/A</v>
      </c>
      <c r="F333" s="191" t="e">
        <f t="shared" si="11"/>
        <v>#N/A</v>
      </c>
      <c r="G333" s="206" t="e">
        <f t="shared" si="12"/>
        <v>#N/A</v>
      </c>
    </row>
    <row r="334" spans="1:7" hidden="1" x14ac:dyDescent="0.3">
      <c r="A334" s="177" t="s">
        <v>162</v>
      </c>
      <c r="B334" s="177" t="s">
        <v>2246</v>
      </c>
      <c r="C334" s="78" t="s">
        <v>2247</v>
      </c>
      <c r="D334" s="178">
        <f>VLOOKUP(B334,'Planning TB 2024'!$B$14:$Q$888,16,FALSE)</f>
        <v>0</v>
      </c>
      <c r="E334" s="178" t="e">
        <f>VLOOKUP(B334,'Planning TB 2025'!$B$14:$Q$574,16,FALSE)</f>
        <v>#N/A</v>
      </c>
      <c r="F334" s="191" t="e">
        <f t="shared" si="11"/>
        <v>#N/A</v>
      </c>
      <c r="G334" s="206" t="e">
        <f t="shared" si="12"/>
        <v>#N/A</v>
      </c>
    </row>
    <row r="335" spans="1:7" hidden="1" x14ac:dyDescent="0.3">
      <c r="A335" s="177" t="s">
        <v>162</v>
      </c>
      <c r="B335" s="177" t="s">
        <v>2248</v>
      </c>
      <c r="C335" s="78" t="s">
        <v>2249</v>
      </c>
      <c r="D335" s="178">
        <f>VLOOKUP(B335,'Planning TB 2024'!$B$14:$Q$888,16,FALSE)</f>
        <v>0</v>
      </c>
      <c r="E335" s="178" t="e">
        <f>VLOOKUP(B335,'Planning TB 2025'!$B$14:$Q$574,16,FALSE)</f>
        <v>#N/A</v>
      </c>
      <c r="F335" s="191" t="e">
        <f t="shared" si="11"/>
        <v>#N/A</v>
      </c>
      <c r="G335" s="206" t="e">
        <f t="shared" si="12"/>
        <v>#N/A</v>
      </c>
    </row>
    <row r="336" spans="1:7" hidden="1" x14ac:dyDescent="0.3">
      <c r="A336" s="177" t="s">
        <v>162</v>
      </c>
      <c r="B336" s="177" t="s">
        <v>2250</v>
      </c>
      <c r="C336" s="78" t="s">
        <v>2251</v>
      </c>
      <c r="D336" s="178">
        <f>VLOOKUP(B336,'Planning TB 2024'!$B$14:$Q$888,16,FALSE)</f>
        <v>0</v>
      </c>
      <c r="E336" s="178" t="e">
        <f>VLOOKUP(B336,'Planning TB 2025'!$B$14:$Q$574,16,FALSE)</f>
        <v>#N/A</v>
      </c>
      <c r="F336" s="191" t="e">
        <f t="shared" si="11"/>
        <v>#N/A</v>
      </c>
      <c r="G336" s="206" t="e">
        <f t="shared" si="12"/>
        <v>#N/A</v>
      </c>
    </row>
    <row r="337" spans="1:7" hidden="1" x14ac:dyDescent="0.3">
      <c r="A337" s="177" t="s">
        <v>162</v>
      </c>
      <c r="B337" s="177" t="s">
        <v>2252</v>
      </c>
      <c r="C337" s="78" t="s">
        <v>2253</v>
      </c>
      <c r="D337" s="178">
        <f>VLOOKUP(B337,'Planning TB 2024'!$B$14:$Q$888,16,FALSE)</f>
        <v>0</v>
      </c>
      <c r="E337" s="178" t="e">
        <f>VLOOKUP(B337,'Planning TB 2025'!$B$14:$Q$574,16,FALSE)</f>
        <v>#N/A</v>
      </c>
      <c r="F337" s="191" t="e">
        <f t="shared" si="11"/>
        <v>#N/A</v>
      </c>
      <c r="G337" s="206" t="e">
        <f t="shared" si="12"/>
        <v>#N/A</v>
      </c>
    </row>
    <row r="338" spans="1:7" hidden="1" x14ac:dyDescent="0.3">
      <c r="A338" s="177" t="s">
        <v>162</v>
      </c>
      <c r="B338" s="177" t="s">
        <v>2254</v>
      </c>
      <c r="C338" s="78" t="s">
        <v>2255</v>
      </c>
      <c r="D338" s="178">
        <f>VLOOKUP(B338,'Planning TB 2024'!$B$14:$Q$888,16,FALSE)</f>
        <v>0</v>
      </c>
      <c r="E338" s="178" t="e">
        <f>VLOOKUP(B338,'Planning TB 2025'!$B$14:$Q$574,16,FALSE)</f>
        <v>#N/A</v>
      </c>
      <c r="F338" s="191" t="e">
        <f t="shared" si="11"/>
        <v>#N/A</v>
      </c>
      <c r="G338" s="206" t="e">
        <f t="shared" si="12"/>
        <v>#N/A</v>
      </c>
    </row>
    <row r="339" spans="1:7" hidden="1" x14ac:dyDescent="0.3">
      <c r="A339" s="177" t="s">
        <v>162</v>
      </c>
      <c r="B339" s="177" t="s">
        <v>2256</v>
      </c>
      <c r="C339" s="78" t="s">
        <v>2257</v>
      </c>
      <c r="D339" s="178">
        <f>VLOOKUP(B339,'Planning TB 2024'!$B$14:$Q$888,16,FALSE)</f>
        <v>48082929</v>
      </c>
      <c r="E339" s="178">
        <f>VLOOKUP(B339,'Planning TB 2025'!$B$14:$Q$574,16,FALSE)</f>
        <v>48167392</v>
      </c>
      <c r="F339" s="191">
        <f t="shared" si="11"/>
        <v>84463</v>
      </c>
      <c r="G339" s="206">
        <f t="shared" si="12"/>
        <v>1.7566109585379045E-3</v>
      </c>
    </row>
    <row r="340" spans="1:7" hidden="1" x14ac:dyDescent="0.3">
      <c r="A340" s="177" t="s">
        <v>162</v>
      </c>
      <c r="B340" s="177" t="s">
        <v>2258</v>
      </c>
      <c r="C340" s="78" t="s">
        <v>2259</v>
      </c>
      <c r="D340" s="178">
        <f>VLOOKUP(B340,'Planning TB 2024'!$B$14:$Q$888,16,FALSE)</f>
        <v>45428948</v>
      </c>
      <c r="E340" s="178">
        <f>VLOOKUP(B340,'Planning TB 2025'!$B$14:$Q$574,16,FALSE)</f>
        <v>40574680</v>
      </c>
      <c r="F340" s="191">
        <f t="shared" si="11"/>
        <v>-4854268</v>
      </c>
      <c r="G340" s="206">
        <f t="shared" si="12"/>
        <v>-0.10685407022852478</v>
      </c>
    </row>
    <row r="341" spans="1:7" hidden="1" x14ac:dyDescent="0.3">
      <c r="A341" s="177" t="s">
        <v>162</v>
      </c>
      <c r="B341" s="177" t="s">
        <v>2260</v>
      </c>
      <c r="C341" s="78" t="s">
        <v>2261</v>
      </c>
      <c r="D341" s="178">
        <f>VLOOKUP(B341,'Planning TB 2024'!$B$14:$Q$888,16,FALSE)</f>
        <v>508713</v>
      </c>
      <c r="E341" s="178">
        <f>VLOOKUP(B341,'Planning TB 2025'!$B$14:$Q$574,16,FALSE)</f>
        <v>176858</v>
      </c>
      <c r="F341" s="191">
        <f t="shared" si="11"/>
        <v>-331855</v>
      </c>
      <c r="G341" s="206">
        <f t="shared" si="12"/>
        <v>-0.65234228336999445</v>
      </c>
    </row>
    <row r="342" spans="1:7" hidden="1" x14ac:dyDescent="0.3">
      <c r="A342" s="177" t="s">
        <v>162</v>
      </c>
      <c r="B342" s="177" t="s">
        <v>2262</v>
      </c>
      <c r="C342" s="78" t="s">
        <v>2263</v>
      </c>
      <c r="D342" s="178">
        <f>VLOOKUP(B342,'Planning TB 2024'!$B$14:$Q$888,16,FALSE)</f>
        <v>1886547</v>
      </c>
      <c r="E342" s="178">
        <f>VLOOKUP(B342,'Planning TB 2025'!$B$14:$Q$574,16,FALSE)</f>
        <v>2930147</v>
      </c>
      <c r="F342" s="191">
        <f t="shared" si="11"/>
        <v>1043600</v>
      </c>
      <c r="G342" s="206">
        <f t="shared" si="12"/>
        <v>0.55317996318141027</v>
      </c>
    </row>
    <row r="343" spans="1:7" hidden="1" x14ac:dyDescent="0.3">
      <c r="A343" s="177" t="s">
        <v>162</v>
      </c>
      <c r="B343" s="177" t="s">
        <v>2264</v>
      </c>
      <c r="C343" s="78" t="s">
        <v>2265</v>
      </c>
      <c r="D343" s="178">
        <f>VLOOKUP(B343,'Planning TB 2024'!$B$14:$Q$888,16,FALSE)</f>
        <v>932316</v>
      </c>
      <c r="E343" s="178">
        <f>VLOOKUP(B343,'Planning TB 2025'!$B$14:$Q$574,16,FALSE)</f>
        <v>930482</v>
      </c>
      <c r="F343" s="191">
        <f t="shared" si="11"/>
        <v>-1834</v>
      </c>
      <c r="G343" s="206">
        <f t="shared" si="12"/>
        <v>-1.9671441871640088E-3</v>
      </c>
    </row>
    <row r="344" spans="1:7" hidden="1" x14ac:dyDescent="0.3">
      <c r="A344" s="177" t="s">
        <v>162</v>
      </c>
      <c r="B344" s="177" t="s">
        <v>2266</v>
      </c>
      <c r="C344" s="78" t="s">
        <v>2267</v>
      </c>
      <c r="D344" s="178">
        <f>VLOOKUP(B344,'Planning TB 2024'!$B$14:$Q$888,16,FALSE)</f>
        <v>4266517.79</v>
      </c>
      <c r="E344" s="178">
        <f>VLOOKUP(B344,'Planning TB 2025'!$B$14:$Q$574,16,FALSE)</f>
        <v>4089951.8099999996</v>
      </c>
      <c r="F344" s="191">
        <f t="shared" si="11"/>
        <v>-176565.98000000045</v>
      </c>
      <c r="G344" s="206">
        <f t="shared" si="12"/>
        <v>-4.1384095576453804E-2</v>
      </c>
    </row>
    <row r="345" spans="1:7" hidden="1" x14ac:dyDescent="0.3">
      <c r="A345" s="177" t="s">
        <v>162</v>
      </c>
      <c r="B345" s="177" t="s">
        <v>2268</v>
      </c>
      <c r="C345" s="78" t="s">
        <v>2269</v>
      </c>
      <c r="D345" s="178">
        <f>VLOOKUP(B345,'Planning TB 2024'!$B$14:$Q$888,16,FALSE)</f>
        <v>2595364.0499999998</v>
      </c>
      <c r="E345" s="178">
        <f>VLOOKUP(B345,'Planning TB 2025'!$B$14:$Q$574,16,FALSE)</f>
        <v>2489923.6999999997</v>
      </c>
      <c r="F345" s="191">
        <f t="shared" si="11"/>
        <v>-105440.35000000009</v>
      </c>
      <c r="G345" s="206">
        <f t="shared" si="12"/>
        <v>-4.0626420019958316E-2</v>
      </c>
    </row>
    <row r="346" spans="1:7" hidden="1" x14ac:dyDescent="0.3">
      <c r="A346" s="177" t="s">
        <v>162</v>
      </c>
      <c r="B346" s="177" t="s">
        <v>2270</v>
      </c>
      <c r="C346" s="78" t="s">
        <v>2271</v>
      </c>
      <c r="D346" s="178">
        <f>VLOOKUP(B346,'Planning TB 2024'!$B$14:$Q$888,16,FALSE)</f>
        <v>0</v>
      </c>
      <c r="E346" s="178" t="e">
        <f>VLOOKUP(B346,'Planning TB 2025'!$B$14:$Q$574,16,FALSE)</f>
        <v>#N/A</v>
      </c>
      <c r="F346" s="191" t="e">
        <f t="shared" si="11"/>
        <v>#N/A</v>
      </c>
      <c r="G346" s="206" t="e">
        <f t="shared" si="12"/>
        <v>#N/A</v>
      </c>
    </row>
    <row r="347" spans="1:7" hidden="1" x14ac:dyDescent="0.3">
      <c r="A347" s="177" t="s">
        <v>162</v>
      </c>
      <c r="B347" s="177" t="s">
        <v>2272</v>
      </c>
      <c r="C347" s="78" t="s">
        <v>2273</v>
      </c>
      <c r="D347" s="178">
        <f>VLOOKUP(B347,'Planning TB 2024'!$B$14:$Q$888,16,FALSE)</f>
        <v>1889787.7899999998</v>
      </c>
      <c r="E347" s="178">
        <f>VLOOKUP(B347,'Planning TB 2025'!$B$14:$Q$574,16,FALSE)</f>
        <v>2161731.87</v>
      </c>
      <c r="F347" s="191">
        <f t="shared" si="11"/>
        <v>271944.08000000031</v>
      </c>
      <c r="G347" s="206">
        <f t="shared" si="12"/>
        <v>0.14390191398156951</v>
      </c>
    </row>
    <row r="348" spans="1:7" hidden="1" x14ac:dyDescent="0.3">
      <c r="A348" s="177" t="s">
        <v>162</v>
      </c>
      <c r="B348" s="177" t="s">
        <v>2274</v>
      </c>
      <c r="C348" s="78" t="s">
        <v>2275</v>
      </c>
      <c r="D348" s="178">
        <f>VLOOKUP(B348,'Planning TB 2024'!$B$14:$Q$888,16,FALSE)</f>
        <v>2734492</v>
      </c>
      <c r="E348" s="178">
        <f>VLOOKUP(B348,'Planning TB 2025'!$B$14:$Q$574,16,FALSE)</f>
        <v>2918794</v>
      </c>
      <c r="F348" s="191">
        <f t="shared" si="11"/>
        <v>184302</v>
      </c>
      <c r="G348" s="206">
        <f t="shared" si="12"/>
        <v>6.7398990379200233E-2</v>
      </c>
    </row>
    <row r="349" spans="1:7" hidden="1" x14ac:dyDescent="0.3">
      <c r="A349" s="177" t="s">
        <v>162</v>
      </c>
      <c r="B349" s="177" t="s">
        <v>2276</v>
      </c>
      <c r="C349" s="78" t="s">
        <v>2277</v>
      </c>
      <c r="D349" s="178">
        <f>VLOOKUP(B349,'Planning TB 2024'!$B$14:$Q$888,16,FALSE)</f>
        <v>539455.32999999996</v>
      </c>
      <c r="E349" s="178" t="e">
        <f>VLOOKUP(B349,'Planning TB 2025'!$B$14:$Q$574,16,FALSE)</f>
        <v>#N/A</v>
      </c>
      <c r="F349" s="191" t="e">
        <f t="shared" si="11"/>
        <v>#N/A</v>
      </c>
      <c r="G349" s="206" t="e">
        <f t="shared" si="12"/>
        <v>#N/A</v>
      </c>
    </row>
    <row r="350" spans="1:7" hidden="1" x14ac:dyDescent="0.3">
      <c r="A350" s="177" t="s">
        <v>162</v>
      </c>
      <c r="B350" s="177" t="s">
        <v>2278</v>
      </c>
      <c r="C350" s="78" t="s">
        <v>2279</v>
      </c>
      <c r="D350" s="178">
        <f>VLOOKUP(B350,'Planning TB 2024'!$B$14:$Q$888,16,FALSE)</f>
        <v>0</v>
      </c>
      <c r="E350" s="178" t="e">
        <f>VLOOKUP(B350,'Planning TB 2025'!$B$14:$Q$574,16,FALSE)</f>
        <v>#N/A</v>
      </c>
      <c r="F350" s="191" t="e">
        <f t="shared" si="11"/>
        <v>#N/A</v>
      </c>
      <c r="G350" s="206" t="e">
        <f t="shared" si="12"/>
        <v>#N/A</v>
      </c>
    </row>
    <row r="351" spans="1:7" hidden="1" x14ac:dyDescent="0.3">
      <c r="A351" s="177" t="s">
        <v>162</v>
      </c>
      <c r="B351" s="177" t="s">
        <v>2280</v>
      </c>
      <c r="C351" s="78" t="s">
        <v>2281</v>
      </c>
      <c r="D351" s="178">
        <f>VLOOKUP(B351,'Planning TB 2024'!$B$14:$Q$888,16,FALSE)</f>
        <v>0</v>
      </c>
      <c r="E351" s="178" t="e">
        <f>VLOOKUP(B351,'Planning TB 2025'!$B$14:$Q$574,16,FALSE)</f>
        <v>#N/A</v>
      </c>
      <c r="F351" s="191" t="e">
        <f t="shared" si="11"/>
        <v>#N/A</v>
      </c>
      <c r="G351" s="206" t="e">
        <f t="shared" si="12"/>
        <v>#N/A</v>
      </c>
    </row>
    <row r="352" spans="1:7" hidden="1" x14ac:dyDescent="0.3">
      <c r="A352" s="177" t="s">
        <v>162</v>
      </c>
      <c r="B352" s="177" t="s">
        <v>2282</v>
      </c>
      <c r="C352" s="78" t="s">
        <v>2283</v>
      </c>
      <c r="D352" s="178">
        <f>VLOOKUP(B352,'Planning TB 2024'!$B$14:$Q$888,16,FALSE)</f>
        <v>0</v>
      </c>
      <c r="E352" s="178" t="e">
        <f>VLOOKUP(B352,'Planning TB 2025'!$B$14:$Q$574,16,FALSE)</f>
        <v>#N/A</v>
      </c>
      <c r="F352" s="191" t="e">
        <f t="shared" si="11"/>
        <v>#N/A</v>
      </c>
      <c r="G352" s="206" t="e">
        <f t="shared" si="12"/>
        <v>#N/A</v>
      </c>
    </row>
    <row r="353" spans="1:7" hidden="1" x14ac:dyDescent="0.3">
      <c r="A353" s="177" t="s">
        <v>162</v>
      </c>
      <c r="B353" s="177" t="s">
        <v>2284</v>
      </c>
      <c r="C353" s="78" t="s">
        <v>2285</v>
      </c>
      <c r="D353" s="178">
        <f>VLOOKUP(B353,'Planning TB 2024'!$B$14:$Q$888,16,FALSE)</f>
        <v>0</v>
      </c>
      <c r="E353" s="178" t="e">
        <f>VLOOKUP(B353,'Planning TB 2025'!$B$14:$Q$574,16,FALSE)</f>
        <v>#N/A</v>
      </c>
      <c r="F353" s="191" t="e">
        <f t="shared" si="11"/>
        <v>#N/A</v>
      </c>
      <c r="G353" s="206" t="e">
        <f t="shared" si="12"/>
        <v>#N/A</v>
      </c>
    </row>
    <row r="354" spans="1:7" hidden="1" x14ac:dyDescent="0.3">
      <c r="A354" s="177" t="s">
        <v>162</v>
      </c>
      <c r="B354" s="177" t="s">
        <v>2286</v>
      </c>
      <c r="C354" s="78" t="s">
        <v>2287</v>
      </c>
      <c r="D354" s="178">
        <f>VLOOKUP(B354,'Planning TB 2024'!$B$14:$Q$888,16,FALSE)</f>
        <v>0</v>
      </c>
      <c r="E354" s="178" t="e">
        <f>VLOOKUP(B354,'Planning TB 2025'!$B$14:$Q$574,16,FALSE)</f>
        <v>#N/A</v>
      </c>
      <c r="F354" s="191" t="e">
        <f t="shared" si="11"/>
        <v>#N/A</v>
      </c>
      <c r="G354" s="206" t="e">
        <f t="shared" si="12"/>
        <v>#N/A</v>
      </c>
    </row>
    <row r="355" spans="1:7" hidden="1" x14ac:dyDescent="0.3">
      <c r="A355" s="177" t="s">
        <v>162</v>
      </c>
      <c r="B355" s="177" t="s">
        <v>2288</v>
      </c>
      <c r="C355" s="78" t="s">
        <v>2289</v>
      </c>
      <c r="D355" s="178">
        <f>VLOOKUP(B355,'Planning TB 2024'!$B$14:$Q$888,16,FALSE)</f>
        <v>0</v>
      </c>
      <c r="E355" s="178" t="e">
        <f>VLOOKUP(B355,'Planning TB 2025'!$B$14:$Q$574,16,FALSE)</f>
        <v>#N/A</v>
      </c>
      <c r="F355" s="191" t="e">
        <f t="shared" si="11"/>
        <v>#N/A</v>
      </c>
      <c r="G355" s="206" t="e">
        <f t="shared" si="12"/>
        <v>#N/A</v>
      </c>
    </row>
    <row r="356" spans="1:7" hidden="1" x14ac:dyDescent="0.3">
      <c r="A356" s="177" t="s">
        <v>162</v>
      </c>
      <c r="B356" s="177" t="s">
        <v>2290</v>
      </c>
      <c r="C356" s="78" t="s">
        <v>2291</v>
      </c>
      <c r="D356" s="178">
        <f>VLOOKUP(B356,'Planning TB 2024'!$B$14:$Q$888,16,FALSE)</f>
        <v>0</v>
      </c>
      <c r="E356" s="178" t="e">
        <f>VLOOKUP(B356,'Planning TB 2025'!$B$14:$Q$574,16,FALSE)</f>
        <v>#N/A</v>
      </c>
      <c r="F356" s="191" t="e">
        <f t="shared" si="11"/>
        <v>#N/A</v>
      </c>
      <c r="G356" s="206" t="e">
        <f t="shared" si="12"/>
        <v>#N/A</v>
      </c>
    </row>
    <row r="357" spans="1:7" hidden="1" x14ac:dyDescent="0.3">
      <c r="A357" s="177" t="s">
        <v>162</v>
      </c>
      <c r="B357" s="177" t="s">
        <v>2292</v>
      </c>
      <c r="C357" s="78" t="s">
        <v>2293</v>
      </c>
      <c r="D357" s="178">
        <f>VLOOKUP(B357,'Planning TB 2024'!$B$14:$Q$888,16,FALSE)</f>
        <v>0</v>
      </c>
      <c r="E357" s="178" t="e">
        <f>VLOOKUP(B357,'Planning TB 2025'!$B$14:$Q$574,16,FALSE)</f>
        <v>#N/A</v>
      </c>
      <c r="F357" s="191" t="e">
        <f t="shared" si="11"/>
        <v>#N/A</v>
      </c>
      <c r="G357" s="206" t="e">
        <f t="shared" si="12"/>
        <v>#N/A</v>
      </c>
    </row>
    <row r="358" spans="1:7" hidden="1" x14ac:dyDescent="0.3">
      <c r="A358" s="177" t="s">
        <v>162</v>
      </c>
      <c r="B358" s="177" t="s">
        <v>2294</v>
      </c>
      <c r="C358" s="78" t="s">
        <v>2295</v>
      </c>
      <c r="D358" s="178">
        <f>VLOOKUP(B358,'Planning TB 2024'!$B$14:$Q$888,16,FALSE)</f>
        <v>0</v>
      </c>
      <c r="E358" s="178" t="e">
        <f>VLOOKUP(B358,'Planning TB 2025'!$B$14:$Q$574,16,FALSE)</f>
        <v>#N/A</v>
      </c>
      <c r="F358" s="191" t="e">
        <f t="shared" si="11"/>
        <v>#N/A</v>
      </c>
      <c r="G358" s="206" t="e">
        <f t="shared" si="12"/>
        <v>#N/A</v>
      </c>
    </row>
    <row r="359" spans="1:7" hidden="1" x14ac:dyDescent="0.3">
      <c r="A359" s="177" t="s">
        <v>162</v>
      </c>
      <c r="B359" s="177" t="s">
        <v>2296</v>
      </c>
      <c r="C359" s="78" t="s">
        <v>2297</v>
      </c>
      <c r="D359" s="178">
        <f>VLOOKUP(B359,'Planning TB 2024'!$B$14:$Q$888,16,FALSE)</f>
        <v>0</v>
      </c>
      <c r="E359" s="178" t="e">
        <f>VLOOKUP(B359,'Planning TB 2025'!$B$14:$Q$574,16,FALSE)</f>
        <v>#N/A</v>
      </c>
      <c r="F359" s="191" t="e">
        <f t="shared" si="11"/>
        <v>#N/A</v>
      </c>
      <c r="G359" s="206" t="e">
        <f t="shared" si="12"/>
        <v>#N/A</v>
      </c>
    </row>
    <row r="360" spans="1:7" hidden="1" x14ac:dyDescent="0.3">
      <c r="A360" s="177" t="s">
        <v>162</v>
      </c>
      <c r="B360" s="177" t="s">
        <v>2298</v>
      </c>
      <c r="C360" s="78" t="s">
        <v>2299</v>
      </c>
      <c r="D360" s="178">
        <f>VLOOKUP(B360,'Planning TB 2024'!$B$14:$Q$888,16,FALSE)</f>
        <v>121982230</v>
      </c>
      <c r="E360" s="178">
        <f>VLOOKUP(B360,'Planning TB 2025'!$B$14:$Q$574,16,FALSE)</f>
        <v>123596960</v>
      </c>
      <c r="F360" s="191">
        <f t="shared" si="11"/>
        <v>1614730</v>
      </c>
      <c r="G360" s="206">
        <f t="shared" si="12"/>
        <v>1.3237419909440908E-2</v>
      </c>
    </row>
    <row r="361" spans="1:7" hidden="1" x14ac:dyDescent="0.3">
      <c r="A361" s="177" t="s">
        <v>162</v>
      </c>
      <c r="B361" s="177" t="s">
        <v>2300</v>
      </c>
      <c r="C361" s="78" t="s">
        <v>2301</v>
      </c>
      <c r="D361" s="178">
        <f>VLOOKUP(B361,'Planning TB 2024'!$B$14:$Q$888,16,FALSE)</f>
        <v>75792063</v>
      </c>
      <c r="E361" s="178">
        <f>VLOOKUP(B361,'Planning TB 2025'!$B$14:$Q$574,16,FALSE)</f>
        <v>68169288</v>
      </c>
      <c r="F361" s="191">
        <f t="shared" si="11"/>
        <v>-7622775</v>
      </c>
      <c r="G361" s="206">
        <f t="shared" si="12"/>
        <v>-0.10057484515232155</v>
      </c>
    </row>
    <row r="362" spans="1:7" hidden="1" x14ac:dyDescent="0.3">
      <c r="A362" s="177" t="s">
        <v>162</v>
      </c>
      <c r="B362" s="177" t="s">
        <v>2302</v>
      </c>
      <c r="C362" s="78" t="s">
        <v>2303</v>
      </c>
      <c r="D362" s="178">
        <f>VLOOKUP(B362,'Planning TB 2024'!$B$14:$Q$888,16,FALSE)</f>
        <v>863426</v>
      </c>
      <c r="E362" s="178">
        <f>VLOOKUP(B362,'Planning TB 2025'!$B$14:$Q$574,16,FALSE)</f>
        <v>303168</v>
      </c>
      <c r="F362" s="191">
        <f t="shared" si="11"/>
        <v>-560258</v>
      </c>
      <c r="G362" s="206">
        <f t="shared" si="12"/>
        <v>-0.64887784245552027</v>
      </c>
    </row>
    <row r="363" spans="1:7" hidden="1" x14ac:dyDescent="0.3">
      <c r="A363" s="177" t="s">
        <v>162</v>
      </c>
      <c r="B363" s="177" t="s">
        <v>2304</v>
      </c>
      <c r="C363" s="78" t="s">
        <v>2305</v>
      </c>
      <c r="D363" s="178">
        <f>VLOOKUP(B363,'Planning TB 2024'!$B$14:$Q$888,16,FALSE)</f>
        <v>3221865</v>
      </c>
      <c r="E363" s="178">
        <f>VLOOKUP(B363,'Planning TB 2025'!$B$14:$Q$574,16,FALSE)</f>
        <v>5223525</v>
      </c>
      <c r="F363" s="191">
        <f t="shared" si="11"/>
        <v>2001660</v>
      </c>
      <c r="G363" s="206">
        <f t="shared" si="12"/>
        <v>0.62127370327434572</v>
      </c>
    </row>
    <row r="364" spans="1:7" hidden="1" x14ac:dyDescent="0.3">
      <c r="A364" s="177" t="s">
        <v>162</v>
      </c>
      <c r="B364" s="177" t="s">
        <v>2306</v>
      </c>
      <c r="C364" s="78" t="s">
        <v>2307</v>
      </c>
      <c r="D364" s="178">
        <f>VLOOKUP(B364,'Planning TB 2024'!$B$14:$Q$888,16,FALSE)</f>
        <v>1530895</v>
      </c>
      <c r="E364" s="178">
        <f>VLOOKUP(B364,'Planning TB 2025'!$B$14:$Q$574,16,FALSE)</f>
        <v>1538942</v>
      </c>
      <c r="F364" s="191">
        <f t="shared" si="11"/>
        <v>8047</v>
      </c>
      <c r="G364" s="206">
        <f t="shared" si="12"/>
        <v>5.2564023006149993E-3</v>
      </c>
    </row>
    <row r="365" spans="1:7" hidden="1" x14ac:dyDescent="0.3">
      <c r="A365" s="177" t="s">
        <v>162</v>
      </c>
      <c r="B365" s="177" t="s">
        <v>2308</v>
      </c>
      <c r="C365" s="78" t="s">
        <v>2309</v>
      </c>
      <c r="D365" s="178">
        <f>VLOOKUP(B365,'Planning TB 2024'!$B$14:$Q$888,16,FALSE)</f>
        <v>5800253.4900000002</v>
      </c>
      <c r="E365" s="178">
        <f>VLOOKUP(B365,'Planning TB 2025'!$B$14:$Q$574,16,FALSE)</f>
        <v>5677562.959999999</v>
      </c>
      <c r="F365" s="191">
        <f t="shared" si="11"/>
        <v>-122690.53000000119</v>
      </c>
      <c r="G365" s="206">
        <f t="shared" si="12"/>
        <v>-2.1152615176479327E-2</v>
      </c>
    </row>
    <row r="366" spans="1:7" hidden="1" x14ac:dyDescent="0.3">
      <c r="A366" s="177" t="s">
        <v>162</v>
      </c>
      <c r="B366" s="177" t="s">
        <v>2310</v>
      </c>
      <c r="C366" s="78" t="s">
        <v>2311</v>
      </c>
      <c r="D366" s="178">
        <f>VLOOKUP(B366,'Planning TB 2024'!$B$14:$Q$888,16,FALSE)</f>
        <v>3479303.7200000007</v>
      </c>
      <c r="E366" s="178">
        <f>VLOOKUP(B366,'Planning TB 2025'!$B$14:$Q$574,16,FALSE)</f>
        <v>3318800.3499999996</v>
      </c>
      <c r="F366" s="191">
        <f t="shared" si="11"/>
        <v>-160503.37000000104</v>
      </c>
      <c r="G366" s="206">
        <f t="shared" si="12"/>
        <v>-4.6130887935244988E-2</v>
      </c>
    </row>
    <row r="367" spans="1:7" hidden="1" x14ac:dyDescent="0.3">
      <c r="A367" s="177" t="s">
        <v>162</v>
      </c>
      <c r="B367" s="177" t="s">
        <v>2312</v>
      </c>
      <c r="C367" s="78" t="s">
        <v>2313</v>
      </c>
      <c r="D367" s="178">
        <f>VLOOKUP(B367,'Planning TB 2024'!$B$14:$Q$888,16,FALSE)</f>
        <v>0</v>
      </c>
      <c r="E367" s="178" t="e">
        <f>VLOOKUP(B367,'Planning TB 2025'!$B$14:$Q$574,16,FALSE)</f>
        <v>#N/A</v>
      </c>
      <c r="F367" s="191" t="e">
        <f t="shared" si="11"/>
        <v>#N/A</v>
      </c>
      <c r="G367" s="206" t="e">
        <f t="shared" si="12"/>
        <v>#N/A</v>
      </c>
    </row>
    <row r="368" spans="1:7" hidden="1" x14ac:dyDescent="0.3">
      <c r="A368" s="177" t="s">
        <v>162</v>
      </c>
      <c r="B368" s="177" t="s">
        <v>2314</v>
      </c>
      <c r="C368" s="78" t="s">
        <v>2315</v>
      </c>
      <c r="D368" s="178">
        <f>VLOOKUP(B368,'Planning TB 2024'!$B$14:$Q$888,16,FALSE)</f>
        <v>5441233.6599999992</v>
      </c>
      <c r="E368" s="178">
        <f>VLOOKUP(B368,'Planning TB 2025'!$B$14:$Q$574,16,FALSE)</f>
        <v>6253898.1000000006</v>
      </c>
      <c r="F368" s="191">
        <f t="shared" si="11"/>
        <v>812664.44000000134</v>
      </c>
      <c r="G368" s="206">
        <f t="shared" si="12"/>
        <v>0.14935297595729449</v>
      </c>
    </row>
    <row r="369" spans="1:7" hidden="1" x14ac:dyDescent="0.3">
      <c r="A369" s="177" t="s">
        <v>162</v>
      </c>
      <c r="B369" s="177" t="s">
        <v>2316</v>
      </c>
      <c r="C369" s="78" t="s">
        <v>2317</v>
      </c>
      <c r="D369" s="178">
        <f>VLOOKUP(B369,'Planning TB 2024'!$B$14:$Q$888,16,FALSE)</f>
        <v>4806153</v>
      </c>
      <c r="E369" s="178">
        <f>VLOOKUP(B369,'Planning TB 2025'!$B$14:$Q$574,16,FALSE)</f>
        <v>5057376</v>
      </c>
      <c r="F369" s="191">
        <f t="shared" si="11"/>
        <v>251223</v>
      </c>
      <c r="G369" s="206">
        <f t="shared" si="12"/>
        <v>5.2271119958103705E-2</v>
      </c>
    </row>
    <row r="370" spans="1:7" hidden="1" x14ac:dyDescent="0.3">
      <c r="A370" s="177" t="s">
        <v>162</v>
      </c>
      <c r="B370" s="177" t="s">
        <v>2318</v>
      </c>
      <c r="C370" s="78" t="s">
        <v>2319</v>
      </c>
      <c r="D370" s="178">
        <f>VLOOKUP(B370,'Planning TB 2024'!$B$14:$Q$888,16,FALSE)</f>
        <v>1015953.8500000001</v>
      </c>
      <c r="E370" s="178" t="e">
        <f>VLOOKUP(B370,'Planning TB 2025'!$B$14:$Q$574,16,FALSE)</f>
        <v>#N/A</v>
      </c>
      <c r="F370" s="191" t="e">
        <f t="shared" si="11"/>
        <v>#N/A</v>
      </c>
      <c r="G370" s="206" t="e">
        <f t="shared" si="12"/>
        <v>#N/A</v>
      </c>
    </row>
    <row r="371" spans="1:7" hidden="1" x14ac:dyDescent="0.3">
      <c r="A371" s="177" t="s">
        <v>162</v>
      </c>
      <c r="B371" s="177" t="s">
        <v>2320</v>
      </c>
      <c r="C371" s="78" t="s">
        <v>2321</v>
      </c>
      <c r="D371" s="178">
        <f>VLOOKUP(B371,'Planning TB 2024'!$B$14:$Q$888,16,FALSE)</f>
        <v>1805515.0999993002</v>
      </c>
      <c r="E371" s="178">
        <f>VLOOKUP(B371,'Planning TB 2025'!$B$14:$Q$574,16,FALSE)</f>
        <v>1982104.9999992</v>
      </c>
      <c r="F371" s="191">
        <f t="shared" si="11"/>
        <v>176589.89999989979</v>
      </c>
      <c r="G371" s="206">
        <f t="shared" si="12"/>
        <v>9.7805828375496964E-2</v>
      </c>
    </row>
    <row r="372" spans="1:7" hidden="1" x14ac:dyDescent="0.3">
      <c r="A372" s="177" t="s">
        <v>162</v>
      </c>
      <c r="B372" s="177" t="s">
        <v>2322</v>
      </c>
      <c r="C372" s="78" t="s">
        <v>2323</v>
      </c>
      <c r="D372" s="178">
        <f>VLOOKUP(B372,'Planning TB 2024'!$B$14:$Q$888,16,FALSE)</f>
        <v>0</v>
      </c>
      <c r="E372" s="178" t="e">
        <f>VLOOKUP(B372,'Planning TB 2025'!$B$14:$Q$574,16,FALSE)</f>
        <v>#N/A</v>
      </c>
      <c r="F372" s="191" t="e">
        <f t="shared" si="11"/>
        <v>#N/A</v>
      </c>
      <c r="G372" s="206" t="e">
        <f t="shared" si="12"/>
        <v>#N/A</v>
      </c>
    </row>
    <row r="373" spans="1:7" hidden="1" x14ac:dyDescent="0.3">
      <c r="A373" s="177" t="s">
        <v>162</v>
      </c>
      <c r="B373" s="177" t="s">
        <v>2324</v>
      </c>
      <c r="C373" s="78" t="s">
        <v>2325</v>
      </c>
      <c r="D373" s="178">
        <f>VLOOKUP(B373,'Planning TB 2024'!$B$14:$Q$888,16,FALSE)</f>
        <v>38525</v>
      </c>
      <c r="E373" s="178">
        <f>VLOOKUP(B373,'Planning TB 2025'!$B$14:$Q$574,16,FALSE)</f>
        <v>43670</v>
      </c>
      <c r="F373" s="191">
        <f t="shared" si="11"/>
        <v>5145</v>
      </c>
      <c r="G373" s="206">
        <f t="shared" si="12"/>
        <v>0.1335496430889033</v>
      </c>
    </row>
    <row r="374" spans="1:7" hidden="1" x14ac:dyDescent="0.3">
      <c r="A374" s="177" t="s">
        <v>162</v>
      </c>
      <c r="B374" s="177" t="s">
        <v>2326</v>
      </c>
      <c r="C374" s="78" t="s">
        <v>2327</v>
      </c>
      <c r="D374" s="178">
        <f>VLOOKUP(B374,'Planning TB 2024'!$B$14:$Q$888,16,FALSE)</f>
        <v>564881</v>
      </c>
      <c r="E374" s="178" t="e">
        <f>VLOOKUP(B374,'Planning TB 2025'!$B$14:$Q$574,16,FALSE)</f>
        <v>#N/A</v>
      </c>
      <c r="F374" s="191" t="e">
        <f t="shared" si="11"/>
        <v>#N/A</v>
      </c>
      <c r="G374" s="206" t="e">
        <f t="shared" si="12"/>
        <v>#N/A</v>
      </c>
    </row>
    <row r="375" spans="1:7" hidden="1" x14ac:dyDescent="0.3">
      <c r="A375" s="177" t="s">
        <v>162</v>
      </c>
      <c r="B375" s="177" t="s">
        <v>2328</v>
      </c>
      <c r="C375" s="78" t="s">
        <v>2329</v>
      </c>
      <c r="D375" s="178">
        <f>VLOOKUP(B375,'Planning TB 2024'!$B$14:$Q$888,16,FALSE)</f>
        <v>50440.25000040001</v>
      </c>
      <c r="E375" s="178" t="e">
        <f>VLOOKUP(B375,'Planning TB 2025'!$B$14:$Q$574,16,FALSE)</f>
        <v>#N/A</v>
      </c>
      <c r="F375" s="191" t="e">
        <f t="shared" si="11"/>
        <v>#N/A</v>
      </c>
      <c r="G375" s="206" t="e">
        <f t="shared" si="12"/>
        <v>#N/A</v>
      </c>
    </row>
    <row r="376" spans="1:7" hidden="1" x14ac:dyDescent="0.3">
      <c r="A376" s="177" t="s">
        <v>162</v>
      </c>
      <c r="B376" s="177" t="s">
        <v>2330</v>
      </c>
      <c r="C376" s="78" t="s">
        <v>2331</v>
      </c>
      <c r="D376" s="178">
        <f>VLOOKUP(B376,'Planning TB 2024'!$B$14:$Q$888,16,FALSE)</f>
        <v>6068</v>
      </c>
      <c r="E376" s="178">
        <f>VLOOKUP(B376,'Planning TB 2025'!$B$14:$Q$574,16,FALSE)</f>
        <v>6999.9999996000006</v>
      </c>
      <c r="F376" s="191">
        <f t="shared" si="11"/>
        <v>931.99999960000059</v>
      </c>
      <c r="G376" s="206">
        <f t="shared" si="12"/>
        <v>0.15359261694133167</v>
      </c>
    </row>
    <row r="377" spans="1:7" hidden="1" x14ac:dyDescent="0.3">
      <c r="A377" s="177" t="s">
        <v>162</v>
      </c>
      <c r="B377" s="177" t="s">
        <v>2332</v>
      </c>
      <c r="C377" s="78" t="s">
        <v>2333</v>
      </c>
      <c r="D377" s="178">
        <f>VLOOKUP(B377,'Planning TB 2024'!$B$14:$Q$888,16,FALSE)</f>
        <v>1434277</v>
      </c>
      <c r="E377" s="178">
        <f>VLOOKUP(B377,'Planning TB 2025'!$B$14:$Q$574,16,FALSE)</f>
        <v>2930000.0000004</v>
      </c>
      <c r="F377" s="191">
        <f t="shared" si="11"/>
        <v>1495723.0000004</v>
      </c>
      <c r="G377" s="206">
        <f t="shared" si="12"/>
        <v>1.0428410969431985</v>
      </c>
    </row>
    <row r="378" spans="1:7" hidden="1" x14ac:dyDescent="0.3">
      <c r="A378" s="177" t="s">
        <v>162</v>
      </c>
      <c r="B378" s="177" t="s">
        <v>2334</v>
      </c>
      <c r="C378" s="78" t="s">
        <v>2335</v>
      </c>
      <c r="D378" s="178">
        <f>VLOOKUP(B378,'Planning TB 2024'!$B$14:$Q$888,16,FALSE)</f>
        <v>1828695</v>
      </c>
      <c r="E378" s="178">
        <f>VLOOKUP(B378,'Planning TB 2025'!$B$14:$Q$574,16,FALSE)</f>
        <v>2430999.9999996</v>
      </c>
      <c r="F378" s="191">
        <f t="shared" si="11"/>
        <v>602304.9999996</v>
      </c>
      <c r="G378" s="206">
        <f t="shared" si="12"/>
        <v>0.32936328912125862</v>
      </c>
    </row>
    <row r="379" spans="1:7" hidden="1" x14ac:dyDescent="0.3">
      <c r="A379" s="177" t="s">
        <v>162</v>
      </c>
      <c r="B379" s="177" t="s">
        <v>2336</v>
      </c>
      <c r="C379" s="78" t="s">
        <v>2337</v>
      </c>
      <c r="D379" s="178">
        <f>VLOOKUP(B379,'Planning TB 2024'!$B$14:$Q$888,16,FALSE)</f>
        <v>11319106.92</v>
      </c>
      <c r="E379" s="178">
        <f>VLOOKUP(B379,'Planning TB 2025'!$B$14:$Q$574,16,FALSE)</f>
        <v>10922937.959999999</v>
      </c>
      <c r="F379" s="191">
        <f t="shared" si="11"/>
        <v>-396168.96000000089</v>
      </c>
      <c r="G379" s="206">
        <f t="shared" si="12"/>
        <v>-3.500001924180083E-2</v>
      </c>
    </row>
    <row r="380" spans="1:7" hidden="1" x14ac:dyDescent="0.3">
      <c r="A380" s="177" t="s">
        <v>162</v>
      </c>
      <c r="B380" s="177" t="s">
        <v>2338</v>
      </c>
      <c r="C380" s="78" t="s">
        <v>2339</v>
      </c>
      <c r="D380" s="178">
        <f>VLOOKUP(B380,'Planning TB 2024'!$B$14:$Q$888,16,FALSE)</f>
        <v>1841795.8500000003</v>
      </c>
      <c r="E380" s="178">
        <f>VLOOKUP(B380,'Planning TB 2025'!$B$14:$Q$574,16,FALSE)</f>
        <v>3047000.0000004</v>
      </c>
      <c r="F380" s="191">
        <f t="shared" si="11"/>
        <v>1205204.1500003997</v>
      </c>
      <c r="G380" s="206">
        <f t="shared" si="12"/>
        <v>0.65436359301189617</v>
      </c>
    </row>
    <row r="381" spans="1:7" hidden="1" x14ac:dyDescent="0.3">
      <c r="A381" s="177" t="s">
        <v>162</v>
      </c>
      <c r="B381" s="177" t="s">
        <v>2340</v>
      </c>
      <c r="C381" s="78" t="s">
        <v>2341</v>
      </c>
      <c r="D381" s="178">
        <f>VLOOKUP(B381,'Planning TB 2024'!$B$14:$Q$888,16,FALSE)</f>
        <v>367268</v>
      </c>
      <c r="E381" s="178">
        <f>VLOOKUP(B381,'Planning TB 2025'!$B$14:$Q$574,16,FALSE)</f>
        <v>450999.99999960006</v>
      </c>
      <c r="F381" s="191">
        <f t="shared" si="11"/>
        <v>83731.999999600055</v>
      </c>
      <c r="G381" s="206">
        <f t="shared" si="12"/>
        <v>0.2279861027903331</v>
      </c>
    </row>
    <row r="382" spans="1:7" hidden="1" x14ac:dyDescent="0.3">
      <c r="A382" s="177" t="s">
        <v>162</v>
      </c>
      <c r="B382" s="177" t="s">
        <v>2342</v>
      </c>
      <c r="C382" s="78" t="s">
        <v>2343</v>
      </c>
      <c r="D382" s="178">
        <f>VLOOKUP(B382,'Planning TB 2024'!$B$14:$Q$888,16,FALSE)</f>
        <v>10875.599999999999</v>
      </c>
      <c r="E382" s="178">
        <f>VLOOKUP(B382,'Planning TB 2025'!$B$14:$Q$574,16,FALSE)</f>
        <v>18000</v>
      </c>
      <c r="F382" s="191">
        <f t="shared" si="11"/>
        <v>7124.4000000000015</v>
      </c>
      <c r="G382" s="206">
        <f t="shared" si="12"/>
        <v>0.65508109897384992</v>
      </c>
    </row>
    <row r="383" spans="1:7" hidden="1" x14ac:dyDescent="0.3">
      <c r="A383" s="177" t="s">
        <v>162</v>
      </c>
      <c r="B383" s="177" t="s">
        <v>2344</v>
      </c>
      <c r="C383" s="78" t="s">
        <v>2345</v>
      </c>
      <c r="D383" s="178">
        <f>VLOOKUP(B383,'Planning TB 2024'!$B$14:$Q$888,16,FALSE)</f>
        <v>1458418.92</v>
      </c>
      <c r="E383" s="178">
        <f>VLOOKUP(B383,'Planning TB 2025'!$B$14:$Q$574,16,FALSE)</f>
        <v>1480296</v>
      </c>
      <c r="F383" s="191">
        <f t="shared" si="11"/>
        <v>21877.080000000075</v>
      </c>
      <c r="G383" s="206">
        <f t="shared" si="12"/>
        <v>1.5000545933674583E-2</v>
      </c>
    </row>
    <row r="384" spans="1:7" hidden="1" x14ac:dyDescent="0.3">
      <c r="A384" s="177" t="s">
        <v>162</v>
      </c>
      <c r="B384" s="177" t="s">
        <v>2346</v>
      </c>
      <c r="C384" s="78" t="s">
        <v>2347</v>
      </c>
      <c r="D384" s="178">
        <f>VLOOKUP(B384,'Planning TB 2024'!$B$14:$Q$888,16,FALSE)</f>
        <v>41664</v>
      </c>
      <c r="E384" s="178">
        <f>VLOOKUP(B384,'Planning TB 2025'!$B$14:$Q$574,16,FALSE)</f>
        <v>54000</v>
      </c>
      <c r="F384" s="191">
        <f t="shared" si="11"/>
        <v>12336</v>
      </c>
      <c r="G384" s="206">
        <f t="shared" si="12"/>
        <v>0.29608294930875578</v>
      </c>
    </row>
    <row r="385" spans="1:7" hidden="1" x14ac:dyDescent="0.3">
      <c r="A385" s="177" t="s">
        <v>162</v>
      </c>
      <c r="B385" s="177" t="s">
        <v>2348</v>
      </c>
      <c r="C385" s="78" t="s">
        <v>2349</v>
      </c>
      <c r="D385" s="178">
        <f>VLOOKUP(B385,'Planning TB 2024'!$B$14:$Q$888,16,FALSE)</f>
        <v>0</v>
      </c>
      <c r="E385" s="178" t="e">
        <f>VLOOKUP(B385,'Planning TB 2025'!$B$14:$Q$574,16,FALSE)</f>
        <v>#N/A</v>
      </c>
      <c r="F385" s="191" t="e">
        <f t="shared" si="11"/>
        <v>#N/A</v>
      </c>
      <c r="G385" s="206" t="e">
        <f t="shared" si="12"/>
        <v>#N/A</v>
      </c>
    </row>
    <row r="386" spans="1:7" hidden="1" x14ac:dyDescent="0.3">
      <c r="A386" s="177" t="s">
        <v>162</v>
      </c>
      <c r="B386" s="177" t="s">
        <v>2350</v>
      </c>
      <c r="C386" s="78" t="s">
        <v>2351</v>
      </c>
      <c r="D386" s="178">
        <f>VLOOKUP(B386,'Planning TB 2024'!$B$14:$Q$888,16,FALSE)</f>
        <v>103730.16399999999</v>
      </c>
      <c r="E386" s="178">
        <f>VLOOKUP(B386,'Planning TB 2025'!$B$14:$Q$574,16,FALSE)</f>
        <v>103730.16399999999</v>
      </c>
      <c r="F386" s="191">
        <f t="shared" si="11"/>
        <v>0</v>
      </c>
      <c r="G386" s="206">
        <f t="shared" si="12"/>
        <v>0</v>
      </c>
    </row>
    <row r="387" spans="1:7" hidden="1" x14ac:dyDescent="0.3">
      <c r="A387" s="177" t="s">
        <v>162</v>
      </c>
      <c r="B387" s="177" t="s">
        <v>2352</v>
      </c>
      <c r="C387" s="78" t="s">
        <v>2353</v>
      </c>
      <c r="D387" s="178">
        <f>VLOOKUP(B387,'Planning TB 2024'!$B$14:$Q$888,16,FALSE)</f>
        <v>728273</v>
      </c>
      <c r="E387" s="178">
        <f>VLOOKUP(B387,'Planning TB 2025'!$B$14:$Q$574,16,FALSE)</f>
        <v>728273</v>
      </c>
      <c r="F387" s="191">
        <f t="shared" si="11"/>
        <v>0</v>
      </c>
      <c r="G387" s="206">
        <f t="shared" si="12"/>
        <v>0</v>
      </c>
    </row>
    <row r="388" spans="1:7" hidden="1" x14ac:dyDescent="0.3">
      <c r="A388" s="177" t="s">
        <v>162</v>
      </c>
      <c r="B388" s="177" t="s">
        <v>2354</v>
      </c>
      <c r="C388" s="78" t="s">
        <v>2355</v>
      </c>
      <c r="D388" s="178">
        <f>VLOOKUP(B388,'Planning TB 2024'!$B$14:$Q$888,16,FALSE)</f>
        <v>27458</v>
      </c>
      <c r="E388" s="178">
        <f>VLOOKUP(B388,'Planning TB 2025'!$B$14:$Q$574,16,FALSE)</f>
        <v>27458</v>
      </c>
      <c r="F388" s="191">
        <f t="shared" ref="F388:F451" si="13">E388-D388</f>
        <v>0</v>
      </c>
      <c r="G388" s="206">
        <f t="shared" ref="G388:G451" si="14">F388/D388</f>
        <v>0</v>
      </c>
    </row>
    <row r="389" spans="1:7" hidden="1" x14ac:dyDescent="0.3">
      <c r="A389" s="177" t="s">
        <v>162</v>
      </c>
      <c r="B389" s="177" t="s">
        <v>2356</v>
      </c>
      <c r="C389" s="78" t="s">
        <v>2357</v>
      </c>
      <c r="D389" s="178">
        <f>VLOOKUP(B389,'Planning TB 2024'!$B$14:$Q$888,16,FALSE)</f>
        <v>118965.71999999999</v>
      </c>
      <c r="E389" s="178">
        <f>VLOOKUP(B389,'Planning TB 2025'!$B$14:$Q$574,16,FALSE)</f>
        <v>118965.96</v>
      </c>
      <c r="F389" s="191">
        <f t="shared" si="13"/>
        <v>0.2400000000197906</v>
      </c>
      <c r="G389" s="206">
        <f t="shared" si="14"/>
        <v>2.0173878661835582E-6</v>
      </c>
    </row>
    <row r="390" spans="1:7" hidden="1" x14ac:dyDescent="0.3">
      <c r="A390" s="177" t="s">
        <v>162</v>
      </c>
      <c r="B390" s="177" t="s">
        <v>2358</v>
      </c>
      <c r="C390" s="78" t="s">
        <v>2359</v>
      </c>
      <c r="D390" s="178">
        <f>VLOOKUP(B390,'Planning TB 2024'!$B$14:$Q$888,16,FALSE)</f>
        <v>398208</v>
      </c>
      <c r="E390" s="178">
        <f>VLOOKUP(B390,'Planning TB 2025'!$B$14:$Q$574,16,FALSE)</f>
        <v>398208</v>
      </c>
      <c r="F390" s="191">
        <f t="shared" si="13"/>
        <v>0</v>
      </c>
      <c r="G390" s="206">
        <f t="shared" si="14"/>
        <v>0</v>
      </c>
    </row>
    <row r="391" spans="1:7" hidden="1" x14ac:dyDescent="0.3">
      <c r="A391" s="177" t="s">
        <v>162</v>
      </c>
      <c r="B391" s="177" t="s">
        <v>2360</v>
      </c>
      <c r="C391" s="78" t="s">
        <v>2361</v>
      </c>
      <c r="D391" s="178">
        <f>VLOOKUP(B391,'Planning TB 2024'!$B$14:$Q$888,16,FALSE)</f>
        <v>4826332.4455000004</v>
      </c>
      <c r="E391" s="178">
        <f>VLOOKUP(B391,'Planning TB 2025'!$B$14:$Q$574,16,FALSE)</f>
        <v>4826332.4455000004</v>
      </c>
      <c r="F391" s="191">
        <f t="shared" si="13"/>
        <v>0</v>
      </c>
      <c r="G391" s="206">
        <f t="shared" si="14"/>
        <v>0</v>
      </c>
    </row>
    <row r="392" spans="1:7" hidden="1" x14ac:dyDescent="0.3">
      <c r="A392" s="177" t="s">
        <v>162</v>
      </c>
      <c r="B392" s="177" t="s">
        <v>2362</v>
      </c>
      <c r="C392" s="78" t="s">
        <v>2363</v>
      </c>
      <c r="D392" s="178">
        <f>VLOOKUP(B392,'Planning TB 2024'!$B$14:$Q$888,16,FALSE)</f>
        <v>692869.67000039993</v>
      </c>
      <c r="E392" s="178">
        <f>VLOOKUP(B392,'Planning TB 2025'!$B$14:$Q$574,16,FALSE)</f>
        <v>692869.67000039993</v>
      </c>
      <c r="F392" s="191">
        <f t="shared" si="13"/>
        <v>0</v>
      </c>
      <c r="G392" s="206">
        <f t="shared" si="14"/>
        <v>0</v>
      </c>
    </row>
    <row r="393" spans="1:7" hidden="1" x14ac:dyDescent="0.3">
      <c r="A393" s="177" t="s">
        <v>162</v>
      </c>
      <c r="B393" s="177" t="s">
        <v>2364</v>
      </c>
      <c r="C393" s="78" t="s">
        <v>2365</v>
      </c>
      <c r="D393" s="178">
        <f>VLOOKUP(B393,'Planning TB 2024'!$B$14:$Q$888,16,FALSE)</f>
        <v>5641350.9043867998</v>
      </c>
      <c r="E393" s="178">
        <f>VLOOKUP(B393,'Planning TB 2025'!$B$14:$Q$574,16,FALSE)</f>
        <v>5641350.9043867998</v>
      </c>
      <c r="F393" s="191">
        <f t="shared" si="13"/>
        <v>0</v>
      </c>
      <c r="G393" s="206">
        <f t="shared" si="14"/>
        <v>0</v>
      </c>
    </row>
    <row r="394" spans="1:7" hidden="1" x14ac:dyDescent="0.3">
      <c r="A394" s="177" t="s">
        <v>162</v>
      </c>
      <c r="B394" s="177" t="s">
        <v>2366</v>
      </c>
      <c r="C394" s="78" t="s">
        <v>2367</v>
      </c>
      <c r="D394" s="178">
        <f>VLOOKUP(B394,'Planning TB 2024'!$B$14:$Q$888,16,FALSE)</f>
        <v>2721999.9999996</v>
      </c>
      <c r="E394" s="178">
        <f>VLOOKUP(B394,'Planning TB 2025'!$B$14:$Q$574,16,FALSE)</f>
        <v>2721999.9999996</v>
      </c>
      <c r="F394" s="191">
        <f t="shared" si="13"/>
        <v>0</v>
      </c>
      <c r="G394" s="206">
        <f t="shared" si="14"/>
        <v>0</v>
      </c>
    </row>
    <row r="395" spans="1:7" hidden="1" x14ac:dyDescent="0.3">
      <c r="A395" s="177" t="s">
        <v>162</v>
      </c>
      <c r="B395" s="177" t="s">
        <v>2368</v>
      </c>
      <c r="C395" s="78" t="s">
        <v>2369</v>
      </c>
      <c r="D395" s="178">
        <f>VLOOKUP(B395,'Planning TB 2024'!$B$14:$Q$888,16,FALSE)</f>
        <v>0</v>
      </c>
      <c r="E395" s="178" t="e">
        <f>VLOOKUP(B395,'Planning TB 2025'!$B$14:$Q$574,16,FALSE)</f>
        <v>#N/A</v>
      </c>
      <c r="F395" s="191" t="e">
        <f t="shared" si="13"/>
        <v>#N/A</v>
      </c>
      <c r="G395" s="206" t="e">
        <f t="shared" si="14"/>
        <v>#N/A</v>
      </c>
    </row>
    <row r="396" spans="1:7" hidden="1" x14ac:dyDescent="0.3">
      <c r="A396" s="177" t="s">
        <v>162</v>
      </c>
      <c r="B396" s="177" t="s">
        <v>2370</v>
      </c>
      <c r="C396" s="78" t="s">
        <v>2371</v>
      </c>
      <c r="D396" s="178">
        <f>VLOOKUP(B396,'Planning TB 2024'!$B$14:$Q$888,16,FALSE)</f>
        <v>0</v>
      </c>
      <c r="E396" s="178" t="e">
        <f>VLOOKUP(B396,'Planning TB 2025'!$B$14:$Q$574,16,FALSE)</f>
        <v>#N/A</v>
      </c>
      <c r="F396" s="191" t="e">
        <f t="shared" si="13"/>
        <v>#N/A</v>
      </c>
      <c r="G396" s="206" t="e">
        <f t="shared" si="14"/>
        <v>#N/A</v>
      </c>
    </row>
    <row r="397" spans="1:7" hidden="1" x14ac:dyDescent="0.3">
      <c r="A397" s="177" t="s">
        <v>162</v>
      </c>
      <c r="B397" s="177" t="s">
        <v>2372</v>
      </c>
      <c r="C397" s="78" t="s">
        <v>2373</v>
      </c>
      <c r="D397" s="178">
        <f>VLOOKUP(B397,'Planning TB 2024'!$B$14:$Q$888,16,FALSE)</f>
        <v>2600000</v>
      </c>
      <c r="E397" s="178">
        <f>VLOOKUP(B397,'Planning TB 2025'!$B$14:$Q$574,16,FALSE)</f>
        <v>2600000</v>
      </c>
      <c r="F397" s="191">
        <f t="shared" si="13"/>
        <v>0</v>
      </c>
      <c r="G397" s="206">
        <f t="shared" si="14"/>
        <v>0</v>
      </c>
    </row>
    <row r="398" spans="1:7" hidden="1" x14ac:dyDescent="0.3">
      <c r="A398" s="177" t="s">
        <v>162</v>
      </c>
      <c r="B398" s="177" t="s">
        <v>2374</v>
      </c>
      <c r="C398" s="78" t="s">
        <v>2375</v>
      </c>
      <c r="D398" s="178">
        <f>VLOOKUP(B398,'Planning TB 2024'!$B$14:$Q$888,16,FALSE)</f>
        <v>107000</v>
      </c>
      <c r="E398" s="178">
        <f>VLOOKUP(B398,'Planning TB 2025'!$B$14:$Q$574,16,FALSE)</f>
        <v>107000</v>
      </c>
      <c r="F398" s="191">
        <f t="shared" si="13"/>
        <v>0</v>
      </c>
      <c r="G398" s="206">
        <f t="shared" si="14"/>
        <v>0</v>
      </c>
    </row>
    <row r="399" spans="1:7" hidden="1" x14ac:dyDescent="0.3">
      <c r="A399" s="177" t="s">
        <v>162</v>
      </c>
      <c r="B399" s="177" t="s">
        <v>2376</v>
      </c>
      <c r="C399" s="78" t="s">
        <v>2377</v>
      </c>
      <c r="D399" s="178">
        <f>VLOOKUP(B399,'Planning TB 2024'!$B$14:$Q$888,16,FALSE)</f>
        <v>121200</v>
      </c>
      <c r="E399" s="178">
        <f>VLOOKUP(B399,'Planning TB 2025'!$B$14:$Q$574,16,FALSE)</f>
        <v>121200</v>
      </c>
      <c r="F399" s="191">
        <f t="shared" si="13"/>
        <v>0</v>
      </c>
      <c r="G399" s="206">
        <f t="shared" si="14"/>
        <v>0</v>
      </c>
    </row>
    <row r="400" spans="1:7" hidden="1" x14ac:dyDescent="0.3">
      <c r="A400" s="177" t="s">
        <v>162</v>
      </c>
      <c r="B400" s="177" t="s">
        <v>2378</v>
      </c>
      <c r="C400" s="78" t="s">
        <v>2379</v>
      </c>
      <c r="D400" s="178">
        <f>VLOOKUP(B400,'Planning TB 2024'!$B$14:$Q$888,16,FALSE)</f>
        <v>183041.74026759996</v>
      </c>
      <c r="E400" s="178">
        <f>VLOOKUP(B400,'Planning TB 2025'!$B$14:$Q$574,16,FALSE)</f>
        <v>183770.52610679998</v>
      </c>
      <c r="F400" s="191">
        <f t="shared" si="13"/>
        <v>728.78583920001984</v>
      </c>
      <c r="G400" s="206">
        <f t="shared" si="14"/>
        <v>3.9815281374322763E-3</v>
      </c>
    </row>
    <row r="401" spans="1:7" hidden="1" x14ac:dyDescent="0.3">
      <c r="A401" s="177" t="s">
        <v>162</v>
      </c>
      <c r="B401" s="177" t="s">
        <v>2380</v>
      </c>
      <c r="C401" s="78" t="s">
        <v>2381</v>
      </c>
      <c r="D401" s="178">
        <f>VLOOKUP(B401,'Planning TB 2024'!$B$14:$Q$888,16,FALSE)</f>
        <v>2200000</v>
      </c>
      <c r="E401" s="178" t="e">
        <f>VLOOKUP(B401,'Planning TB 2025'!$B$14:$Q$574,16,FALSE)</f>
        <v>#N/A</v>
      </c>
      <c r="F401" s="191" t="e">
        <f t="shared" si="13"/>
        <v>#N/A</v>
      </c>
      <c r="G401" s="206" t="e">
        <f t="shared" si="14"/>
        <v>#N/A</v>
      </c>
    </row>
    <row r="402" spans="1:7" hidden="1" x14ac:dyDescent="0.3">
      <c r="A402" s="177" t="s">
        <v>162</v>
      </c>
      <c r="B402" s="177" t="s">
        <v>2382</v>
      </c>
      <c r="C402" s="78" t="s">
        <v>2383</v>
      </c>
      <c r="D402" s="178">
        <f>VLOOKUP(B402,'Planning TB 2024'!$B$14:$Q$888,16,FALSE)</f>
        <v>100000.00000000001</v>
      </c>
      <c r="E402" s="178">
        <f>VLOOKUP(B402,'Planning TB 2025'!$B$14:$Q$574,16,FALSE)</f>
        <v>100000.00000000001</v>
      </c>
      <c r="F402" s="191">
        <f t="shared" si="13"/>
        <v>0</v>
      </c>
      <c r="G402" s="206">
        <f t="shared" si="14"/>
        <v>0</v>
      </c>
    </row>
    <row r="403" spans="1:7" hidden="1" x14ac:dyDescent="0.3">
      <c r="A403" s="177" t="s">
        <v>162</v>
      </c>
      <c r="B403" s="177" t="s">
        <v>2384</v>
      </c>
      <c r="C403" s="78" t="s">
        <v>2385</v>
      </c>
      <c r="D403" s="178">
        <f>VLOOKUP(B403,'Planning TB 2024'!$B$14:$Q$888,16,FALSE)</f>
        <v>0</v>
      </c>
      <c r="E403" s="178" t="e">
        <f>VLOOKUP(B403,'Planning TB 2025'!$B$14:$Q$574,16,FALSE)</f>
        <v>#N/A</v>
      </c>
      <c r="F403" s="191" t="e">
        <f t="shared" si="13"/>
        <v>#N/A</v>
      </c>
      <c r="G403" s="206" t="e">
        <f t="shared" si="14"/>
        <v>#N/A</v>
      </c>
    </row>
    <row r="404" spans="1:7" hidden="1" x14ac:dyDescent="0.3">
      <c r="A404" s="177" t="s">
        <v>162</v>
      </c>
      <c r="B404" s="177" t="s">
        <v>2386</v>
      </c>
      <c r="C404" s="78" t="s">
        <v>2387</v>
      </c>
      <c r="D404" s="178">
        <f>VLOOKUP(B404,'Planning TB 2024'!$B$14:$Q$888,16,FALSE)</f>
        <v>7633689.4638460986</v>
      </c>
      <c r="E404" s="178">
        <f>VLOOKUP(B404,'Planning TB 2025'!$B$14:$Q$574,16,FALSE)</f>
        <v>7633689.4615383986</v>
      </c>
      <c r="F404" s="191">
        <f t="shared" si="13"/>
        <v>-2.3076999932527542E-3</v>
      </c>
      <c r="G404" s="206">
        <f t="shared" si="14"/>
        <v>-3.0230467248926584E-10</v>
      </c>
    </row>
    <row r="405" spans="1:7" hidden="1" x14ac:dyDescent="0.3">
      <c r="A405" s="177" t="s">
        <v>162</v>
      </c>
      <c r="B405" s="177" t="s">
        <v>2388</v>
      </c>
      <c r="C405" s="78" t="s">
        <v>2389</v>
      </c>
      <c r="D405" s="178">
        <f>VLOOKUP(B405,'Planning TB 2024'!$B$14:$Q$888,16,FALSE)</f>
        <v>209341.12087920003</v>
      </c>
      <c r="E405" s="178">
        <f>VLOOKUP(B405,'Planning TB 2025'!$B$14:$Q$574,16,FALSE)</f>
        <v>209341.12087920003</v>
      </c>
      <c r="F405" s="191">
        <f t="shared" si="13"/>
        <v>0</v>
      </c>
      <c r="G405" s="206">
        <f t="shared" si="14"/>
        <v>0</v>
      </c>
    </row>
    <row r="406" spans="1:7" hidden="1" x14ac:dyDescent="0.3">
      <c r="A406" s="177" t="s">
        <v>162</v>
      </c>
      <c r="B406" s="177" t="s">
        <v>2390</v>
      </c>
      <c r="C406" s="78" t="s">
        <v>2391</v>
      </c>
      <c r="D406" s="178">
        <f>VLOOKUP(B406,'Planning TB 2024'!$B$14:$Q$888,16,FALSE)</f>
        <v>0</v>
      </c>
      <c r="E406" s="178" t="e">
        <f>VLOOKUP(B406,'Planning TB 2025'!$B$14:$Q$574,16,FALSE)</f>
        <v>#N/A</v>
      </c>
      <c r="F406" s="191" t="e">
        <f t="shared" si="13"/>
        <v>#N/A</v>
      </c>
      <c r="G406" s="206" t="e">
        <f t="shared" si="14"/>
        <v>#N/A</v>
      </c>
    </row>
    <row r="407" spans="1:7" hidden="1" x14ac:dyDescent="0.3">
      <c r="A407" s="177" t="s">
        <v>162</v>
      </c>
      <c r="B407" s="177" t="s">
        <v>2392</v>
      </c>
      <c r="C407" s="78" t="s">
        <v>2393</v>
      </c>
      <c r="D407" s="178">
        <f>VLOOKUP(B407,'Planning TB 2024'!$B$14:$Q$888,16,FALSE)</f>
        <v>0</v>
      </c>
      <c r="E407" s="178" t="e">
        <f>VLOOKUP(B407,'Planning TB 2025'!$B$14:$Q$574,16,FALSE)</f>
        <v>#N/A</v>
      </c>
      <c r="F407" s="191" t="e">
        <f t="shared" si="13"/>
        <v>#N/A</v>
      </c>
      <c r="G407" s="206" t="e">
        <f t="shared" si="14"/>
        <v>#N/A</v>
      </c>
    </row>
    <row r="408" spans="1:7" hidden="1" x14ac:dyDescent="0.3">
      <c r="A408" s="177" t="s">
        <v>162</v>
      </c>
      <c r="B408" s="177" t="s">
        <v>2394</v>
      </c>
      <c r="C408" s="78" t="s">
        <v>2395</v>
      </c>
      <c r="D408" s="178">
        <f>VLOOKUP(B408,'Planning TB 2024'!$B$14:$Q$888,16,FALSE)</f>
        <v>0</v>
      </c>
      <c r="E408" s="178" t="e">
        <f>VLOOKUP(B408,'Planning TB 2025'!$B$14:$Q$574,16,FALSE)</f>
        <v>#N/A</v>
      </c>
      <c r="F408" s="191" t="e">
        <f t="shared" si="13"/>
        <v>#N/A</v>
      </c>
      <c r="G408" s="206" t="e">
        <f t="shared" si="14"/>
        <v>#N/A</v>
      </c>
    </row>
    <row r="409" spans="1:7" hidden="1" x14ac:dyDescent="0.3">
      <c r="A409" s="177" t="s">
        <v>162</v>
      </c>
      <c r="B409" s="177" t="s">
        <v>2396</v>
      </c>
      <c r="C409" s="78" t="s">
        <v>2397</v>
      </c>
      <c r="D409" s="178">
        <f>VLOOKUP(B409,'Planning TB 2024'!$B$14:$Q$888,16,FALSE)</f>
        <v>486873.39000000007</v>
      </c>
      <c r="E409" s="178">
        <f>VLOOKUP(B409,'Planning TB 2025'!$B$14:$Q$574,16,FALSE)</f>
        <v>486873.39000000007</v>
      </c>
      <c r="F409" s="191">
        <f t="shared" si="13"/>
        <v>0</v>
      </c>
      <c r="G409" s="206">
        <f t="shared" si="14"/>
        <v>0</v>
      </c>
    </row>
    <row r="410" spans="1:7" hidden="1" x14ac:dyDescent="0.3">
      <c r="A410" s="177" t="s">
        <v>162</v>
      </c>
      <c r="B410" s="177" t="s">
        <v>2398</v>
      </c>
      <c r="C410" s="78" t="s">
        <v>2399</v>
      </c>
      <c r="D410" s="178">
        <f>VLOOKUP(B410,'Planning TB 2024'!$B$14:$Q$888,16,FALSE)</f>
        <v>7000</v>
      </c>
      <c r="E410" s="178">
        <f>VLOOKUP(B410,'Planning TB 2025'!$B$14:$Q$574,16,FALSE)</f>
        <v>7000</v>
      </c>
      <c r="F410" s="191">
        <f t="shared" si="13"/>
        <v>0</v>
      </c>
      <c r="G410" s="206">
        <f t="shared" si="14"/>
        <v>0</v>
      </c>
    </row>
    <row r="411" spans="1:7" hidden="1" x14ac:dyDescent="0.3">
      <c r="A411" s="177" t="s">
        <v>162</v>
      </c>
      <c r="B411" s="177" t="s">
        <v>2400</v>
      </c>
      <c r="C411" s="78" t="s">
        <v>2401</v>
      </c>
      <c r="D411" s="178">
        <f>VLOOKUP(B411,'Planning TB 2024'!$B$14:$Q$888,16,FALSE)</f>
        <v>1</v>
      </c>
      <c r="E411" s="178">
        <f>VLOOKUP(B411,'Planning TB 2025'!$B$14:$Q$574,16,FALSE)</f>
        <v>-70100</v>
      </c>
      <c r="F411" s="191">
        <f t="shared" si="13"/>
        <v>-70101</v>
      </c>
      <c r="G411" s="206">
        <f t="shared" si="14"/>
        <v>-70101</v>
      </c>
    </row>
    <row r="412" spans="1:7" hidden="1" x14ac:dyDescent="0.3">
      <c r="A412" s="177" t="s">
        <v>162</v>
      </c>
      <c r="B412" s="177" t="s">
        <v>2402</v>
      </c>
      <c r="C412" s="78" t="s">
        <v>2403</v>
      </c>
      <c r="D412" s="178">
        <f>VLOOKUP(B412,'Planning TB 2024'!$B$14:$Q$888,16,FALSE)</f>
        <v>0</v>
      </c>
      <c r="E412" s="178" t="e">
        <f>VLOOKUP(B412,'Planning TB 2025'!$B$14:$Q$574,16,FALSE)</f>
        <v>#N/A</v>
      </c>
      <c r="F412" s="191" t="e">
        <f t="shared" si="13"/>
        <v>#N/A</v>
      </c>
      <c r="G412" s="206" t="e">
        <f t="shared" si="14"/>
        <v>#N/A</v>
      </c>
    </row>
    <row r="413" spans="1:7" hidden="1" x14ac:dyDescent="0.3">
      <c r="A413" s="177" t="s">
        <v>162</v>
      </c>
      <c r="B413" s="177" t="s">
        <v>2404</v>
      </c>
      <c r="C413" s="78" t="s">
        <v>2405</v>
      </c>
      <c r="D413" s="178">
        <f>VLOOKUP(B413,'Planning TB 2024'!$B$14:$Q$888,16,FALSE)</f>
        <v>0</v>
      </c>
      <c r="E413" s="178" t="e">
        <f>VLOOKUP(B413,'Planning TB 2025'!$B$14:$Q$574,16,FALSE)</f>
        <v>#N/A</v>
      </c>
      <c r="F413" s="191" t="e">
        <f t="shared" si="13"/>
        <v>#N/A</v>
      </c>
      <c r="G413" s="206" t="e">
        <f t="shared" si="14"/>
        <v>#N/A</v>
      </c>
    </row>
    <row r="414" spans="1:7" hidden="1" x14ac:dyDescent="0.3">
      <c r="A414" s="177" t="s">
        <v>162</v>
      </c>
      <c r="B414" s="177" t="s">
        <v>2406</v>
      </c>
      <c r="C414" s="78" t="s">
        <v>2407</v>
      </c>
      <c r="D414" s="178">
        <f>VLOOKUP(B414,'Planning TB 2024'!$B$14:$Q$888,16,FALSE)</f>
        <v>0</v>
      </c>
      <c r="E414" s="178" t="e">
        <f>VLOOKUP(B414,'Planning TB 2025'!$B$14:$Q$574,16,FALSE)</f>
        <v>#N/A</v>
      </c>
      <c r="F414" s="191" t="e">
        <f t="shared" si="13"/>
        <v>#N/A</v>
      </c>
      <c r="G414" s="206" t="e">
        <f t="shared" si="14"/>
        <v>#N/A</v>
      </c>
    </row>
    <row r="415" spans="1:7" hidden="1" x14ac:dyDescent="0.3">
      <c r="A415" s="177" t="s">
        <v>162</v>
      </c>
      <c r="B415" s="177" t="s">
        <v>2408</v>
      </c>
      <c r="C415" s="78" t="s">
        <v>2409</v>
      </c>
      <c r="D415" s="178">
        <f>VLOOKUP(B415,'Planning TB 2024'!$B$14:$Q$888,16,FALSE)</f>
        <v>0</v>
      </c>
      <c r="E415" s="178" t="e">
        <f>VLOOKUP(B415,'Planning TB 2025'!$B$14:$Q$574,16,FALSE)</f>
        <v>#N/A</v>
      </c>
      <c r="F415" s="191" t="e">
        <f t="shared" si="13"/>
        <v>#N/A</v>
      </c>
      <c r="G415" s="206" t="e">
        <f t="shared" si="14"/>
        <v>#N/A</v>
      </c>
    </row>
    <row r="416" spans="1:7" hidden="1" x14ac:dyDescent="0.3">
      <c r="A416" s="177" t="s">
        <v>162</v>
      </c>
      <c r="B416" s="177" t="s">
        <v>2410</v>
      </c>
      <c r="C416" s="78" t="s">
        <v>2411</v>
      </c>
      <c r="D416" s="178">
        <f>VLOOKUP(B416,'Planning TB 2024'!$B$14:$Q$888,16,FALSE)</f>
        <v>0</v>
      </c>
      <c r="E416" s="178" t="e">
        <f>VLOOKUP(B416,'Planning TB 2025'!$B$14:$Q$574,16,FALSE)</f>
        <v>#N/A</v>
      </c>
      <c r="F416" s="191" t="e">
        <f t="shared" si="13"/>
        <v>#N/A</v>
      </c>
      <c r="G416" s="206" t="e">
        <f t="shared" si="14"/>
        <v>#N/A</v>
      </c>
    </row>
    <row r="417" spans="1:7" hidden="1" x14ac:dyDescent="0.3">
      <c r="A417" s="177" t="s">
        <v>162</v>
      </c>
      <c r="B417" s="177" t="s">
        <v>2412</v>
      </c>
      <c r="C417" s="78" t="s">
        <v>2413</v>
      </c>
      <c r="D417" s="178">
        <f>VLOOKUP(B417,'Planning TB 2024'!$B$14:$Q$888,16,FALSE)</f>
        <v>0</v>
      </c>
      <c r="E417" s="178" t="e">
        <f>VLOOKUP(B417,'Planning TB 2025'!$B$14:$Q$574,16,FALSE)</f>
        <v>#N/A</v>
      </c>
      <c r="F417" s="191" t="e">
        <f t="shared" si="13"/>
        <v>#N/A</v>
      </c>
      <c r="G417" s="206" t="e">
        <f t="shared" si="14"/>
        <v>#N/A</v>
      </c>
    </row>
    <row r="418" spans="1:7" hidden="1" x14ac:dyDescent="0.3">
      <c r="A418" s="177" t="s">
        <v>162</v>
      </c>
      <c r="B418" s="177" t="s">
        <v>2414</v>
      </c>
      <c r="C418" s="78" t="s">
        <v>2415</v>
      </c>
      <c r="D418" s="178">
        <f>VLOOKUP(B418,'Planning TB 2024'!$B$14:$Q$888,16,FALSE)</f>
        <v>0</v>
      </c>
      <c r="E418" s="178" t="e">
        <f>VLOOKUP(B418,'Planning TB 2025'!$B$14:$Q$574,16,FALSE)</f>
        <v>#N/A</v>
      </c>
      <c r="F418" s="191" t="e">
        <f t="shared" si="13"/>
        <v>#N/A</v>
      </c>
      <c r="G418" s="206" t="e">
        <f t="shared" si="14"/>
        <v>#N/A</v>
      </c>
    </row>
    <row r="419" spans="1:7" hidden="1" x14ac:dyDescent="0.3">
      <c r="A419" s="177" t="s">
        <v>162</v>
      </c>
      <c r="B419" s="177" t="s">
        <v>2416</v>
      </c>
      <c r="C419" s="78" t="s">
        <v>2417</v>
      </c>
      <c r="D419" s="178">
        <f>VLOOKUP(B419,'Planning TB 2024'!$B$14:$Q$888,16,FALSE)</f>
        <v>0</v>
      </c>
      <c r="E419" s="178" t="e">
        <f>VLOOKUP(B419,'Planning TB 2025'!$B$14:$Q$574,16,FALSE)</f>
        <v>#N/A</v>
      </c>
      <c r="F419" s="191" t="e">
        <f t="shared" si="13"/>
        <v>#N/A</v>
      </c>
      <c r="G419" s="206" t="e">
        <f t="shared" si="14"/>
        <v>#N/A</v>
      </c>
    </row>
    <row r="420" spans="1:7" hidden="1" x14ac:dyDescent="0.3">
      <c r="A420" s="177" t="s">
        <v>162</v>
      </c>
      <c r="B420" s="177" t="s">
        <v>2418</v>
      </c>
      <c r="C420" s="78" t="s">
        <v>2419</v>
      </c>
      <c r="D420" s="178">
        <f>VLOOKUP(B420,'Planning TB 2024'!$B$14:$Q$888,16,FALSE)</f>
        <v>0</v>
      </c>
      <c r="E420" s="178" t="e">
        <f>VLOOKUP(B420,'Planning TB 2025'!$B$14:$Q$574,16,FALSE)</f>
        <v>#N/A</v>
      </c>
      <c r="F420" s="191" t="e">
        <f t="shared" si="13"/>
        <v>#N/A</v>
      </c>
      <c r="G420" s="206" t="e">
        <f t="shared" si="14"/>
        <v>#N/A</v>
      </c>
    </row>
    <row r="421" spans="1:7" hidden="1" x14ac:dyDescent="0.3">
      <c r="A421" s="177" t="s">
        <v>162</v>
      </c>
      <c r="B421" s="177" t="s">
        <v>2420</v>
      </c>
      <c r="C421" s="78" t="s">
        <v>2421</v>
      </c>
      <c r="D421" s="178">
        <f>VLOOKUP(B421,'Planning TB 2024'!$B$14:$Q$888,16,FALSE)</f>
        <v>0</v>
      </c>
      <c r="E421" s="178" t="e">
        <f>VLOOKUP(B421,'Planning TB 2025'!$B$14:$Q$574,16,FALSE)</f>
        <v>#N/A</v>
      </c>
      <c r="F421" s="191" t="e">
        <f t="shared" si="13"/>
        <v>#N/A</v>
      </c>
      <c r="G421" s="206" t="e">
        <f t="shared" si="14"/>
        <v>#N/A</v>
      </c>
    </row>
    <row r="422" spans="1:7" hidden="1" x14ac:dyDescent="0.3">
      <c r="A422" s="177" t="s">
        <v>162</v>
      </c>
      <c r="B422" s="177" t="s">
        <v>2422</v>
      </c>
      <c r="C422" s="78" t="s">
        <v>2423</v>
      </c>
      <c r="D422" s="178">
        <f>VLOOKUP(B422,'Planning TB 2024'!$B$14:$Q$888,16,FALSE)</f>
        <v>0</v>
      </c>
      <c r="E422" s="178" t="e">
        <f>VLOOKUP(B422,'Planning TB 2025'!$B$14:$Q$574,16,FALSE)</f>
        <v>#N/A</v>
      </c>
      <c r="F422" s="191" t="e">
        <f t="shared" si="13"/>
        <v>#N/A</v>
      </c>
      <c r="G422" s="206" t="e">
        <f t="shared" si="14"/>
        <v>#N/A</v>
      </c>
    </row>
    <row r="423" spans="1:7" hidden="1" x14ac:dyDescent="0.3">
      <c r="A423" s="177" t="s">
        <v>162</v>
      </c>
      <c r="B423" s="177" t="s">
        <v>2424</v>
      </c>
      <c r="C423" s="78" t="s">
        <v>2425</v>
      </c>
      <c r="D423" s="178">
        <f>VLOOKUP(B423,'Planning TB 2024'!$B$14:$Q$888,16,FALSE)</f>
        <v>0</v>
      </c>
      <c r="E423" s="178" t="e">
        <f>VLOOKUP(B423,'Planning TB 2025'!$B$14:$Q$574,16,FALSE)</f>
        <v>#N/A</v>
      </c>
      <c r="F423" s="191" t="e">
        <f t="shared" si="13"/>
        <v>#N/A</v>
      </c>
      <c r="G423" s="206" t="e">
        <f t="shared" si="14"/>
        <v>#N/A</v>
      </c>
    </row>
    <row r="424" spans="1:7" hidden="1" x14ac:dyDescent="0.3">
      <c r="A424" s="177" t="s">
        <v>162</v>
      </c>
      <c r="B424" s="177" t="s">
        <v>2426</v>
      </c>
      <c r="C424" s="78" t="s">
        <v>2427</v>
      </c>
      <c r="D424" s="178">
        <f>VLOOKUP(B424,'Planning TB 2024'!$B$14:$Q$888,16,FALSE)</f>
        <v>-6175302.1585553996</v>
      </c>
      <c r="E424" s="178">
        <f>VLOOKUP(B424,'Planning TB 2025'!$B$14:$Q$574,16,FALSE)</f>
        <v>-1390620.5154881999</v>
      </c>
      <c r="F424" s="191">
        <f t="shared" si="13"/>
        <v>4784681.6430671997</v>
      </c>
      <c r="G424" s="206">
        <f t="shared" si="14"/>
        <v>-0.77480931624348071</v>
      </c>
    </row>
    <row r="425" spans="1:7" hidden="1" x14ac:dyDescent="0.3">
      <c r="A425" s="177" t="s">
        <v>162</v>
      </c>
      <c r="B425" s="177" t="s">
        <v>2428</v>
      </c>
      <c r="C425" s="78" t="s">
        <v>2429</v>
      </c>
      <c r="D425" s="178">
        <f>VLOOKUP(B425,'Planning TB 2024'!$B$14:$Q$888,16,FALSE)</f>
        <v>0</v>
      </c>
      <c r="E425" s="178" t="e">
        <f>VLOOKUP(B425,'Planning TB 2025'!$B$14:$Q$574,16,FALSE)</f>
        <v>#N/A</v>
      </c>
      <c r="F425" s="191" t="e">
        <f t="shared" si="13"/>
        <v>#N/A</v>
      </c>
      <c r="G425" s="206" t="e">
        <f t="shared" si="14"/>
        <v>#N/A</v>
      </c>
    </row>
    <row r="426" spans="1:7" hidden="1" x14ac:dyDescent="0.3">
      <c r="A426" s="177" t="s">
        <v>162</v>
      </c>
      <c r="B426" s="177" t="s">
        <v>2430</v>
      </c>
      <c r="C426" s="78" t="s">
        <v>2431</v>
      </c>
      <c r="D426" s="178">
        <f>VLOOKUP(B426,'Planning TB 2024'!$B$14:$Q$888,16,FALSE)</f>
        <v>0</v>
      </c>
      <c r="E426" s="178" t="e">
        <f>VLOOKUP(B426,'Planning TB 2025'!$B$14:$Q$574,16,FALSE)</f>
        <v>#N/A</v>
      </c>
      <c r="F426" s="191" t="e">
        <f t="shared" si="13"/>
        <v>#N/A</v>
      </c>
      <c r="G426" s="206" t="e">
        <f t="shared" si="14"/>
        <v>#N/A</v>
      </c>
    </row>
    <row r="427" spans="1:7" hidden="1" x14ac:dyDescent="0.3">
      <c r="A427" s="177" t="s">
        <v>162</v>
      </c>
      <c r="B427" s="177" t="s">
        <v>2432</v>
      </c>
      <c r="C427" s="78" t="s">
        <v>2433</v>
      </c>
      <c r="D427" s="178">
        <f>VLOOKUP(B427,'Planning TB 2024'!$B$14:$Q$888,16,FALSE)</f>
        <v>0</v>
      </c>
      <c r="E427" s="178" t="e">
        <f>VLOOKUP(B427,'Planning TB 2025'!$B$14:$Q$574,16,FALSE)</f>
        <v>#N/A</v>
      </c>
      <c r="F427" s="191" t="e">
        <f t="shared" si="13"/>
        <v>#N/A</v>
      </c>
      <c r="G427" s="206" t="e">
        <f t="shared" si="14"/>
        <v>#N/A</v>
      </c>
    </row>
    <row r="428" spans="1:7" hidden="1" x14ac:dyDescent="0.3">
      <c r="A428" s="177" t="s">
        <v>162</v>
      </c>
      <c r="B428" s="177" t="s">
        <v>2434</v>
      </c>
      <c r="C428" s="78" t="s">
        <v>2435</v>
      </c>
      <c r="D428" s="178">
        <f>VLOOKUP(B428,'Planning TB 2024'!$B$14:$Q$888,16,FALSE)</f>
        <v>0</v>
      </c>
      <c r="E428" s="178" t="e">
        <f>VLOOKUP(B428,'Planning TB 2025'!$B$14:$Q$574,16,FALSE)</f>
        <v>#N/A</v>
      </c>
      <c r="F428" s="191" t="e">
        <f t="shared" si="13"/>
        <v>#N/A</v>
      </c>
      <c r="G428" s="206" t="e">
        <f t="shared" si="14"/>
        <v>#N/A</v>
      </c>
    </row>
    <row r="429" spans="1:7" hidden="1" x14ac:dyDescent="0.3">
      <c r="A429" s="177" t="s">
        <v>162</v>
      </c>
      <c r="B429" s="177" t="s">
        <v>2436</v>
      </c>
      <c r="C429" s="78" t="s">
        <v>2437</v>
      </c>
      <c r="D429" s="178">
        <f>VLOOKUP(B429,'Planning TB 2024'!$B$14:$Q$888,16,FALSE)</f>
        <v>0</v>
      </c>
      <c r="E429" s="178" t="e">
        <f>VLOOKUP(B429,'Planning TB 2025'!$B$14:$Q$574,16,FALSE)</f>
        <v>#N/A</v>
      </c>
      <c r="F429" s="191" t="e">
        <f t="shared" si="13"/>
        <v>#N/A</v>
      </c>
      <c r="G429" s="206" t="e">
        <f t="shared" si="14"/>
        <v>#N/A</v>
      </c>
    </row>
    <row r="430" spans="1:7" hidden="1" x14ac:dyDescent="0.3">
      <c r="A430" s="177" t="s">
        <v>162</v>
      </c>
      <c r="B430" s="177" t="s">
        <v>2438</v>
      </c>
      <c r="C430" s="78" t="s">
        <v>2439</v>
      </c>
      <c r="D430" s="178">
        <f>VLOOKUP(B430,'Planning TB 2024'!$B$14:$Q$888,16,FALSE)</f>
        <v>0</v>
      </c>
      <c r="E430" s="178" t="e">
        <f>VLOOKUP(B430,'Planning TB 2025'!$B$14:$Q$574,16,FALSE)</f>
        <v>#N/A</v>
      </c>
      <c r="F430" s="191" t="e">
        <f t="shared" si="13"/>
        <v>#N/A</v>
      </c>
      <c r="G430" s="206" t="e">
        <f t="shared" si="14"/>
        <v>#N/A</v>
      </c>
    </row>
    <row r="431" spans="1:7" hidden="1" x14ac:dyDescent="0.3">
      <c r="A431" s="177" t="s">
        <v>162</v>
      </c>
      <c r="B431" s="177" t="s">
        <v>2440</v>
      </c>
      <c r="C431" s="78" t="s">
        <v>2441</v>
      </c>
      <c r="D431" s="178">
        <f>VLOOKUP(B431,'Planning TB 2024'!$B$14:$Q$888,16,FALSE)</f>
        <v>0</v>
      </c>
      <c r="E431" s="178" t="e">
        <f>VLOOKUP(B431,'Planning TB 2025'!$B$14:$Q$574,16,FALSE)</f>
        <v>#N/A</v>
      </c>
      <c r="F431" s="191" t="e">
        <f t="shared" si="13"/>
        <v>#N/A</v>
      </c>
      <c r="G431" s="206" t="e">
        <f t="shared" si="14"/>
        <v>#N/A</v>
      </c>
    </row>
    <row r="432" spans="1:7" hidden="1" x14ac:dyDescent="0.3">
      <c r="A432" s="177" t="s">
        <v>162</v>
      </c>
      <c r="B432" s="177" t="s">
        <v>2442</v>
      </c>
      <c r="C432" s="78" t="s">
        <v>2443</v>
      </c>
      <c r="D432" s="178">
        <f>VLOOKUP(B432,'Planning TB 2024'!$B$14:$Q$888,16,FALSE)</f>
        <v>0</v>
      </c>
      <c r="E432" s="178" t="e">
        <f>VLOOKUP(B432,'Planning TB 2025'!$B$14:$Q$574,16,FALSE)</f>
        <v>#N/A</v>
      </c>
      <c r="F432" s="191" t="e">
        <f t="shared" si="13"/>
        <v>#N/A</v>
      </c>
      <c r="G432" s="206" t="e">
        <f t="shared" si="14"/>
        <v>#N/A</v>
      </c>
    </row>
    <row r="433" spans="1:7" hidden="1" x14ac:dyDescent="0.3">
      <c r="A433" s="177" t="s">
        <v>162</v>
      </c>
      <c r="B433" s="177" t="s">
        <v>2444</v>
      </c>
      <c r="C433" s="78" t="s">
        <v>2445</v>
      </c>
      <c r="D433" s="178">
        <f>VLOOKUP(B433,'Planning TB 2024'!$B$14:$Q$888,16,FALSE)</f>
        <v>0</v>
      </c>
      <c r="E433" s="178" t="e">
        <f>VLOOKUP(B433,'Planning TB 2025'!$B$14:$Q$574,16,FALSE)</f>
        <v>#N/A</v>
      </c>
      <c r="F433" s="191" t="e">
        <f t="shared" si="13"/>
        <v>#N/A</v>
      </c>
      <c r="G433" s="206" t="e">
        <f t="shared" si="14"/>
        <v>#N/A</v>
      </c>
    </row>
    <row r="434" spans="1:7" hidden="1" x14ac:dyDescent="0.3">
      <c r="A434" s="177" t="s">
        <v>162</v>
      </c>
      <c r="B434" s="177" t="s">
        <v>2446</v>
      </c>
      <c r="C434" s="78" t="s">
        <v>2447</v>
      </c>
      <c r="D434" s="178">
        <f>VLOOKUP(B434,'Planning TB 2024'!$B$14:$Q$888,16,FALSE)</f>
        <v>0</v>
      </c>
      <c r="E434" s="178" t="e">
        <f>VLOOKUP(B434,'Planning TB 2025'!$B$14:$Q$574,16,FALSE)</f>
        <v>#N/A</v>
      </c>
      <c r="F434" s="191" t="e">
        <f t="shared" si="13"/>
        <v>#N/A</v>
      </c>
      <c r="G434" s="206" t="e">
        <f t="shared" si="14"/>
        <v>#N/A</v>
      </c>
    </row>
    <row r="435" spans="1:7" hidden="1" x14ac:dyDescent="0.3">
      <c r="A435" s="177" t="s">
        <v>162</v>
      </c>
      <c r="B435" s="177" t="s">
        <v>2448</v>
      </c>
      <c r="C435" s="78" t="s">
        <v>2449</v>
      </c>
      <c r="D435" s="178">
        <f>VLOOKUP(B435,'Planning TB 2024'!$B$14:$Q$888,16,FALSE)</f>
        <v>0</v>
      </c>
      <c r="E435" s="178" t="e">
        <f>VLOOKUP(B435,'Planning TB 2025'!$B$14:$Q$574,16,FALSE)</f>
        <v>#N/A</v>
      </c>
      <c r="F435" s="191" t="e">
        <f t="shared" si="13"/>
        <v>#N/A</v>
      </c>
      <c r="G435" s="206" t="e">
        <f t="shared" si="14"/>
        <v>#N/A</v>
      </c>
    </row>
    <row r="436" spans="1:7" hidden="1" x14ac:dyDescent="0.3">
      <c r="A436" s="177" t="s">
        <v>162</v>
      </c>
      <c r="B436" s="177" t="s">
        <v>2450</v>
      </c>
      <c r="C436" s="78" t="s">
        <v>2451</v>
      </c>
      <c r="D436" s="178">
        <f>VLOOKUP(B436,'Planning TB 2024'!$B$14:$Q$888,16,FALSE)</f>
        <v>0</v>
      </c>
      <c r="E436" s="178" t="e">
        <f>VLOOKUP(B436,'Planning TB 2025'!$B$14:$Q$574,16,FALSE)</f>
        <v>#N/A</v>
      </c>
      <c r="F436" s="191" t="e">
        <f t="shared" si="13"/>
        <v>#N/A</v>
      </c>
      <c r="G436" s="206" t="e">
        <f t="shared" si="14"/>
        <v>#N/A</v>
      </c>
    </row>
    <row r="437" spans="1:7" hidden="1" x14ac:dyDescent="0.3">
      <c r="A437" s="177" t="s">
        <v>162</v>
      </c>
      <c r="B437" s="177" t="s">
        <v>2452</v>
      </c>
      <c r="C437" s="78" t="s">
        <v>2453</v>
      </c>
      <c r="D437" s="178">
        <f>VLOOKUP(B437,'Planning TB 2024'!$B$14:$Q$888,16,FALSE)</f>
        <v>0</v>
      </c>
      <c r="E437" s="178" t="e">
        <f>VLOOKUP(B437,'Planning TB 2025'!$B$14:$Q$574,16,FALSE)</f>
        <v>#N/A</v>
      </c>
      <c r="F437" s="191" t="e">
        <f t="shared" si="13"/>
        <v>#N/A</v>
      </c>
      <c r="G437" s="206" t="e">
        <f t="shared" si="14"/>
        <v>#N/A</v>
      </c>
    </row>
    <row r="438" spans="1:7" hidden="1" x14ac:dyDescent="0.3">
      <c r="A438" s="177" t="s">
        <v>162</v>
      </c>
      <c r="B438" s="177" t="s">
        <v>2454</v>
      </c>
      <c r="C438" s="78" t="s">
        <v>2455</v>
      </c>
      <c r="D438" s="178">
        <f>VLOOKUP(B438,'Planning TB 2024'!$B$14:$Q$888,16,FALSE)</f>
        <v>0</v>
      </c>
      <c r="E438" s="178" t="e">
        <f>VLOOKUP(B438,'Planning TB 2025'!$B$14:$Q$574,16,FALSE)</f>
        <v>#N/A</v>
      </c>
      <c r="F438" s="191" t="e">
        <f t="shared" si="13"/>
        <v>#N/A</v>
      </c>
      <c r="G438" s="206" t="e">
        <f t="shared" si="14"/>
        <v>#N/A</v>
      </c>
    </row>
    <row r="439" spans="1:7" hidden="1" x14ac:dyDescent="0.3">
      <c r="A439" s="177" t="s">
        <v>162</v>
      </c>
      <c r="B439" s="177" t="s">
        <v>2456</v>
      </c>
      <c r="C439" s="78" t="s">
        <v>2457</v>
      </c>
      <c r="D439" s="178">
        <f>VLOOKUP(B439,'Planning TB 2024'!$B$14:$Q$888,16,FALSE)</f>
        <v>0</v>
      </c>
      <c r="E439" s="178" t="e">
        <f>VLOOKUP(B439,'Planning TB 2025'!$B$14:$Q$574,16,FALSE)</f>
        <v>#N/A</v>
      </c>
      <c r="F439" s="191" t="e">
        <f t="shared" si="13"/>
        <v>#N/A</v>
      </c>
      <c r="G439" s="206" t="e">
        <f t="shared" si="14"/>
        <v>#N/A</v>
      </c>
    </row>
    <row r="440" spans="1:7" hidden="1" x14ac:dyDescent="0.3">
      <c r="A440" s="177" t="s">
        <v>162</v>
      </c>
      <c r="B440" s="177" t="s">
        <v>2458</v>
      </c>
      <c r="C440" s="78" t="s">
        <v>2459</v>
      </c>
      <c r="D440" s="178">
        <f>VLOOKUP(B440,'Planning TB 2024'!$B$14:$Q$888,16,FALSE)</f>
        <v>0</v>
      </c>
      <c r="E440" s="178" t="e">
        <f>VLOOKUP(B440,'Planning TB 2025'!$B$14:$Q$574,16,FALSE)</f>
        <v>#N/A</v>
      </c>
      <c r="F440" s="191" t="e">
        <f t="shared" si="13"/>
        <v>#N/A</v>
      </c>
      <c r="G440" s="206" t="e">
        <f t="shared" si="14"/>
        <v>#N/A</v>
      </c>
    </row>
    <row r="441" spans="1:7" hidden="1" x14ac:dyDescent="0.3">
      <c r="A441" s="177" t="s">
        <v>162</v>
      </c>
      <c r="B441" s="177" t="s">
        <v>2460</v>
      </c>
      <c r="C441" s="78" t="s">
        <v>2461</v>
      </c>
      <c r="D441" s="178">
        <f>VLOOKUP(B441,'Planning TB 2024'!$B$14:$Q$888,16,FALSE)</f>
        <v>0</v>
      </c>
      <c r="E441" s="178" t="e">
        <f>VLOOKUP(B441,'Planning TB 2025'!$B$14:$Q$574,16,FALSE)</f>
        <v>#N/A</v>
      </c>
      <c r="F441" s="191" t="e">
        <f t="shared" si="13"/>
        <v>#N/A</v>
      </c>
      <c r="G441" s="206" t="e">
        <f t="shared" si="14"/>
        <v>#N/A</v>
      </c>
    </row>
    <row r="442" spans="1:7" hidden="1" x14ac:dyDescent="0.3">
      <c r="A442" s="177" t="s">
        <v>162</v>
      </c>
      <c r="B442" s="177" t="s">
        <v>2462</v>
      </c>
      <c r="C442" s="78" t="s">
        <v>2463</v>
      </c>
      <c r="D442" s="178">
        <f>VLOOKUP(B442,'Planning TB 2024'!$B$14:$Q$888,16,FALSE)</f>
        <v>0</v>
      </c>
      <c r="E442" s="178" t="e">
        <f>VLOOKUP(B442,'Planning TB 2025'!$B$14:$Q$574,16,FALSE)</f>
        <v>#N/A</v>
      </c>
      <c r="F442" s="191" t="e">
        <f t="shared" si="13"/>
        <v>#N/A</v>
      </c>
      <c r="G442" s="206" t="e">
        <f t="shared" si="14"/>
        <v>#N/A</v>
      </c>
    </row>
    <row r="443" spans="1:7" hidden="1" x14ac:dyDescent="0.3">
      <c r="A443" s="177" t="s">
        <v>162</v>
      </c>
      <c r="B443" s="177" t="s">
        <v>2464</v>
      </c>
      <c r="C443" s="78" t="s">
        <v>2465</v>
      </c>
      <c r="D443" s="178">
        <f>VLOOKUP(B443,'Planning TB 2024'!$B$14:$Q$888,16,FALSE)</f>
        <v>0</v>
      </c>
      <c r="E443" s="178" t="e">
        <f>VLOOKUP(B443,'Planning TB 2025'!$B$14:$Q$574,16,FALSE)</f>
        <v>#N/A</v>
      </c>
      <c r="F443" s="191" t="e">
        <f t="shared" si="13"/>
        <v>#N/A</v>
      </c>
      <c r="G443" s="206" t="e">
        <f t="shared" si="14"/>
        <v>#N/A</v>
      </c>
    </row>
    <row r="444" spans="1:7" hidden="1" x14ac:dyDescent="0.3">
      <c r="A444" s="177" t="s">
        <v>162</v>
      </c>
      <c r="B444" s="177" t="s">
        <v>2466</v>
      </c>
      <c r="C444" s="78" t="s">
        <v>2467</v>
      </c>
      <c r="D444" s="178">
        <f>VLOOKUP(B444,'Planning TB 2024'!$B$14:$Q$888,16,FALSE)</f>
        <v>0</v>
      </c>
      <c r="E444" s="178" t="e">
        <f>VLOOKUP(B444,'Planning TB 2025'!$B$14:$Q$574,16,FALSE)</f>
        <v>#N/A</v>
      </c>
      <c r="F444" s="191" t="e">
        <f t="shared" si="13"/>
        <v>#N/A</v>
      </c>
      <c r="G444" s="206" t="e">
        <f t="shared" si="14"/>
        <v>#N/A</v>
      </c>
    </row>
    <row r="445" spans="1:7" hidden="1" x14ac:dyDescent="0.3">
      <c r="A445" s="177" t="s">
        <v>162</v>
      </c>
      <c r="B445" s="177" t="s">
        <v>2468</v>
      </c>
      <c r="C445" s="78" t="s">
        <v>2469</v>
      </c>
      <c r="D445" s="178">
        <f>VLOOKUP(B445,'Planning TB 2024'!$B$14:$Q$888,16,FALSE)</f>
        <v>0</v>
      </c>
      <c r="E445" s="178" t="e">
        <f>VLOOKUP(B445,'Planning TB 2025'!$B$14:$Q$574,16,FALSE)</f>
        <v>#N/A</v>
      </c>
      <c r="F445" s="191" t="e">
        <f t="shared" si="13"/>
        <v>#N/A</v>
      </c>
      <c r="G445" s="206" t="e">
        <f t="shared" si="14"/>
        <v>#N/A</v>
      </c>
    </row>
    <row r="446" spans="1:7" hidden="1" x14ac:dyDescent="0.3">
      <c r="A446" s="177" t="s">
        <v>162</v>
      </c>
      <c r="B446" s="177" t="s">
        <v>2470</v>
      </c>
      <c r="C446" s="78" t="s">
        <v>2471</v>
      </c>
      <c r="D446" s="178">
        <f>VLOOKUP(B446,'Planning TB 2024'!$B$14:$Q$888,16,FALSE)</f>
        <v>0</v>
      </c>
      <c r="E446" s="178" t="e">
        <f>VLOOKUP(B446,'Planning TB 2025'!$B$14:$Q$574,16,FALSE)</f>
        <v>#N/A</v>
      </c>
      <c r="F446" s="191" t="e">
        <f t="shared" si="13"/>
        <v>#N/A</v>
      </c>
      <c r="G446" s="206" t="e">
        <f t="shared" si="14"/>
        <v>#N/A</v>
      </c>
    </row>
    <row r="447" spans="1:7" hidden="1" x14ac:dyDescent="0.3">
      <c r="A447" s="177" t="s">
        <v>162</v>
      </c>
      <c r="B447" s="177" t="s">
        <v>2472</v>
      </c>
      <c r="C447" s="78" t="s">
        <v>2473</v>
      </c>
      <c r="D447" s="178">
        <f>VLOOKUP(B447,'Planning TB 2024'!$B$14:$Q$888,16,FALSE)</f>
        <v>0</v>
      </c>
      <c r="E447" s="178" t="e">
        <f>VLOOKUP(B447,'Planning TB 2025'!$B$14:$Q$574,16,FALSE)</f>
        <v>#N/A</v>
      </c>
      <c r="F447" s="191" t="e">
        <f t="shared" si="13"/>
        <v>#N/A</v>
      </c>
      <c r="G447" s="206" t="e">
        <f t="shared" si="14"/>
        <v>#N/A</v>
      </c>
    </row>
    <row r="448" spans="1:7" hidden="1" x14ac:dyDescent="0.3">
      <c r="A448" s="177" t="s">
        <v>162</v>
      </c>
      <c r="B448" s="177" t="s">
        <v>2474</v>
      </c>
      <c r="C448" s="78" t="s">
        <v>2475</v>
      </c>
      <c r="D448" s="178">
        <f>VLOOKUP(B448,'Planning TB 2024'!$B$14:$Q$888,16,FALSE)</f>
        <v>0</v>
      </c>
      <c r="E448" s="178" t="e">
        <f>VLOOKUP(B448,'Planning TB 2025'!$B$14:$Q$574,16,FALSE)</f>
        <v>#N/A</v>
      </c>
      <c r="F448" s="191" t="e">
        <f t="shared" si="13"/>
        <v>#N/A</v>
      </c>
      <c r="G448" s="206" t="e">
        <f t="shared" si="14"/>
        <v>#N/A</v>
      </c>
    </row>
    <row r="449" spans="1:7" hidden="1" x14ac:dyDescent="0.3">
      <c r="A449" s="177" t="s">
        <v>162</v>
      </c>
      <c r="B449" s="177" t="s">
        <v>2476</v>
      </c>
      <c r="C449" s="78" t="s">
        <v>2477</v>
      </c>
      <c r="D449" s="178">
        <f>VLOOKUP(B449,'Planning TB 2024'!$B$14:$Q$888,16,FALSE)</f>
        <v>-959471.78096789995</v>
      </c>
      <c r="E449" s="178">
        <f>VLOOKUP(B449,'Planning TB 2025'!$B$14:$Q$574,16,FALSE)</f>
        <v>-842079.87158669997</v>
      </c>
      <c r="F449" s="191">
        <f t="shared" si="13"/>
        <v>117391.90938119998</v>
      </c>
      <c r="G449" s="206">
        <f t="shared" si="14"/>
        <v>-0.12235055966187654</v>
      </c>
    </row>
    <row r="450" spans="1:7" hidden="1" x14ac:dyDescent="0.3">
      <c r="A450" s="177" t="s">
        <v>162</v>
      </c>
      <c r="B450" s="177" t="s">
        <v>2478</v>
      </c>
      <c r="C450" s="78" t="s">
        <v>2479</v>
      </c>
      <c r="D450" s="178">
        <f>VLOOKUP(B450,'Planning TB 2024'!$B$14:$Q$888,16,FALSE)</f>
        <v>0</v>
      </c>
      <c r="E450" s="178" t="e">
        <f>VLOOKUP(B450,'Planning TB 2025'!$B$14:$Q$574,16,FALSE)</f>
        <v>#N/A</v>
      </c>
      <c r="F450" s="191" t="e">
        <f t="shared" si="13"/>
        <v>#N/A</v>
      </c>
      <c r="G450" s="206" t="e">
        <f t="shared" si="14"/>
        <v>#N/A</v>
      </c>
    </row>
    <row r="451" spans="1:7" hidden="1" x14ac:dyDescent="0.3">
      <c r="A451" s="177" t="s">
        <v>162</v>
      </c>
      <c r="B451" s="177" t="s">
        <v>2480</v>
      </c>
      <c r="C451" s="78" t="s">
        <v>2481</v>
      </c>
      <c r="D451" s="178">
        <f>VLOOKUP(B451,'Planning TB 2024'!$B$14:$Q$888,16,FALSE)</f>
        <v>0</v>
      </c>
      <c r="E451" s="178" t="e">
        <f>VLOOKUP(B451,'Planning TB 2025'!$B$14:$Q$574,16,FALSE)</f>
        <v>#N/A</v>
      </c>
      <c r="F451" s="191" t="e">
        <f t="shared" si="13"/>
        <v>#N/A</v>
      </c>
      <c r="G451" s="206" t="e">
        <f t="shared" si="14"/>
        <v>#N/A</v>
      </c>
    </row>
    <row r="452" spans="1:7" hidden="1" x14ac:dyDescent="0.3">
      <c r="A452" s="177" t="s">
        <v>162</v>
      </c>
      <c r="B452" s="177" t="s">
        <v>2482</v>
      </c>
      <c r="C452" s="78" t="s">
        <v>2483</v>
      </c>
      <c r="D452" s="178">
        <f>VLOOKUP(B452,'Planning TB 2024'!$B$14:$Q$888,16,FALSE)</f>
        <v>0</v>
      </c>
      <c r="E452" s="178" t="e">
        <f>VLOOKUP(B452,'Planning TB 2025'!$B$14:$Q$574,16,FALSE)</f>
        <v>#N/A</v>
      </c>
      <c r="F452" s="191" t="e">
        <f t="shared" ref="F452:F515" si="15">E452-D452</f>
        <v>#N/A</v>
      </c>
      <c r="G452" s="206" t="e">
        <f t="shared" ref="G452:G515" si="16">F452/D452</f>
        <v>#N/A</v>
      </c>
    </row>
    <row r="453" spans="1:7" hidden="1" x14ac:dyDescent="0.3">
      <c r="A453" s="177" t="s">
        <v>162</v>
      </c>
      <c r="B453" s="177" t="s">
        <v>2484</v>
      </c>
      <c r="C453" s="78" t="s">
        <v>2485</v>
      </c>
      <c r="D453" s="178">
        <f>VLOOKUP(B453,'Planning TB 2024'!$B$14:$Q$888,16,FALSE)</f>
        <v>5800</v>
      </c>
      <c r="E453" s="178">
        <f>VLOOKUP(B453,'Planning TB 2025'!$B$14:$Q$574,16,FALSE)</f>
        <v>5800</v>
      </c>
      <c r="F453" s="191">
        <f t="shared" si="15"/>
        <v>0</v>
      </c>
      <c r="G453" s="206">
        <f t="shared" si="16"/>
        <v>0</v>
      </c>
    </row>
    <row r="454" spans="1:7" hidden="1" x14ac:dyDescent="0.3">
      <c r="A454" s="177" t="s">
        <v>162</v>
      </c>
      <c r="B454" s="177" t="s">
        <v>2486</v>
      </c>
      <c r="C454" s="78" t="s">
        <v>2487</v>
      </c>
      <c r="D454" s="178">
        <f>VLOOKUP(B454,'Planning TB 2024'!$B$14:$Q$888,16,FALSE)</f>
        <v>6186</v>
      </c>
      <c r="E454" s="178">
        <f>VLOOKUP(B454,'Planning TB 2025'!$B$14:$Q$574,16,FALSE)</f>
        <v>6186</v>
      </c>
      <c r="F454" s="191">
        <f t="shared" si="15"/>
        <v>0</v>
      </c>
      <c r="G454" s="206">
        <f t="shared" si="16"/>
        <v>0</v>
      </c>
    </row>
    <row r="455" spans="1:7" hidden="1" x14ac:dyDescent="0.3">
      <c r="A455" s="177" t="s">
        <v>162</v>
      </c>
      <c r="B455" s="177" t="s">
        <v>2488</v>
      </c>
      <c r="C455" s="78" t="s">
        <v>2489</v>
      </c>
      <c r="D455" s="178">
        <f>VLOOKUP(B455,'Planning TB 2024'!$B$14:$Q$888,16,FALSE)</f>
        <v>0</v>
      </c>
      <c r="E455" s="178" t="e">
        <f>VLOOKUP(B455,'Planning TB 2025'!$B$14:$Q$574,16,FALSE)</f>
        <v>#N/A</v>
      </c>
      <c r="F455" s="191" t="e">
        <f t="shared" si="15"/>
        <v>#N/A</v>
      </c>
      <c r="G455" s="206" t="e">
        <f t="shared" si="16"/>
        <v>#N/A</v>
      </c>
    </row>
    <row r="456" spans="1:7" hidden="1" x14ac:dyDescent="0.3">
      <c r="A456" s="177" t="s">
        <v>162</v>
      </c>
      <c r="B456" s="177" t="s">
        <v>2490</v>
      </c>
      <c r="C456" s="78" t="s">
        <v>2491</v>
      </c>
      <c r="D456" s="178">
        <f>VLOOKUP(B456,'Planning TB 2024'!$B$14:$Q$888,16,FALSE)</f>
        <v>16500</v>
      </c>
      <c r="E456" s="178">
        <f>VLOOKUP(B456,'Planning TB 2025'!$B$14:$Q$574,16,FALSE)</f>
        <v>16500</v>
      </c>
      <c r="F456" s="191">
        <f t="shared" si="15"/>
        <v>0</v>
      </c>
      <c r="G456" s="206">
        <f t="shared" si="16"/>
        <v>0</v>
      </c>
    </row>
    <row r="457" spans="1:7" hidden="1" x14ac:dyDescent="0.3">
      <c r="A457" s="177" t="s">
        <v>162</v>
      </c>
      <c r="B457" s="177" t="s">
        <v>2492</v>
      </c>
      <c r="C457" s="78" t="s">
        <v>2493</v>
      </c>
      <c r="D457" s="178">
        <f>VLOOKUP(B457,'Planning TB 2024'!$B$14:$Q$888,16,FALSE)</f>
        <v>200232.328125</v>
      </c>
      <c r="E457" s="178">
        <f>VLOOKUP(B457,'Planning TB 2025'!$B$14:$Q$574,16,FALSE)</f>
        <v>200232.328125</v>
      </c>
      <c r="F457" s="191">
        <f t="shared" si="15"/>
        <v>0</v>
      </c>
      <c r="G457" s="206">
        <f t="shared" si="16"/>
        <v>0</v>
      </c>
    </row>
    <row r="458" spans="1:7" hidden="1" x14ac:dyDescent="0.3">
      <c r="A458" s="177" t="s">
        <v>162</v>
      </c>
      <c r="B458" s="177" t="s">
        <v>2494</v>
      </c>
      <c r="C458" s="78" t="s">
        <v>2495</v>
      </c>
      <c r="D458" s="178">
        <f>VLOOKUP(B458,'Planning TB 2024'!$B$14:$Q$888,16,FALSE)</f>
        <v>9304</v>
      </c>
      <c r="E458" s="178">
        <f>VLOOKUP(B458,'Planning TB 2025'!$B$14:$Q$574,16,FALSE)</f>
        <v>9304</v>
      </c>
      <c r="F458" s="191">
        <f t="shared" si="15"/>
        <v>0</v>
      </c>
      <c r="G458" s="206">
        <f t="shared" si="16"/>
        <v>0</v>
      </c>
    </row>
    <row r="459" spans="1:7" hidden="1" x14ac:dyDescent="0.3">
      <c r="A459" s="177" t="s">
        <v>162</v>
      </c>
      <c r="B459" s="177" t="s">
        <v>2496</v>
      </c>
      <c r="C459" s="78" t="s">
        <v>2497</v>
      </c>
      <c r="D459" s="178">
        <f>VLOOKUP(B459,'Planning TB 2024'!$B$14:$Q$888,16,FALSE)</f>
        <v>251356.06437139999</v>
      </c>
      <c r="E459" s="178">
        <f>VLOOKUP(B459,'Planning TB 2025'!$B$14:$Q$574,16,FALSE)</f>
        <v>251356.06437139999</v>
      </c>
      <c r="F459" s="191">
        <f t="shared" si="15"/>
        <v>0</v>
      </c>
      <c r="G459" s="206">
        <f t="shared" si="16"/>
        <v>0</v>
      </c>
    </row>
    <row r="460" spans="1:7" hidden="1" x14ac:dyDescent="0.3">
      <c r="A460" s="177" t="s">
        <v>162</v>
      </c>
      <c r="B460" s="177" t="s">
        <v>2498</v>
      </c>
      <c r="C460" s="78" t="s">
        <v>2499</v>
      </c>
      <c r="D460" s="178">
        <f>VLOOKUP(B460,'Planning TB 2024'!$B$14:$Q$888,16,FALSE)</f>
        <v>0</v>
      </c>
      <c r="E460" s="178" t="e">
        <f>VLOOKUP(B460,'Planning TB 2025'!$B$14:$Q$574,16,FALSE)</f>
        <v>#N/A</v>
      </c>
      <c r="F460" s="191" t="e">
        <f t="shared" si="15"/>
        <v>#N/A</v>
      </c>
      <c r="G460" s="206" t="e">
        <f t="shared" si="16"/>
        <v>#N/A</v>
      </c>
    </row>
    <row r="461" spans="1:7" hidden="1" x14ac:dyDescent="0.3">
      <c r="A461" s="177" t="s">
        <v>162</v>
      </c>
      <c r="B461" s="177" t="s">
        <v>2500</v>
      </c>
      <c r="C461" s="78" t="s">
        <v>2501</v>
      </c>
      <c r="D461" s="178">
        <f>VLOOKUP(B461,'Planning TB 2024'!$B$14:$Q$888,16,FALSE)</f>
        <v>0</v>
      </c>
      <c r="E461" s="178" t="e">
        <f>VLOOKUP(B461,'Planning TB 2025'!$B$14:$Q$574,16,FALSE)</f>
        <v>#N/A</v>
      </c>
      <c r="F461" s="191" t="e">
        <f t="shared" si="15"/>
        <v>#N/A</v>
      </c>
      <c r="G461" s="206" t="e">
        <f t="shared" si="16"/>
        <v>#N/A</v>
      </c>
    </row>
    <row r="462" spans="1:7" hidden="1" x14ac:dyDescent="0.3">
      <c r="A462" s="177" t="s">
        <v>162</v>
      </c>
      <c r="B462" s="177" t="s">
        <v>2502</v>
      </c>
      <c r="C462" s="78" t="s">
        <v>2503</v>
      </c>
      <c r="D462" s="178">
        <f>VLOOKUP(B462,'Planning TB 2024'!$B$14:$Q$888,16,FALSE)</f>
        <v>0</v>
      </c>
      <c r="E462" s="178" t="e">
        <f>VLOOKUP(B462,'Planning TB 2025'!$B$14:$Q$574,16,FALSE)</f>
        <v>#N/A</v>
      </c>
      <c r="F462" s="191" t="e">
        <f t="shared" si="15"/>
        <v>#N/A</v>
      </c>
      <c r="G462" s="206" t="e">
        <f t="shared" si="16"/>
        <v>#N/A</v>
      </c>
    </row>
    <row r="463" spans="1:7" hidden="1" x14ac:dyDescent="0.3">
      <c r="A463" s="177" t="s">
        <v>162</v>
      </c>
      <c r="B463" s="177" t="s">
        <v>2504</v>
      </c>
      <c r="C463" s="78" t="s">
        <v>2505</v>
      </c>
      <c r="D463" s="178">
        <f>VLOOKUP(B463,'Planning TB 2024'!$B$14:$Q$888,16,FALSE)</f>
        <v>0</v>
      </c>
      <c r="E463" s="178" t="e">
        <f>VLOOKUP(B463,'Planning TB 2025'!$B$14:$Q$574,16,FALSE)</f>
        <v>#N/A</v>
      </c>
      <c r="F463" s="191" t="e">
        <f t="shared" si="15"/>
        <v>#N/A</v>
      </c>
      <c r="G463" s="206" t="e">
        <f t="shared" si="16"/>
        <v>#N/A</v>
      </c>
    </row>
    <row r="464" spans="1:7" hidden="1" x14ac:dyDescent="0.3">
      <c r="A464" s="177" t="s">
        <v>162</v>
      </c>
      <c r="B464" s="177" t="s">
        <v>2506</v>
      </c>
      <c r="C464" s="78" t="s">
        <v>2507</v>
      </c>
      <c r="D464" s="178">
        <f>VLOOKUP(B464,'Planning TB 2024'!$B$14:$Q$888,16,FALSE)</f>
        <v>79191.960000000006</v>
      </c>
      <c r="E464" s="178">
        <f>VLOOKUP(B464,'Planning TB 2025'!$B$14:$Q$574,16,FALSE)</f>
        <v>79191.960000000006</v>
      </c>
      <c r="F464" s="191">
        <f t="shared" si="15"/>
        <v>0</v>
      </c>
      <c r="G464" s="206">
        <f t="shared" si="16"/>
        <v>0</v>
      </c>
    </row>
    <row r="465" spans="1:7" hidden="1" x14ac:dyDescent="0.3">
      <c r="A465" s="177" t="s">
        <v>162</v>
      </c>
      <c r="B465" s="177" t="s">
        <v>2508</v>
      </c>
      <c r="C465" s="78" t="s">
        <v>2509</v>
      </c>
      <c r="D465" s="178">
        <f>VLOOKUP(B465,'Planning TB 2024'!$B$14:$Q$888,16,FALSE)</f>
        <v>0</v>
      </c>
      <c r="E465" s="178" t="e">
        <f>VLOOKUP(B465,'Planning TB 2025'!$B$14:$Q$574,16,FALSE)</f>
        <v>#N/A</v>
      </c>
      <c r="F465" s="191" t="e">
        <f t="shared" si="15"/>
        <v>#N/A</v>
      </c>
      <c r="G465" s="206" t="e">
        <f t="shared" si="16"/>
        <v>#N/A</v>
      </c>
    </row>
    <row r="466" spans="1:7" hidden="1" x14ac:dyDescent="0.3">
      <c r="A466" s="177" t="s">
        <v>162</v>
      </c>
      <c r="B466" s="177" t="s">
        <v>2510</v>
      </c>
      <c r="C466" s="78" t="s">
        <v>2511</v>
      </c>
      <c r="D466" s="178">
        <f>VLOOKUP(B466,'Planning TB 2024'!$B$14:$Q$888,16,FALSE)</f>
        <v>0</v>
      </c>
      <c r="E466" s="178" t="e">
        <f>VLOOKUP(B466,'Planning TB 2025'!$B$14:$Q$574,16,FALSE)</f>
        <v>#N/A</v>
      </c>
      <c r="F466" s="191" t="e">
        <f t="shared" si="15"/>
        <v>#N/A</v>
      </c>
      <c r="G466" s="206" t="e">
        <f t="shared" si="16"/>
        <v>#N/A</v>
      </c>
    </row>
    <row r="467" spans="1:7" hidden="1" x14ac:dyDescent="0.3">
      <c r="A467" s="177" t="s">
        <v>162</v>
      </c>
      <c r="B467" s="177" t="s">
        <v>2512</v>
      </c>
      <c r="C467" s="78" t="s">
        <v>2513</v>
      </c>
      <c r="D467" s="178">
        <f>VLOOKUP(B467,'Planning TB 2024'!$B$14:$Q$888,16,FALSE)</f>
        <v>0</v>
      </c>
      <c r="E467" s="178" t="e">
        <f>VLOOKUP(B467,'Planning TB 2025'!$B$14:$Q$574,16,FALSE)</f>
        <v>#N/A</v>
      </c>
      <c r="F467" s="191" t="e">
        <f t="shared" si="15"/>
        <v>#N/A</v>
      </c>
      <c r="G467" s="206" t="e">
        <f t="shared" si="16"/>
        <v>#N/A</v>
      </c>
    </row>
    <row r="468" spans="1:7" hidden="1" x14ac:dyDescent="0.3">
      <c r="A468" s="177" t="s">
        <v>162</v>
      </c>
      <c r="B468" s="177" t="s">
        <v>2514</v>
      </c>
      <c r="C468" s="78" t="s">
        <v>2515</v>
      </c>
      <c r="D468" s="178">
        <f>VLOOKUP(B468,'Planning TB 2024'!$B$14:$Q$888,16,FALSE)</f>
        <v>120000</v>
      </c>
      <c r="E468" s="178">
        <f>VLOOKUP(B468,'Planning TB 2025'!$B$14:$Q$574,16,FALSE)</f>
        <v>120000</v>
      </c>
      <c r="F468" s="191">
        <f t="shared" si="15"/>
        <v>0</v>
      </c>
      <c r="G468" s="206">
        <f t="shared" si="16"/>
        <v>0</v>
      </c>
    </row>
    <row r="469" spans="1:7" hidden="1" x14ac:dyDescent="0.3">
      <c r="A469" s="177" t="s">
        <v>162</v>
      </c>
      <c r="B469" s="177" t="s">
        <v>2516</v>
      </c>
      <c r="C469" s="78" t="s">
        <v>2517</v>
      </c>
      <c r="D469" s="178">
        <f>VLOOKUP(B469,'Planning TB 2024'!$B$14:$Q$888,16,FALSE)</f>
        <v>0</v>
      </c>
      <c r="E469" s="178" t="e">
        <f>VLOOKUP(B469,'Planning TB 2025'!$B$14:$Q$574,16,FALSE)</f>
        <v>#N/A</v>
      </c>
      <c r="F469" s="191" t="e">
        <f t="shared" si="15"/>
        <v>#N/A</v>
      </c>
      <c r="G469" s="206" t="e">
        <f t="shared" si="16"/>
        <v>#N/A</v>
      </c>
    </row>
    <row r="470" spans="1:7" hidden="1" x14ac:dyDescent="0.3">
      <c r="A470" s="177" t="s">
        <v>162</v>
      </c>
      <c r="B470" s="177" t="s">
        <v>2518</v>
      </c>
      <c r="C470" s="78" t="s">
        <v>2519</v>
      </c>
      <c r="D470" s="178">
        <f>VLOOKUP(B470,'Planning TB 2024'!$B$14:$Q$888,16,FALSE)</f>
        <v>5144833.3333323989</v>
      </c>
      <c r="E470" s="178">
        <f>VLOOKUP(B470,'Planning TB 2025'!$B$14:$Q$574,16,FALSE)</f>
        <v>4771307.9999995995</v>
      </c>
      <c r="F470" s="191">
        <f t="shared" si="15"/>
        <v>-373525.33333279938</v>
      </c>
      <c r="G470" s="206">
        <f t="shared" si="16"/>
        <v>-7.2602027924364362E-2</v>
      </c>
    </row>
    <row r="471" spans="1:7" hidden="1" x14ac:dyDescent="0.3">
      <c r="A471" s="177" t="s">
        <v>162</v>
      </c>
      <c r="B471" s="177" t="s">
        <v>2520</v>
      </c>
      <c r="C471" s="78" t="s">
        <v>2521</v>
      </c>
      <c r="D471" s="178">
        <f>VLOOKUP(B471,'Planning TB 2024'!$B$14:$Q$888,16,FALSE)</f>
        <v>0</v>
      </c>
      <c r="E471" s="178" t="e">
        <f>VLOOKUP(B471,'Planning TB 2025'!$B$14:$Q$574,16,FALSE)</f>
        <v>#N/A</v>
      </c>
      <c r="F471" s="191" t="e">
        <f t="shared" si="15"/>
        <v>#N/A</v>
      </c>
      <c r="G471" s="206" t="e">
        <f t="shared" si="16"/>
        <v>#N/A</v>
      </c>
    </row>
    <row r="472" spans="1:7" hidden="1" x14ac:dyDescent="0.3">
      <c r="A472" s="177" t="s">
        <v>162</v>
      </c>
      <c r="B472" s="177" t="s">
        <v>2522</v>
      </c>
      <c r="C472" s="78" t="s">
        <v>2523</v>
      </c>
      <c r="D472" s="178">
        <f>VLOOKUP(B472,'Planning TB 2024'!$B$14:$Q$888,16,FALSE)</f>
        <v>0</v>
      </c>
      <c r="E472" s="178" t="e">
        <f>VLOOKUP(B472,'Planning TB 2025'!$B$14:$Q$574,16,FALSE)</f>
        <v>#N/A</v>
      </c>
      <c r="F472" s="191" t="e">
        <f t="shared" si="15"/>
        <v>#N/A</v>
      </c>
      <c r="G472" s="206" t="e">
        <f t="shared" si="16"/>
        <v>#N/A</v>
      </c>
    </row>
    <row r="473" spans="1:7" hidden="1" x14ac:dyDescent="0.3">
      <c r="A473" s="177" t="s">
        <v>162</v>
      </c>
      <c r="B473" s="177" t="s">
        <v>2524</v>
      </c>
      <c r="C473" s="78" t="s">
        <v>2525</v>
      </c>
      <c r="D473" s="178">
        <f>VLOOKUP(B473,'Planning TB 2024'!$B$14:$Q$888,16,FALSE)</f>
        <v>0</v>
      </c>
      <c r="E473" s="178" t="e">
        <f>VLOOKUP(B473,'Planning TB 2025'!$B$14:$Q$574,16,FALSE)</f>
        <v>#N/A</v>
      </c>
      <c r="F473" s="191" t="e">
        <f t="shared" si="15"/>
        <v>#N/A</v>
      </c>
      <c r="G473" s="206" t="e">
        <f t="shared" si="16"/>
        <v>#N/A</v>
      </c>
    </row>
    <row r="474" spans="1:7" hidden="1" x14ac:dyDescent="0.3">
      <c r="A474" s="177" t="s">
        <v>162</v>
      </c>
      <c r="B474" s="177" t="s">
        <v>2526</v>
      </c>
      <c r="C474" s="78" t="s">
        <v>2527</v>
      </c>
      <c r="D474" s="178">
        <f>VLOOKUP(B474,'Planning TB 2024'!$B$14:$Q$888,16,FALSE)</f>
        <v>0</v>
      </c>
      <c r="E474" s="178" t="e">
        <f>VLOOKUP(B474,'Planning TB 2025'!$B$14:$Q$574,16,FALSE)</f>
        <v>#N/A</v>
      </c>
      <c r="F474" s="191" t="e">
        <f t="shared" si="15"/>
        <v>#N/A</v>
      </c>
      <c r="G474" s="206" t="e">
        <f t="shared" si="16"/>
        <v>#N/A</v>
      </c>
    </row>
    <row r="475" spans="1:7" hidden="1" x14ac:dyDescent="0.3">
      <c r="A475" s="177" t="s">
        <v>162</v>
      </c>
      <c r="B475" s="177" t="s">
        <v>2528</v>
      </c>
      <c r="C475" s="78" t="s">
        <v>2529</v>
      </c>
      <c r="D475" s="178">
        <f>VLOOKUP(B475,'Planning TB 2024'!$B$14:$Q$888,16,FALSE)</f>
        <v>0</v>
      </c>
      <c r="E475" s="178" t="e">
        <f>VLOOKUP(B475,'Planning TB 2025'!$B$14:$Q$574,16,FALSE)</f>
        <v>#N/A</v>
      </c>
      <c r="F475" s="191" t="e">
        <f t="shared" si="15"/>
        <v>#N/A</v>
      </c>
      <c r="G475" s="206" t="e">
        <f t="shared" si="16"/>
        <v>#N/A</v>
      </c>
    </row>
    <row r="476" spans="1:7" hidden="1" x14ac:dyDescent="0.3">
      <c r="A476" s="177" t="s">
        <v>162</v>
      </c>
      <c r="B476" s="177" t="s">
        <v>2530</v>
      </c>
      <c r="C476" s="78" t="s">
        <v>2531</v>
      </c>
      <c r="D476" s="178">
        <f>VLOOKUP(B476,'Planning TB 2024'!$B$14:$Q$888,16,FALSE)</f>
        <v>253180</v>
      </c>
      <c r="E476" s="178">
        <f>VLOOKUP(B476,'Planning TB 2025'!$B$14:$Q$574,16,FALSE)</f>
        <v>253180</v>
      </c>
      <c r="F476" s="191">
        <f t="shared" si="15"/>
        <v>0</v>
      </c>
      <c r="G476" s="206">
        <f t="shared" si="16"/>
        <v>0</v>
      </c>
    </row>
    <row r="477" spans="1:7" hidden="1" x14ac:dyDescent="0.3">
      <c r="A477" s="177" t="s">
        <v>162</v>
      </c>
      <c r="B477" s="177" t="s">
        <v>2532</v>
      </c>
      <c r="C477" s="78" t="s">
        <v>2533</v>
      </c>
      <c r="D477" s="178">
        <f>VLOOKUP(B477,'Planning TB 2024'!$B$14:$Q$888,16,FALSE)</f>
        <v>0</v>
      </c>
      <c r="E477" s="178" t="e">
        <f>VLOOKUP(B477,'Planning TB 2025'!$B$14:$Q$574,16,FALSE)</f>
        <v>#N/A</v>
      </c>
      <c r="F477" s="191" t="e">
        <f t="shared" si="15"/>
        <v>#N/A</v>
      </c>
      <c r="G477" s="206" t="e">
        <f t="shared" si="16"/>
        <v>#N/A</v>
      </c>
    </row>
    <row r="478" spans="1:7" hidden="1" x14ac:dyDescent="0.3">
      <c r="A478" s="177" t="s">
        <v>162</v>
      </c>
      <c r="B478" s="177" t="s">
        <v>2534</v>
      </c>
      <c r="C478" s="78" t="s">
        <v>2535</v>
      </c>
      <c r="D478" s="178">
        <f>VLOOKUP(B478,'Planning TB 2024'!$B$14:$Q$888,16,FALSE)</f>
        <v>6962312.8888228005</v>
      </c>
      <c r="E478" s="178">
        <f>VLOOKUP(B478,'Planning TB 2025'!$B$14:$Q$574,16,FALSE)</f>
        <v>6962312.8888228005</v>
      </c>
      <c r="F478" s="191">
        <f t="shared" si="15"/>
        <v>0</v>
      </c>
      <c r="G478" s="206">
        <f t="shared" si="16"/>
        <v>0</v>
      </c>
    </row>
    <row r="479" spans="1:7" hidden="1" x14ac:dyDescent="0.3">
      <c r="A479" s="177" t="s">
        <v>162</v>
      </c>
      <c r="B479" s="177" t="s">
        <v>2536</v>
      </c>
      <c r="C479" s="78" t="s">
        <v>2537</v>
      </c>
      <c r="D479" s="178">
        <f>VLOOKUP(B479,'Planning TB 2024'!$B$14:$Q$888,16,FALSE)</f>
        <v>0</v>
      </c>
      <c r="E479" s="178">
        <f>VLOOKUP(B479,'Planning TB 2025'!$B$14:$Q$574,16,FALSE)</f>
        <v>-125617.06060560001</v>
      </c>
      <c r="F479" s="191">
        <f t="shared" si="15"/>
        <v>-125617.06060560001</v>
      </c>
      <c r="G479" s="206" t="e">
        <f t="shared" si="16"/>
        <v>#DIV/0!</v>
      </c>
    </row>
    <row r="480" spans="1:7" hidden="1" x14ac:dyDescent="0.3">
      <c r="A480" s="177" t="s">
        <v>162</v>
      </c>
      <c r="B480" s="177" t="s">
        <v>2538</v>
      </c>
      <c r="C480" s="78" t="s">
        <v>2539</v>
      </c>
      <c r="D480" s="178">
        <f>VLOOKUP(B480,'Planning TB 2024'!$B$14:$Q$888,16,FALSE)</f>
        <v>0</v>
      </c>
      <c r="E480" s="178" t="e">
        <f>VLOOKUP(B480,'Planning TB 2025'!$B$14:$Q$574,16,FALSE)</f>
        <v>#N/A</v>
      </c>
      <c r="F480" s="191" t="e">
        <f t="shared" si="15"/>
        <v>#N/A</v>
      </c>
      <c r="G480" s="206" t="e">
        <f t="shared" si="16"/>
        <v>#N/A</v>
      </c>
    </row>
    <row r="481" spans="1:7" hidden="1" x14ac:dyDescent="0.3">
      <c r="A481" s="177" t="s">
        <v>162</v>
      </c>
      <c r="B481" s="177" t="s">
        <v>2540</v>
      </c>
      <c r="C481" s="78" t="s">
        <v>2541</v>
      </c>
      <c r="D481" s="178">
        <f>VLOOKUP(B481,'Planning TB 2024'!$B$14:$Q$888,16,FALSE)</f>
        <v>0</v>
      </c>
      <c r="E481" s="178" t="e">
        <f>VLOOKUP(B481,'Planning TB 2025'!$B$14:$Q$574,16,FALSE)</f>
        <v>#N/A</v>
      </c>
      <c r="F481" s="191" t="e">
        <f t="shared" si="15"/>
        <v>#N/A</v>
      </c>
      <c r="G481" s="206" t="e">
        <f t="shared" si="16"/>
        <v>#N/A</v>
      </c>
    </row>
    <row r="482" spans="1:7" hidden="1" x14ac:dyDescent="0.3">
      <c r="A482" s="177" t="s">
        <v>162</v>
      </c>
      <c r="B482" s="177" t="s">
        <v>2542</v>
      </c>
      <c r="C482" s="78" t="s">
        <v>2543</v>
      </c>
      <c r="D482" s="178">
        <f>VLOOKUP(B482,'Planning TB 2024'!$B$14:$Q$888,16,FALSE)</f>
        <v>0</v>
      </c>
      <c r="E482" s="178" t="e">
        <f>VLOOKUP(B482,'Planning TB 2025'!$B$14:$Q$574,16,FALSE)</f>
        <v>#N/A</v>
      </c>
      <c r="F482" s="191" t="e">
        <f t="shared" si="15"/>
        <v>#N/A</v>
      </c>
      <c r="G482" s="206" t="e">
        <f t="shared" si="16"/>
        <v>#N/A</v>
      </c>
    </row>
    <row r="483" spans="1:7" hidden="1" x14ac:dyDescent="0.3">
      <c r="A483" s="177" t="s">
        <v>162</v>
      </c>
      <c r="B483" s="177" t="s">
        <v>2544</v>
      </c>
      <c r="C483" s="78" t="s">
        <v>2545</v>
      </c>
      <c r="D483" s="178">
        <f>VLOOKUP(B483,'Planning TB 2024'!$B$14:$Q$888,16,FALSE)</f>
        <v>0</v>
      </c>
      <c r="E483" s="178" t="e">
        <f>VLOOKUP(B483,'Planning TB 2025'!$B$14:$Q$574,16,FALSE)</f>
        <v>#N/A</v>
      </c>
      <c r="F483" s="191" t="e">
        <f t="shared" si="15"/>
        <v>#N/A</v>
      </c>
      <c r="G483" s="206" t="e">
        <f t="shared" si="16"/>
        <v>#N/A</v>
      </c>
    </row>
    <row r="484" spans="1:7" hidden="1" x14ac:dyDescent="0.3">
      <c r="A484" s="177" t="s">
        <v>162</v>
      </c>
      <c r="B484" s="177" t="s">
        <v>2546</v>
      </c>
      <c r="C484" s="78" t="s">
        <v>2547</v>
      </c>
      <c r="D484" s="178">
        <f>VLOOKUP(B484,'Planning TB 2024'!$B$14:$Q$888,16,FALSE)</f>
        <v>10050</v>
      </c>
      <c r="E484" s="178">
        <f>VLOOKUP(B484,'Planning TB 2025'!$B$14:$Q$574,16,FALSE)</f>
        <v>10050</v>
      </c>
      <c r="F484" s="191">
        <f t="shared" si="15"/>
        <v>0</v>
      </c>
      <c r="G484" s="206">
        <f t="shared" si="16"/>
        <v>0</v>
      </c>
    </row>
    <row r="485" spans="1:7" hidden="1" x14ac:dyDescent="0.3">
      <c r="A485" s="177" t="s">
        <v>162</v>
      </c>
      <c r="B485" s="177" t="s">
        <v>2548</v>
      </c>
      <c r="C485" s="78" t="s">
        <v>49</v>
      </c>
      <c r="D485" s="178">
        <f>VLOOKUP(B485,'Planning TB 2024'!$B$14:$Q$888,16,FALSE)</f>
        <v>0</v>
      </c>
      <c r="E485" s="178" t="e">
        <f>VLOOKUP(B485,'Planning TB 2025'!$B$14:$Q$574,16,FALSE)</f>
        <v>#N/A</v>
      </c>
      <c r="F485" s="191" t="e">
        <f t="shared" si="15"/>
        <v>#N/A</v>
      </c>
      <c r="G485" s="206" t="e">
        <f t="shared" si="16"/>
        <v>#N/A</v>
      </c>
    </row>
    <row r="486" spans="1:7" hidden="1" x14ac:dyDescent="0.3">
      <c r="A486" s="177" t="s">
        <v>162</v>
      </c>
      <c r="B486" s="177" t="s">
        <v>2549</v>
      </c>
      <c r="C486" s="78" t="s">
        <v>2550</v>
      </c>
      <c r="D486" s="178">
        <f>VLOOKUP(B486,'Planning TB 2024'!$B$14:$Q$888,16,FALSE)</f>
        <v>1411</v>
      </c>
      <c r="E486" s="178">
        <f>VLOOKUP(B486,'Planning TB 2025'!$B$14:$Q$574,16,FALSE)</f>
        <v>1411</v>
      </c>
      <c r="F486" s="191">
        <f t="shared" si="15"/>
        <v>0</v>
      </c>
      <c r="G486" s="206">
        <f t="shared" si="16"/>
        <v>0</v>
      </c>
    </row>
    <row r="487" spans="1:7" hidden="1" x14ac:dyDescent="0.3">
      <c r="A487" s="177" t="s">
        <v>162</v>
      </c>
      <c r="B487" s="177" t="s">
        <v>2551</v>
      </c>
      <c r="C487" s="78" t="s">
        <v>2552</v>
      </c>
      <c r="D487" s="178">
        <f>VLOOKUP(B487,'Planning TB 2024'!$B$14:$Q$888,16,FALSE)</f>
        <v>8004</v>
      </c>
      <c r="E487" s="178">
        <f>VLOOKUP(B487,'Planning TB 2025'!$B$14:$Q$574,16,FALSE)</f>
        <v>8004</v>
      </c>
      <c r="F487" s="191">
        <f t="shared" si="15"/>
        <v>0</v>
      </c>
      <c r="G487" s="206">
        <f t="shared" si="16"/>
        <v>0</v>
      </c>
    </row>
    <row r="488" spans="1:7" hidden="1" x14ac:dyDescent="0.3">
      <c r="A488" s="177" t="s">
        <v>162</v>
      </c>
      <c r="B488" s="177" t="s">
        <v>2553</v>
      </c>
      <c r="C488" s="78" t="s">
        <v>2554</v>
      </c>
      <c r="D488" s="178">
        <f>VLOOKUP(B488,'Planning TB 2024'!$B$14:$Q$888,16,FALSE)</f>
        <v>0</v>
      </c>
      <c r="E488" s="178" t="e">
        <f>VLOOKUP(B488,'Planning TB 2025'!$B$14:$Q$574,16,FALSE)</f>
        <v>#N/A</v>
      </c>
      <c r="F488" s="191" t="e">
        <f t="shared" si="15"/>
        <v>#N/A</v>
      </c>
      <c r="G488" s="206" t="e">
        <f t="shared" si="16"/>
        <v>#N/A</v>
      </c>
    </row>
    <row r="489" spans="1:7" hidden="1" x14ac:dyDescent="0.3">
      <c r="A489" s="177" t="s">
        <v>162</v>
      </c>
      <c r="B489" s="177" t="s">
        <v>2555</v>
      </c>
      <c r="C489" s="78" t="s">
        <v>2556</v>
      </c>
      <c r="D489" s="178">
        <f>VLOOKUP(B489,'Planning TB 2024'!$B$14:$Q$888,16,FALSE)</f>
        <v>0</v>
      </c>
      <c r="E489" s="178" t="e">
        <f>VLOOKUP(B489,'Planning TB 2025'!$B$14:$Q$574,16,FALSE)</f>
        <v>#N/A</v>
      </c>
      <c r="F489" s="191" t="e">
        <f t="shared" si="15"/>
        <v>#N/A</v>
      </c>
      <c r="G489" s="206" t="e">
        <f t="shared" si="16"/>
        <v>#N/A</v>
      </c>
    </row>
    <row r="490" spans="1:7" hidden="1" x14ac:dyDescent="0.3">
      <c r="A490" s="177" t="s">
        <v>162</v>
      </c>
      <c r="B490" s="177" t="s">
        <v>2557</v>
      </c>
      <c r="C490" s="78" t="s">
        <v>2558</v>
      </c>
      <c r="D490" s="178">
        <f>VLOOKUP(B490,'Planning TB 2024'!$B$14:$Q$888,16,FALSE)</f>
        <v>0</v>
      </c>
      <c r="E490" s="178" t="e">
        <f>VLOOKUP(B490,'Planning TB 2025'!$B$14:$Q$574,16,FALSE)</f>
        <v>#N/A</v>
      </c>
      <c r="F490" s="191" t="e">
        <f t="shared" si="15"/>
        <v>#N/A</v>
      </c>
      <c r="G490" s="206" t="e">
        <f t="shared" si="16"/>
        <v>#N/A</v>
      </c>
    </row>
    <row r="491" spans="1:7" hidden="1" x14ac:dyDescent="0.3">
      <c r="A491" s="177" t="s">
        <v>162</v>
      </c>
      <c r="B491" s="177" t="s">
        <v>2559</v>
      </c>
      <c r="C491" s="78" t="s">
        <v>2560</v>
      </c>
      <c r="D491" s="178">
        <f>VLOOKUP(B491,'Planning TB 2024'!$B$14:$Q$888,16,FALSE)</f>
        <v>0</v>
      </c>
      <c r="E491" s="178" t="e">
        <f>VLOOKUP(B491,'Planning TB 2025'!$B$14:$Q$574,16,FALSE)</f>
        <v>#N/A</v>
      </c>
      <c r="F491" s="191" t="e">
        <f t="shared" si="15"/>
        <v>#N/A</v>
      </c>
      <c r="G491" s="206" t="e">
        <f t="shared" si="16"/>
        <v>#N/A</v>
      </c>
    </row>
    <row r="492" spans="1:7" hidden="1" x14ac:dyDescent="0.3">
      <c r="A492" s="177" t="s">
        <v>162</v>
      </c>
      <c r="B492" s="177" t="s">
        <v>2561</v>
      </c>
      <c r="C492" s="78" t="s">
        <v>2562</v>
      </c>
      <c r="D492" s="178">
        <f>VLOOKUP(B492,'Planning TB 2024'!$B$14:$Q$888,16,FALSE)</f>
        <v>0</v>
      </c>
      <c r="E492" s="178" t="e">
        <f>VLOOKUP(B492,'Planning TB 2025'!$B$14:$Q$574,16,FALSE)</f>
        <v>#N/A</v>
      </c>
      <c r="F492" s="191" t="e">
        <f t="shared" si="15"/>
        <v>#N/A</v>
      </c>
      <c r="G492" s="206" t="e">
        <f t="shared" si="16"/>
        <v>#N/A</v>
      </c>
    </row>
    <row r="493" spans="1:7" hidden="1" x14ac:dyDescent="0.3">
      <c r="A493" s="177" t="s">
        <v>162</v>
      </c>
      <c r="B493" s="177" t="s">
        <v>2563</v>
      </c>
      <c r="C493" s="78" t="s">
        <v>2564</v>
      </c>
      <c r="D493" s="178">
        <f>VLOOKUP(B493,'Planning TB 2024'!$B$14:$Q$888,16,FALSE)</f>
        <v>0</v>
      </c>
      <c r="E493" s="178" t="e">
        <f>VLOOKUP(B493,'Planning TB 2025'!$B$14:$Q$574,16,FALSE)</f>
        <v>#N/A</v>
      </c>
      <c r="F493" s="191" t="e">
        <f t="shared" si="15"/>
        <v>#N/A</v>
      </c>
      <c r="G493" s="206" t="e">
        <f t="shared" si="16"/>
        <v>#N/A</v>
      </c>
    </row>
    <row r="494" spans="1:7" hidden="1" x14ac:dyDescent="0.3">
      <c r="A494" s="177" t="s">
        <v>162</v>
      </c>
      <c r="B494" s="177" t="s">
        <v>2565</v>
      </c>
      <c r="C494" s="78" t="s">
        <v>2566</v>
      </c>
      <c r="D494" s="178">
        <f>VLOOKUP(B494,'Planning TB 2024'!$B$14:$Q$888,16,FALSE)</f>
        <v>33504</v>
      </c>
      <c r="E494" s="178">
        <f>VLOOKUP(B494,'Planning TB 2025'!$B$14:$Q$574,16,FALSE)</f>
        <v>-252496</v>
      </c>
      <c r="F494" s="191">
        <f t="shared" si="15"/>
        <v>-286000</v>
      </c>
      <c r="G494" s="206">
        <f t="shared" si="16"/>
        <v>-8.5362941738299902</v>
      </c>
    </row>
    <row r="495" spans="1:7" hidden="1" x14ac:dyDescent="0.3">
      <c r="A495" s="177" t="s">
        <v>162</v>
      </c>
      <c r="B495" s="177" t="s">
        <v>2567</v>
      </c>
      <c r="C495" s="78" t="s">
        <v>2568</v>
      </c>
      <c r="D495" s="178">
        <f>VLOOKUP(B495,'Planning TB 2024'!$B$14:$Q$888,16,FALSE)</f>
        <v>0</v>
      </c>
      <c r="E495" s="178" t="e">
        <f>VLOOKUP(B495,'Planning TB 2025'!$B$14:$Q$574,16,FALSE)</f>
        <v>#N/A</v>
      </c>
      <c r="F495" s="191" t="e">
        <f t="shared" si="15"/>
        <v>#N/A</v>
      </c>
      <c r="G495" s="206" t="e">
        <f t="shared" si="16"/>
        <v>#N/A</v>
      </c>
    </row>
    <row r="496" spans="1:7" hidden="1" x14ac:dyDescent="0.3">
      <c r="A496" s="177" t="s">
        <v>162</v>
      </c>
      <c r="B496" s="177" t="s">
        <v>2569</v>
      </c>
      <c r="C496" s="78" t="s">
        <v>2570</v>
      </c>
      <c r="D496" s="178">
        <f>VLOOKUP(B496,'Planning TB 2024'!$B$14:$Q$888,16,FALSE)</f>
        <v>2141</v>
      </c>
      <c r="E496" s="178">
        <f>VLOOKUP(B496,'Planning TB 2025'!$B$14:$Q$574,16,FALSE)</f>
        <v>2141</v>
      </c>
      <c r="F496" s="191">
        <f t="shared" si="15"/>
        <v>0</v>
      </c>
      <c r="G496" s="206">
        <f t="shared" si="16"/>
        <v>0</v>
      </c>
    </row>
    <row r="497" spans="1:7" hidden="1" x14ac:dyDescent="0.3">
      <c r="A497" s="177" t="s">
        <v>162</v>
      </c>
      <c r="B497" s="177" t="s">
        <v>2571</v>
      </c>
      <c r="C497" s="78" t="s">
        <v>2572</v>
      </c>
      <c r="D497" s="178">
        <f>VLOOKUP(B497,'Planning TB 2024'!$B$14:$Q$888,16,FALSE)</f>
        <v>0</v>
      </c>
      <c r="E497" s="178" t="e">
        <f>VLOOKUP(B497,'Planning TB 2025'!$B$14:$Q$574,16,FALSE)</f>
        <v>#N/A</v>
      </c>
      <c r="F497" s="191" t="e">
        <f t="shared" si="15"/>
        <v>#N/A</v>
      </c>
      <c r="G497" s="206" t="e">
        <f t="shared" si="16"/>
        <v>#N/A</v>
      </c>
    </row>
    <row r="498" spans="1:7" hidden="1" x14ac:dyDescent="0.3">
      <c r="A498" s="177" t="s">
        <v>162</v>
      </c>
      <c r="B498" s="177" t="s">
        <v>2573</v>
      </c>
      <c r="C498" s="78" t="s">
        <v>2574</v>
      </c>
      <c r="D498" s="178">
        <f>VLOOKUP(B498,'Planning TB 2024'!$B$14:$Q$888,16,FALSE)</f>
        <v>0</v>
      </c>
      <c r="E498" s="178" t="e">
        <f>VLOOKUP(B498,'Planning TB 2025'!$B$14:$Q$574,16,FALSE)</f>
        <v>#N/A</v>
      </c>
      <c r="F498" s="191" t="e">
        <f t="shared" si="15"/>
        <v>#N/A</v>
      </c>
      <c r="G498" s="206" t="e">
        <f t="shared" si="16"/>
        <v>#N/A</v>
      </c>
    </row>
    <row r="499" spans="1:7" hidden="1" x14ac:dyDescent="0.3">
      <c r="A499" s="177" t="s">
        <v>162</v>
      </c>
      <c r="B499" s="177" t="s">
        <v>2575</v>
      </c>
      <c r="C499" s="78" t="s">
        <v>2576</v>
      </c>
      <c r="D499" s="178">
        <f>VLOOKUP(B499,'Planning TB 2024'!$B$14:$Q$888,16,FALSE)</f>
        <v>71500</v>
      </c>
      <c r="E499" s="178">
        <f>VLOOKUP(B499,'Planning TB 2025'!$B$14:$Q$574,16,FALSE)</f>
        <v>71500</v>
      </c>
      <c r="F499" s="191">
        <f t="shared" si="15"/>
        <v>0</v>
      </c>
      <c r="G499" s="206">
        <f t="shared" si="16"/>
        <v>0</v>
      </c>
    </row>
    <row r="500" spans="1:7" hidden="1" x14ac:dyDescent="0.3">
      <c r="A500" s="177" t="s">
        <v>162</v>
      </c>
      <c r="B500" s="177" t="s">
        <v>2577</v>
      </c>
      <c r="C500" s="78" t="s">
        <v>2578</v>
      </c>
      <c r="D500" s="178">
        <f>VLOOKUP(B500,'Planning TB 2024'!$B$14:$Q$888,16,FALSE)</f>
        <v>0</v>
      </c>
      <c r="E500" s="178" t="e">
        <f>VLOOKUP(B500,'Planning TB 2025'!$B$14:$Q$574,16,FALSE)</f>
        <v>#N/A</v>
      </c>
      <c r="F500" s="191" t="e">
        <f t="shared" si="15"/>
        <v>#N/A</v>
      </c>
      <c r="G500" s="206" t="e">
        <f t="shared" si="16"/>
        <v>#N/A</v>
      </c>
    </row>
    <row r="501" spans="1:7" hidden="1" x14ac:dyDescent="0.3">
      <c r="A501" s="177" t="s">
        <v>162</v>
      </c>
      <c r="B501" s="177" t="s">
        <v>2579</v>
      </c>
      <c r="C501" s="78" t="s">
        <v>2580</v>
      </c>
      <c r="D501" s="178">
        <f>VLOOKUP(B501,'Planning TB 2024'!$B$14:$Q$888,16,FALSE)</f>
        <v>0</v>
      </c>
      <c r="E501" s="178" t="e">
        <f>VLOOKUP(B501,'Planning TB 2025'!$B$14:$Q$574,16,FALSE)</f>
        <v>#N/A</v>
      </c>
      <c r="F501" s="191" t="e">
        <f t="shared" si="15"/>
        <v>#N/A</v>
      </c>
      <c r="G501" s="206" t="e">
        <f t="shared" si="16"/>
        <v>#N/A</v>
      </c>
    </row>
    <row r="502" spans="1:7" hidden="1" x14ac:dyDescent="0.3">
      <c r="A502" s="177" t="s">
        <v>162</v>
      </c>
      <c r="B502" s="177" t="s">
        <v>2581</v>
      </c>
      <c r="C502" s="78" t="s">
        <v>2582</v>
      </c>
      <c r="D502" s="178">
        <f>VLOOKUP(B502,'Planning TB 2024'!$B$14:$Q$888,16,FALSE)</f>
        <v>0</v>
      </c>
      <c r="E502" s="178" t="e">
        <f>VLOOKUP(B502,'Planning TB 2025'!$B$14:$Q$574,16,FALSE)</f>
        <v>#N/A</v>
      </c>
      <c r="F502" s="191" t="e">
        <f t="shared" si="15"/>
        <v>#N/A</v>
      </c>
      <c r="G502" s="206" t="e">
        <f t="shared" si="16"/>
        <v>#N/A</v>
      </c>
    </row>
    <row r="503" spans="1:7" hidden="1" x14ac:dyDescent="0.3">
      <c r="A503" s="177" t="s">
        <v>162</v>
      </c>
      <c r="B503" s="177" t="s">
        <v>2583</v>
      </c>
      <c r="C503" s="78" t="s">
        <v>2584</v>
      </c>
      <c r="D503" s="178">
        <f>VLOOKUP(B503,'Planning TB 2024'!$B$14:$Q$888,16,FALSE)</f>
        <v>0</v>
      </c>
      <c r="E503" s="178" t="e">
        <f>VLOOKUP(B503,'Planning TB 2025'!$B$14:$Q$574,16,FALSE)</f>
        <v>#N/A</v>
      </c>
      <c r="F503" s="191" t="e">
        <f t="shared" si="15"/>
        <v>#N/A</v>
      </c>
      <c r="G503" s="206" t="e">
        <f t="shared" si="16"/>
        <v>#N/A</v>
      </c>
    </row>
    <row r="504" spans="1:7" hidden="1" x14ac:dyDescent="0.3">
      <c r="A504" s="177" t="s">
        <v>162</v>
      </c>
      <c r="B504" s="177" t="s">
        <v>2585</v>
      </c>
      <c r="C504" s="78" t="s">
        <v>2586</v>
      </c>
      <c r="D504" s="178">
        <f>VLOOKUP(B504,'Planning TB 2024'!$B$14:$Q$888,16,FALSE)</f>
        <v>0</v>
      </c>
      <c r="E504" s="178" t="e">
        <f>VLOOKUP(B504,'Planning TB 2025'!$B$14:$Q$574,16,FALSE)</f>
        <v>#N/A</v>
      </c>
      <c r="F504" s="191" t="e">
        <f t="shared" si="15"/>
        <v>#N/A</v>
      </c>
      <c r="G504" s="206" t="e">
        <f t="shared" si="16"/>
        <v>#N/A</v>
      </c>
    </row>
    <row r="505" spans="1:7" hidden="1" x14ac:dyDescent="0.3">
      <c r="A505" s="177" t="s">
        <v>162</v>
      </c>
      <c r="B505" s="177" t="s">
        <v>2587</v>
      </c>
      <c r="C505" s="78" t="s">
        <v>2588</v>
      </c>
      <c r="D505" s="178">
        <f>VLOOKUP(B505,'Planning TB 2024'!$B$14:$Q$888,16,FALSE)</f>
        <v>0</v>
      </c>
      <c r="E505" s="178" t="e">
        <f>VLOOKUP(B505,'Planning TB 2025'!$B$14:$Q$574,16,FALSE)</f>
        <v>#N/A</v>
      </c>
      <c r="F505" s="191" t="e">
        <f t="shared" si="15"/>
        <v>#N/A</v>
      </c>
      <c r="G505" s="206" t="e">
        <f t="shared" si="16"/>
        <v>#N/A</v>
      </c>
    </row>
    <row r="506" spans="1:7" hidden="1" x14ac:dyDescent="0.3">
      <c r="A506" s="177" t="s">
        <v>162</v>
      </c>
      <c r="B506" s="177" t="s">
        <v>2589</v>
      </c>
      <c r="C506" s="78" t="s">
        <v>2590</v>
      </c>
      <c r="D506" s="178">
        <f>VLOOKUP(B506,'Planning TB 2024'!$B$14:$Q$888,16,FALSE)</f>
        <v>0</v>
      </c>
      <c r="E506" s="178" t="e">
        <f>VLOOKUP(B506,'Planning TB 2025'!$B$14:$Q$574,16,FALSE)</f>
        <v>#N/A</v>
      </c>
      <c r="F506" s="191" t="e">
        <f t="shared" si="15"/>
        <v>#N/A</v>
      </c>
      <c r="G506" s="206" t="e">
        <f t="shared" si="16"/>
        <v>#N/A</v>
      </c>
    </row>
    <row r="507" spans="1:7" hidden="1" x14ac:dyDescent="0.3">
      <c r="A507" s="177" t="s">
        <v>162</v>
      </c>
      <c r="B507" s="177" t="s">
        <v>2591</v>
      </c>
      <c r="C507" s="78" t="s">
        <v>2592</v>
      </c>
      <c r="D507" s="178">
        <f>VLOOKUP(B507,'Planning TB 2024'!$B$14:$Q$888,16,FALSE)</f>
        <v>0</v>
      </c>
      <c r="E507" s="178" t="e">
        <f>VLOOKUP(B507,'Planning TB 2025'!$B$14:$Q$574,16,FALSE)</f>
        <v>#N/A</v>
      </c>
      <c r="F507" s="191" t="e">
        <f t="shared" si="15"/>
        <v>#N/A</v>
      </c>
      <c r="G507" s="206" t="e">
        <f t="shared" si="16"/>
        <v>#N/A</v>
      </c>
    </row>
    <row r="508" spans="1:7" hidden="1" x14ac:dyDescent="0.3">
      <c r="A508" s="177" t="s">
        <v>162</v>
      </c>
      <c r="B508" s="177" t="s">
        <v>2593</v>
      </c>
      <c r="C508" s="78" t="s">
        <v>2594</v>
      </c>
      <c r="D508" s="178">
        <f>VLOOKUP(B508,'Planning TB 2024'!$B$14:$Q$888,16,FALSE)</f>
        <v>0</v>
      </c>
      <c r="E508" s="178" t="e">
        <f>VLOOKUP(B508,'Planning TB 2025'!$B$14:$Q$574,16,FALSE)</f>
        <v>#N/A</v>
      </c>
      <c r="F508" s="191" t="e">
        <f t="shared" si="15"/>
        <v>#N/A</v>
      </c>
      <c r="G508" s="206" t="e">
        <f t="shared" si="16"/>
        <v>#N/A</v>
      </c>
    </row>
    <row r="509" spans="1:7" hidden="1" x14ac:dyDescent="0.3">
      <c r="A509" s="177" t="s">
        <v>162</v>
      </c>
      <c r="B509" s="177" t="s">
        <v>2595</v>
      </c>
      <c r="C509" s="78" t="s">
        <v>2596</v>
      </c>
      <c r="D509" s="178">
        <f>VLOOKUP(B509,'Planning TB 2024'!$B$14:$Q$888,16,FALSE)</f>
        <v>0</v>
      </c>
      <c r="E509" s="178" t="e">
        <f>VLOOKUP(B509,'Planning TB 2025'!$B$14:$Q$574,16,FALSE)</f>
        <v>#N/A</v>
      </c>
      <c r="F509" s="191" t="e">
        <f t="shared" si="15"/>
        <v>#N/A</v>
      </c>
      <c r="G509" s="206" t="e">
        <f t="shared" si="16"/>
        <v>#N/A</v>
      </c>
    </row>
    <row r="510" spans="1:7" hidden="1" x14ac:dyDescent="0.3">
      <c r="A510" s="177" t="s">
        <v>162</v>
      </c>
      <c r="B510" s="177" t="s">
        <v>2597</v>
      </c>
      <c r="C510" s="78" t="s">
        <v>2598</v>
      </c>
      <c r="D510" s="178">
        <f>VLOOKUP(B510,'Planning TB 2024'!$B$14:$Q$888,16,FALSE)</f>
        <v>0</v>
      </c>
      <c r="E510" s="178" t="e">
        <f>VLOOKUP(B510,'Planning TB 2025'!$B$14:$Q$574,16,FALSE)</f>
        <v>#N/A</v>
      </c>
      <c r="F510" s="191" t="e">
        <f t="shared" si="15"/>
        <v>#N/A</v>
      </c>
      <c r="G510" s="206" t="e">
        <f t="shared" si="16"/>
        <v>#N/A</v>
      </c>
    </row>
    <row r="511" spans="1:7" hidden="1" x14ac:dyDescent="0.3">
      <c r="A511" s="177" t="s">
        <v>162</v>
      </c>
      <c r="B511" s="177" t="s">
        <v>2599</v>
      </c>
      <c r="C511" s="78" t="s">
        <v>2600</v>
      </c>
      <c r="D511" s="178">
        <f>VLOOKUP(B511,'Planning TB 2024'!$B$14:$Q$888,16,FALSE)</f>
        <v>0</v>
      </c>
      <c r="E511" s="178" t="e">
        <f>VLOOKUP(B511,'Planning TB 2025'!$B$14:$Q$574,16,FALSE)</f>
        <v>#N/A</v>
      </c>
      <c r="F511" s="191" t="e">
        <f t="shared" si="15"/>
        <v>#N/A</v>
      </c>
      <c r="G511" s="206" t="e">
        <f t="shared" si="16"/>
        <v>#N/A</v>
      </c>
    </row>
    <row r="512" spans="1:7" hidden="1" x14ac:dyDescent="0.3">
      <c r="A512" s="177" t="s">
        <v>162</v>
      </c>
      <c r="B512" s="177" t="s">
        <v>2601</v>
      </c>
      <c r="C512" s="78" t="s">
        <v>2602</v>
      </c>
      <c r="D512" s="178">
        <f>VLOOKUP(B512,'Planning TB 2024'!$B$14:$Q$888,16,FALSE)</f>
        <v>0</v>
      </c>
      <c r="E512" s="178" t="e">
        <f>VLOOKUP(B512,'Planning TB 2025'!$B$14:$Q$574,16,FALSE)</f>
        <v>#N/A</v>
      </c>
      <c r="F512" s="191" t="e">
        <f t="shared" si="15"/>
        <v>#N/A</v>
      </c>
      <c r="G512" s="206" t="e">
        <f t="shared" si="16"/>
        <v>#N/A</v>
      </c>
    </row>
    <row r="513" spans="1:7" hidden="1" x14ac:dyDescent="0.3">
      <c r="A513" s="177" t="s">
        <v>162</v>
      </c>
      <c r="B513" s="177" t="s">
        <v>2603</v>
      </c>
      <c r="C513" s="78" t="s">
        <v>2604</v>
      </c>
      <c r="D513" s="178">
        <f>VLOOKUP(B513,'Planning TB 2024'!$B$14:$Q$888,16,FALSE)</f>
        <v>0</v>
      </c>
      <c r="E513" s="178" t="e">
        <f>VLOOKUP(B513,'Planning TB 2025'!$B$14:$Q$574,16,FALSE)</f>
        <v>#N/A</v>
      </c>
      <c r="F513" s="191" t="e">
        <f t="shared" si="15"/>
        <v>#N/A</v>
      </c>
      <c r="G513" s="206" t="e">
        <f t="shared" si="16"/>
        <v>#N/A</v>
      </c>
    </row>
    <row r="514" spans="1:7" hidden="1" x14ac:dyDescent="0.3">
      <c r="A514" s="177" t="s">
        <v>162</v>
      </c>
      <c r="B514" s="177" t="s">
        <v>2605</v>
      </c>
      <c r="C514" s="78" t="s">
        <v>2606</v>
      </c>
      <c r="D514" s="178">
        <f>VLOOKUP(B514,'Planning TB 2024'!$B$14:$Q$888,16,FALSE)</f>
        <v>0</v>
      </c>
      <c r="E514" s="178" t="e">
        <f>VLOOKUP(B514,'Planning TB 2025'!$B$14:$Q$574,16,FALSE)</f>
        <v>#N/A</v>
      </c>
      <c r="F514" s="191" t="e">
        <f t="shared" si="15"/>
        <v>#N/A</v>
      </c>
      <c r="G514" s="206" t="e">
        <f t="shared" si="16"/>
        <v>#N/A</v>
      </c>
    </row>
    <row r="515" spans="1:7" hidden="1" x14ac:dyDescent="0.3">
      <c r="A515" s="177" t="s">
        <v>162</v>
      </c>
      <c r="B515" s="177" t="s">
        <v>2607</v>
      </c>
      <c r="C515" s="78" t="s">
        <v>2608</v>
      </c>
      <c r="D515" s="178">
        <f>VLOOKUP(B515,'Planning TB 2024'!$B$14:$Q$888,16,FALSE)</f>
        <v>0</v>
      </c>
      <c r="E515" s="178" t="e">
        <f>VLOOKUP(B515,'Planning TB 2025'!$B$14:$Q$574,16,FALSE)</f>
        <v>#N/A</v>
      </c>
      <c r="F515" s="191" t="e">
        <f t="shared" si="15"/>
        <v>#N/A</v>
      </c>
      <c r="G515" s="206" t="e">
        <f t="shared" si="16"/>
        <v>#N/A</v>
      </c>
    </row>
    <row r="516" spans="1:7" hidden="1" x14ac:dyDescent="0.3">
      <c r="A516" s="177" t="s">
        <v>162</v>
      </c>
      <c r="B516" s="177" t="s">
        <v>2609</v>
      </c>
      <c r="C516" s="78" t="s">
        <v>2610</v>
      </c>
      <c r="D516" s="178">
        <f>VLOOKUP(B516,'Planning TB 2024'!$B$14:$Q$888,16,FALSE)</f>
        <v>0</v>
      </c>
      <c r="E516" s="178" t="e">
        <f>VLOOKUP(B516,'Planning TB 2025'!$B$14:$Q$574,16,FALSE)</f>
        <v>#N/A</v>
      </c>
      <c r="F516" s="191" t="e">
        <f t="shared" ref="F516:F579" si="17">E516-D516</f>
        <v>#N/A</v>
      </c>
      <c r="G516" s="206" t="e">
        <f t="shared" ref="G516:G579" si="18">F516/D516</f>
        <v>#N/A</v>
      </c>
    </row>
    <row r="517" spans="1:7" hidden="1" x14ac:dyDescent="0.3">
      <c r="A517" s="177" t="s">
        <v>162</v>
      </c>
      <c r="B517" s="177" t="s">
        <v>2611</v>
      </c>
      <c r="C517" s="78" t="s">
        <v>2612</v>
      </c>
      <c r="D517" s="178">
        <f>VLOOKUP(B517,'Planning TB 2024'!$B$14:$Q$888,16,FALSE)</f>
        <v>0</v>
      </c>
      <c r="E517" s="178" t="e">
        <f>VLOOKUP(B517,'Planning TB 2025'!$B$14:$Q$574,16,FALSE)</f>
        <v>#N/A</v>
      </c>
      <c r="F517" s="191" t="e">
        <f t="shared" si="17"/>
        <v>#N/A</v>
      </c>
      <c r="G517" s="206" t="e">
        <f t="shared" si="18"/>
        <v>#N/A</v>
      </c>
    </row>
    <row r="518" spans="1:7" hidden="1" x14ac:dyDescent="0.3">
      <c r="A518" s="177" t="s">
        <v>162</v>
      </c>
      <c r="B518" s="177" t="s">
        <v>2613</v>
      </c>
      <c r="C518" s="78" t="s">
        <v>2614</v>
      </c>
      <c r="D518" s="178">
        <f>VLOOKUP(B518,'Planning TB 2024'!$B$14:$Q$888,16,FALSE)</f>
        <v>0</v>
      </c>
      <c r="E518" s="178" t="e">
        <f>VLOOKUP(B518,'Planning TB 2025'!$B$14:$Q$574,16,FALSE)</f>
        <v>#N/A</v>
      </c>
      <c r="F518" s="191" t="e">
        <f t="shared" si="17"/>
        <v>#N/A</v>
      </c>
      <c r="G518" s="206" t="e">
        <f t="shared" si="18"/>
        <v>#N/A</v>
      </c>
    </row>
    <row r="519" spans="1:7" hidden="1" x14ac:dyDescent="0.3">
      <c r="A519" s="177" t="s">
        <v>162</v>
      </c>
      <c r="B519" s="177" t="s">
        <v>2615</v>
      </c>
      <c r="C519" s="78" t="s">
        <v>2616</v>
      </c>
      <c r="D519" s="178">
        <f>VLOOKUP(B519,'Planning TB 2024'!$B$14:$Q$888,16,FALSE)</f>
        <v>0</v>
      </c>
      <c r="E519" s="178" t="e">
        <f>VLOOKUP(B519,'Planning TB 2025'!$B$14:$Q$574,16,FALSE)</f>
        <v>#N/A</v>
      </c>
      <c r="F519" s="191" t="e">
        <f t="shared" si="17"/>
        <v>#N/A</v>
      </c>
      <c r="G519" s="206" t="e">
        <f t="shared" si="18"/>
        <v>#N/A</v>
      </c>
    </row>
    <row r="520" spans="1:7" hidden="1" x14ac:dyDescent="0.3">
      <c r="A520" s="177" t="s">
        <v>162</v>
      </c>
      <c r="B520" s="177" t="s">
        <v>2617</v>
      </c>
      <c r="C520" s="78" t="s">
        <v>2618</v>
      </c>
      <c r="D520" s="178">
        <f>VLOOKUP(B520,'Planning TB 2024'!$B$14:$Q$888,16,FALSE)</f>
        <v>0</v>
      </c>
      <c r="E520" s="178" t="e">
        <f>VLOOKUP(B520,'Planning TB 2025'!$B$14:$Q$574,16,FALSE)</f>
        <v>#N/A</v>
      </c>
      <c r="F520" s="191" t="e">
        <f t="shared" si="17"/>
        <v>#N/A</v>
      </c>
      <c r="G520" s="206" t="e">
        <f t="shared" si="18"/>
        <v>#N/A</v>
      </c>
    </row>
    <row r="521" spans="1:7" hidden="1" x14ac:dyDescent="0.3">
      <c r="A521" s="177" t="s">
        <v>162</v>
      </c>
      <c r="B521" s="177" t="s">
        <v>2619</v>
      </c>
      <c r="C521" s="78" t="s">
        <v>2620</v>
      </c>
      <c r="D521" s="178">
        <f>VLOOKUP(B521,'Planning TB 2024'!$B$14:$Q$888,16,FALSE)</f>
        <v>0</v>
      </c>
      <c r="E521" s="178" t="e">
        <f>VLOOKUP(B521,'Planning TB 2025'!$B$14:$Q$574,16,FALSE)</f>
        <v>#N/A</v>
      </c>
      <c r="F521" s="191" t="e">
        <f t="shared" si="17"/>
        <v>#N/A</v>
      </c>
      <c r="G521" s="206" t="e">
        <f t="shared" si="18"/>
        <v>#N/A</v>
      </c>
    </row>
    <row r="522" spans="1:7" hidden="1" x14ac:dyDescent="0.3">
      <c r="A522" s="177" t="s">
        <v>162</v>
      </c>
      <c r="B522" s="177" t="s">
        <v>2621</v>
      </c>
      <c r="C522" s="78" t="s">
        <v>2622</v>
      </c>
      <c r="D522" s="178">
        <f>VLOOKUP(B522,'Planning TB 2024'!$B$14:$Q$888,16,FALSE)</f>
        <v>0</v>
      </c>
      <c r="E522" s="178" t="e">
        <f>VLOOKUP(B522,'Planning TB 2025'!$B$14:$Q$574,16,FALSE)</f>
        <v>#N/A</v>
      </c>
      <c r="F522" s="191" t="e">
        <f t="shared" si="17"/>
        <v>#N/A</v>
      </c>
      <c r="G522" s="206" t="e">
        <f t="shared" si="18"/>
        <v>#N/A</v>
      </c>
    </row>
    <row r="523" spans="1:7" hidden="1" x14ac:dyDescent="0.3">
      <c r="A523" s="177" t="s">
        <v>162</v>
      </c>
      <c r="B523" s="177" t="s">
        <v>2623</v>
      </c>
      <c r="C523" s="78" t="s">
        <v>2624</v>
      </c>
      <c r="D523" s="178">
        <f>VLOOKUP(B523,'Planning TB 2024'!$B$14:$Q$888,16,FALSE)</f>
        <v>0</v>
      </c>
      <c r="E523" s="178" t="e">
        <f>VLOOKUP(B523,'Planning TB 2025'!$B$14:$Q$574,16,FALSE)</f>
        <v>#N/A</v>
      </c>
      <c r="F523" s="191" t="e">
        <f t="shared" si="17"/>
        <v>#N/A</v>
      </c>
      <c r="G523" s="206" t="e">
        <f t="shared" si="18"/>
        <v>#N/A</v>
      </c>
    </row>
    <row r="524" spans="1:7" hidden="1" x14ac:dyDescent="0.3">
      <c r="A524" s="177" t="s">
        <v>162</v>
      </c>
      <c r="B524" s="177" t="s">
        <v>2625</v>
      </c>
      <c r="C524" s="78" t="s">
        <v>2626</v>
      </c>
      <c r="D524" s="178">
        <f>VLOOKUP(B524,'Planning TB 2024'!$B$14:$Q$888,16,FALSE)</f>
        <v>0</v>
      </c>
      <c r="E524" s="178" t="e">
        <f>VLOOKUP(B524,'Planning TB 2025'!$B$14:$Q$574,16,FALSE)</f>
        <v>#N/A</v>
      </c>
      <c r="F524" s="191" t="e">
        <f t="shared" si="17"/>
        <v>#N/A</v>
      </c>
      <c r="G524" s="206" t="e">
        <f t="shared" si="18"/>
        <v>#N/A</v>
      </c>
    </row>
    <row r="525" spans="1:7" hidden="1" x14ac:dyDescent="0.3">
      <c r="A525" s="177" t="s">
        <v>162</v>
      </c>
      <c r="B525" s="177" t="s">
        <v>2627</v>
      </c>
      <c r="C525" s="78" t="s">
        <v>2628</v>
      </c>
      <c r="D525" s="178">
        <f>VLOOKUP(B525,'Planning TB 2024'!$B$14:$Q$888,16,FALSE)</f>
        <v>0</v>
      </c>
      <c r="E525" s="178" t="e">
        <f>VLOOKUP(B525,'Planning TB 2025'!$B$14:$Q$574,16,FALSE)</f>
        <v>#N/A</v>
      </c>
      <c r="F525" s="191" t="e">
        <f t="shared" si="17"/>
        <v>#N/A</v>
      </c>
      <c r="G525" s="206" t="e">
        <f t="shared" si="18"/>
        <v>#N/A</v>
      </c>
    </row>
    <row r="526" spans="1:7" hidden="1" x14ac:dyDescent="0.3">
      <c r="A526" s="177" t="s">
        <v>162</v>
      </c>
      <c r="B526" s="177" t="s">
        <v>2629</v>
      </c>
      <c r="C526" s="78" t="s">
        <v>2630</v>
      </c>
      <c r="D526" s="178">
        <f>VLOOKUP(B526,'Planning TB 2024'!$B$14:$Q$888,16,FALSE)</f>
        <v>0</v>
      </c>
      <c r="E526" s="178" t="e">
        <f>VLOOKUP(B526,'Planning TB 2025'!$B$14:$Q$574,16,FALSE)</f>
        <v>#N/A</v>
      </c>
      <c r="F526" s="191" t="e">
        <f t="shared" si="17"/>
        <v>#N/A</v>
      </c>
      <c r="G526" s="206" t="e">
        <f t="shared" si="18"/>
        <v>#N/A</v>
      </c>
    </row>
    <row r="527" spans="1:7" hidden="1" x14ac:dyDescent="0.3">
      <c r="A527" s="177" t="s">
        <v>162</v>
      </c>
      <c r="B527" s="177" t="s">
        <v>2631</v>
      </c>
      <c r="C527" s="78" t="s">
        <v>2632</v>
      </c>
      <c r="D527" s="178">
        <f>VLOOKUP(B527,'Planning TB 2024'!$B$14:$Q$888,16,FALSE)</f>
        <v>0</v>
      </c>
      <c r="E527" s="178" t="e">
        <f>VLOOKUP(B527,'Planning TB 2025'!$B$14:$Q$574,16,FALSE)</f>
        <v>#N/A</v>
      </c>
      <c r="F527" s="191" t="e">
        <f t="shared" si="17"/>
        <v>#N/A</v>
      </c>
      <c r="G527" s="206" t="e">
        <f t="shared" si="18"/>
        <v>#N/A</v>
      </c>
    </row>
    <row r="528" spans="1:7" hidden="1" x14ac:dyDescent="0.3">
      <c r="A528" s="177" t="s">
        <v>162</v>
      </c>
      <c r="B528" s="177" t="s">
        <v>2633</v>
      </c>
      <c r="C528" s="78" t="s">
        <v>2634</v>
      </c>
      <c r="D528" s="178">
        <f>VLOOKUP(B528,'Planning TB 2024'!$B$14:$Q$888,16,FALSE)</f>
        <v>0</v>
      </c>
      <c r="E528" s="178" t="e">
        <f>VLOOKUP(B528,'Planning TB 2025'!$B$14:$Q$574,16,FALSE)</f>
        <v>#N/A</v>
      </c>
      <c r="F528" s="191" t="e">
        <f t="shared" si="17"/>
        <v>#N/A</v>
      </c>
      <c r="G528" s="206" t="e">
        <f t="shared" si="18"/>
        <v>#N/A</v>
      </c>
    </row>
    <row r="529" spans="1:7" hidden="1" x14ac:dyDescent="0.3">
      <c r="A529" s="177" t="s">
        <v>162</v>
      </c>
      <c r="B529" s="177" t="s">
        <v>2635</v>
      </c>
      <c r="C529" s="78" t="s">
        <v>2636</v>
      </c>
      <c r="D529" s="178">
        <f>VLOOKUP(B529,'Planning TB 2024'!$B$14:$Q$888,16,FALSE)</f>
        <v>0</v>
      </c>
      <c r="E529" s="178" t="e">
        <f>VLOOKUP(B529,'Planning TB 2025'!$B$14:$Q$574,16,FALSE)</f>
        <v>#N/A</v>
      </c>
      <c r="F529" s="191" t="e">
        <f t="shared" si="17"/>
        <v>#N/A</v>
      </c>
      <c r="G529" s="206" t="e">
        <f t="shared" si="18"/>
        <v>#N/A</v>
      </c>
    </row>
    <row r="530" spans="1:7" hidden="1" x14ac:dyDescent="0.3">
      <c r="A530" s="177" t="s">
        <v>162</v>
      </c>
      <c r="B530" s="177" t="s">
        <v>2637</v>
      </c>
      <c r="C530" s="78" t="s">
        <v>2638</v>
      </c>
      <c r="D530" s="178">
        <f>VLOOKUP(B530,'Planning TB 2024'!$B$14:$Q$888,16,FALSE)</f>
        <v>0</v>
      </c>
      <c r="E530" s="178" t="e">
        <f>VLOOKUP(B530,'Planning TB 2025'!$B$14:$Q$574,16,FALSE)</f>
        <v>#N/A</v>
      </c>
      <c r="F530" s="191" t="e">
        <f t="shared" si="17"/>
        <v>#N/A</v>
      </c>
      <c r="G530" s="206" t="e">
        <f t="shared" si="18"/>
        <v>#N/A</v>
      </c>
    </row>
    <row r="531" spans="1:7" hidden="1" x14ac:dyDescent="0.3">
      <c r="A531" s="177" t="s">
        <v>162</v>
      </c>
      <c r="B531" s="177" t="s">
        <v>2639</v>
      </c>
      <c r="C531" s="78" t="s">
        <v>2640</v>
      </c>
      <c r="D531" s="178">
        <f>VLOOKUP(B531,'Planning TB 2024'!$B$14:$Q$888,16,FALSE)</f>
        <v>0</v>
      </c>
      <c r="E531" s="178" t="e">
        <f>VLOOKUP(B531,'Planning TB 2025'!$B$14:$Q$574,16,FALSE)</f>
        <v>#N/A</v>
      </c>
      <c r="F531" s="191" t="e">
        <f t="shared" si="17"/>
        <v>#N/A</v>
      </c>
      <c r="G531" s="206" t="e">
        <f t="shared" si="18"/>
        <v>#N/A</v>
      </c>
    </row>
    <row r="532" spans="1:7" hidden="1" x14ac:dyDescent="0.3">
      <c r="A532" s="177" t="s">
        <v>162</v>
      </c>
      <c r="B532" s="177" t="s">
        <v>2641</v>
      </c>
      <c r="C532" s="78" t="s">
        <v>2642</v>
      </c>
      <c r="D532" s="178">
        <f>VLOOKUP(B532,'Planning TB 2024'!$B$14:$Q$888,16,FALSE)</f>
        <v>0</v>
      </c>
      <c r="E532" s="178" t="e">
        <f>VLOOKUP(B532,'Planning TB 2025'!$B$14:$Q$574,16,FALSE)</f>
        <v>#N/A</v>
      </c>
      <c r="F532" s="191" t="e">
        <f t="shared" si="17"/>
        <v>#N/A</v>
      </c>
      <c r="G532" s="206" t="e">
        <f t="shared" si="18"/>
        <v>#N/A</v>
      </c>
    </row>
    <row r="533" spans="1:7" hidden="1" x14ac:dyDescent="0.3">
      <c r="A533" s="177" t="s">
        <v>162</v>
      </c>
      <c r="B533" s="177" t="s">
        <v>2643</v>
      </c>
      <c r="C533" s="78" t="s">
        <v>2644</v>
      </c>
      <c r="D533" s="178">
        <f>VLOOKUP(B533,'Planning TB 2024'!$B$14:$Q$888,16,FALSE)</f>
        <v>0</v>
      </c>
      <c r="E533" s="178" t="e">
        <f>VLOOKUP(B533,'Planning TB 2025'!$B$14:$Q$574,16,FALSE)</f>
        <v>#N/A</v>
      </c>
      <c r="F533" s="191" t="e">
        <f t="shared" si="17"/>
        <v>#N/A</v>
      </c>
      <c r="G533" s="206" t="e">
        <f t="shared" si="18"/>
        <v>#N/A</v>
      </c>
    </row>
    <row r="534" spans="1:7" hidden="1" x14ac:dyDescent="0.3">
      <c r="A534" s="177" t="s">
        <v>162</v>
      </c>
      <c r="B534" s="177" t="s">
        <v>2645</v>
      </c>
      <c r="C534" s="78" t="s">
        <v>2646</v>
      </c>
      <c r="D534" s="178">
        <f>VLOOKUP(B534,'Planning TB 2024'!$B$14:$Q$888,16,FALSE)</f>
        <v>0</v>
      </c>
      <c r="E534" s="178" t="e">
        <f>VLOOKUP(B534,'Planning TB 2025'!$B$14:$Q$574,16,FALSE)</f>
        <v>#N/A</v>
      </c>
      <c r="F534" s="191" t="e">
        <f t="shared" si="17"/>
        <v>#N/A</v>
      </c>
      <c r="G534" s="206" t="e">
        <f t="shared" si="18"/>
        <v>#N/A</v>
      </c>
    </row>
    <row r="535" spans="1:7" hidden="1" x14ac:dyDescent="0.3">
      <c r="A535" s="177" t="s">
        <v>162</v>
      </c>
      <c r="B535" s="177" t="s">
        <v>2647</v>
      </c>
      <c r="C535" s="78" t="s">
        <v>2648</v>
      </c>
      <c r="D535" s="178">
        <f>VLOOKUP(B535,'Planning TB 2024'!$B$14:$Q$888,16,FALSE)</f>
        <v>0</v>
      </c>
      <c r="E535" s="178" t="e">
        <f>VLOOKUP(B535,'Planning TB 2025'!$B$14:$Q$574,16,FALSE)</f>
        <v>#N/A</v>
      </c>
      <c r="F535" s="191" t="e">
        <f t="shared" si="17"/>
        <v>#N/A</v>
      </c>
      <c r="G535" s="206" t="e">
        <f t="shared" si="18"/>
        <v>#N/A</v>
      </c>
    </row>
    <row r="536" spans="1:7" hidden="1" x14ac:dyDescent="0.3">
      <c r="A536" s="177" t="s">
        <v>162</v>
      </c>
      <c r="B536" s="177" t="s">
        <v>2649</v>
      </c>
      <c r="C536" s="78" t="s">
        <v>2650</v>
      </c>
      <c r="D536" s="178">
        <f>VLOOKUP(B536,'Planning TB 2024'!$B$14:$Q$888,16,FALSE)</f>
        <v>0</v>
      </c>
      <c r="E536" s="178" t="e">
        <f>VLOOKUP(B536,'Planning TB 2025'!$B$14:$Q$574,16,FALSE)</f>
        <v>#N/A</v>
      </c>
      <c r="F536" s="191" t="e">
        <f t="shared" si="17"/>
        <v>#N/A</v>
      </c>
      <c r="G536" s="206" t="e">
        <f t="shared" si="18"/>
        <v>#N/A</v>
      </c>
    </row>
    <row r="537" spans="1:7" hidden="1" x14ac:dyDescent="0.3">
      <c r="A537" s="177" t="s">
        <v>162</v>
      </c>
      <c r="B537" s="177" t="s">
        <v>2651</v>
      </c>
      <c r="C537" s="78" t="s">
        <v>2652</v>
      </c>
      <c r="D537" s="178">
        <f>VLOOKUP(B537,'Planning TB 2024'!$B$14:$Q$888,16,FALSE)</f>
        <v>0</v>
      </c>
      <c r="E537" s="178" t="e">
        <f>VLOOKUP(B537,'Planning TB 2025'!$B$14:$Q$574,16,FALSE)</f>
        <v>#N/A</v>
      </c>
      <c r="F537" s="191" t="e">
        <f t="shared" si="17"/>
        <v>#N/A</v>
      </c>
      <c r="G537" s="206" t="e">
        <f t="shared" si="18"/>
        <v>#N/A</v>
      </c>
    </row>
    <row r="538" spans="1:7" hidden="1" x14ac:dyDescent="0.3">
      <c r="A538" s="177" t="s">
        <v>162</v>
      </c>
      <c r="B538" s="177" t="s">
        <v>2653</v>
      </c>
      <c r="C538" s="78" t="s">
        <v>2654</v>
      </c>
      <c r="D538" s="178">
        <f>VLOOKUP(B538,'Planning TB 2024'!$B$14:$Q$888,16,FALSE)</f>
        <v>0</v>
      </c>
      <c r="E538" s="178" t="e">
        <f>VLOOKUP(B538,'Planning TB 2025'!$B$14:$Q$574,16,FALSE)</f>
        <v>#N/A</v>
      </c>
      <c r="F538" s="191" t="e">
        <f t="shared" si="17"/>
        <v>#N/A</v>
      </c>
      <c r="G538" s="206" t="e">
        <f t="shared" si="18"/>
        <v>#N/A</v>
      </c>
    </row>
    <row r="539" spans="1:7" hidden="1" x14ac:dyDescent="0.3">
      <c r="A539" s="177" t="s">
        <v>162</v>
      </c>
      <c r="B539" s="177" t="s">
        <v>2655</v>
      </c>
      <c r="C539" s="78" t="s">
        <v>2656</v>
      </c>
      <c r="D539" s="178">
        <f>VLOOKUP(B539,'Planning TB 2024'!$B$14:$Q$888,16,FALSE)</f>
        <v>36283.083332700007</v>
      </c>
      <c r="E539" s="178">
        <f>VLOOKUP(B539,'Planning TB 2025'!$B$14:$Q$574,16,FALSE)</f>
        <v>36283.083332700007</v>
      </c>
      <c r="F539" s="191">
        <f t="shared" si="17"/>
        <v>0</v>
      </c>
      <c r="G539" s="206">
        <f t="shared" si="18"/>
        <v>0</v>
      </c>
    </row>
    <row r="540" spans="1:7" hidden="1" x14ac:dyDescent="0.3">
      <c r="A540" s="177" t="s">
        <v>162</v>
      </c>
      <c r="B540" s="177" t="s">
        <v>2657</v>
      </c>
      <c r="C540" s="78" t="s">
        <v>2658</v>
      </c>
      <c r="D540" s="178">
        <f>VLOOKUP(B540,'Planning TB 2024'!$B$14:$Q$888,16,FALSE)</f>
        <v>0</v>
      </c>
      <c r="E540" s="178" t="e">
        <f>VLOOKUP(B540,'Planning TB 2025'!$B$14:$Q$574,16,FALSE)</f>
        <v>#N/A</v>
      </c>
      <c r="F540" s="191" t="e">
        <f t="shared" si="17"/>
        <v>#N/A</v>
      </c>
      <c r="G540" s="206" t="e">
        <f t="shared" si="18"/>
        <v>#N/A</v>
      </c>
    </row>
    <row r="541" spans="1:7" hidden="1" x14ac:dyDescent="0.3">
      <c r="A541" s="177" t="s">
        <v>162</v>
      </c>
      <c r="B541" s="177" t="s">
        <v>2659</v>
      </c>
      <c r="C541" s="78" t="s">
        <v>2660</v>
      </c>
      <c r="D541" s="178">
        <f>VLOOKUP(B541,'Planning TB 2024'!$B$14:$Q$888,16,FALSE)</f>
        <v>0</v>
      </c>
      <c r="E541" s="178" t="e">
        <f>VLOOKUP(B541,'Planning TB 2025'!$B$14:$Q$574,16,FALSE)</f>
        <v>#N/A</v>
      </c>
      <c r="F541" s="191" t="e">
        <f t="shared" si="17"/>
        <v>#N/A</v>
      </c>
      <c r="G541" s="206" t="e">
        <f t="shared" si="18"/>
        <v>#N/A</v>
      </c>
    </row>
    <row r="542" spans="1:7" hidden="1" x14ac:dyDescent="0.3">
      <c r="A542" s="177" t="s">
        <v>162</v>
      </c>
      <c r="B542" s="177" t="s">
        <v>2661</v>
      </c>
      <c r="C542" s="78" t="s">
        <v>2662</v>
      </c>
      <c r="D542" s="178">
        <f>VLOOKUP(B542,'Planning TB 2024'!$B$14:$Q$888,16,FALSE)</f>
        <v>0</v>
      </c>
      <c r="E542" s="178" t="e">
        <f>VLOOKUP(B542,'Planning TB 2025'!$B$14:$Q$574,16,FALSE)</f>
        <v>#N/A</v>
      </c>
      <c r="F542" s="191" t="e">
        <f t="shared" si="17"/>
        <v>#N/A</v>
      </c>
      <c r="G542" s="206" t="e">
        <f t="shared" si="18"/>
        <v>#N/A</v>
      </c>
    </row>
    <row r="543" spans="1:7" hidden="1" x14ac:dyDescent="0.3">
      <c r="A543" s="177" t="s">
        <v>162</v>
      </c>
      <c r="B543" s="177" t="s">
        <v>2663</v>
      </c>
      <c r="C543" s="78" t="s">
        <v>2664</v>
      </c>
      <c r="D543" s="178">
        <f>VLOOKUP(B543,'Planning TB 2024'!$B$14:$Q$888,16,FALSE)</f>
        <v>0</v>
      </c>
      <c r="E543" s="178" t="e">
        <f>VLOOKUP(B543,'Planning TB 2025'!$B$14:$Q$574,16,FALSE)</f>
        <v>#N/A</v>
      </c>
      <c r="F543" s="191" t="e">
        <f t="shared" si="17"/>
        <v>#N/A</v>
      </c>
      <c r="G543" s="206" t="e">
        <f t="shared" si="18"/>
        <v>#N/A</v>
      </c>
    </row>
    <row r="544" spans="1:7" hidden="1" x14ac:dyDescent="0.3">
      <c r="A544" s="177" t="s">
        <v>162</v>
      </c>
      <c r="B544" s="177" t="s">
        <v>2665</v>
      </c>
      <c r="C544" s="78" t="s">
        <v>2666</v>
      </c>
      <c r="D544" s="178">
        <f>VLOOKUP(B544,'Planning TB 2024'!$B$14:$Q$888,16,FALSE)</f>
        <v>0</v>
      </c>
      <c r="E544" s="178" t="e">
        <f>VLOOKUP(B544,'Planning TB 2025'!$B$14:$Q$574,16,FALSE)</f>
        <v>#N/A</v>
      </c>
      <c r="F544" s="191" t="e">
        <f t="shared" si="17"/>
        <v>#N/A</v>
      </c>
      <c r="G544" s="206" t="e">
        <f t="shared" si="18"/>
        <v>#N/A</v>
      </c>
    </row>
    <row r="545" spans="1:7" hidden="1" x14ac:dyDescent="0.3">
      <c r="A545" s="177" t="s">
        <v>162</v>
      </c>
      <c r="B545" s="177" t="s">
        <v>2667</v>
      </c>
      <c r="C545" s="78" t="s">
        <v>2668</v>
      </c>
      <c r="D545" s="178">
        <f>VLOOKUP(B545,'Planning TB 2024'!$B$14:$Q$888,16,FALSE)</f>
        <v>0</v>
      </c>
      <c r="E545" s="178" t="e">
        <f>VLOOKUP(B545,'Planning TB 2025'!$B$14:$Q$574,16,FALSE)</f>
        <v>#N/A</v>
      </c>
      <c r="F545" s="191" t="e">
        <f t="shared" si="17"/>
        <v>#N/A</v>
      </c>
      <c r="G545" s="206" t="e">
        <f t="shared" si="18"/>
        <v>#N/A</v>
      </c>
    </row>
    <row r="546" spans="1:7" hidden="1" x14ac:dyDescent="0.3">
      <c r="A546" s="154" t="s">
        <v>162</v>
      </c>
      <c r="B546" s="154" t="s">
        <v>2669</v>
      </c>
      <c r="C546" s="154" t="s">
        <v>2670</v>
      </c>
      <c r="D546" s="178">
        <f>VLOOKUP(B546,'Planning TB 2024'!$B$14:$Q$888,16,FALSE)</f>
        <v>0</v>
      </c>
      <c r="E546" s="178" t="e">
        <f>VLOOKUP(B546,'Planning TB 2025'!$B$14:$Q$574,16,FALSE)</f>
        <v>#N/A</v>
      </c>
      <c r="F546" s="191" t="e">
        <f t="shared" si="17"/>
        <v>#N/A</v>
      </c>
      <c r="G546" s="206" t="e">
        <f t="shared" si="18"/>
        <v>#N/A</v>
      </c>
    </row>
    <row r="547" spans="1:7" hidden="1" x14ac:dyDescent="0.3">
      <c r="A547" s="154" t="s">
        <v>162</v>
      </c>
      <c r="B547" s="154" t="s">
        <v>2671</v>
      </c>
      <c r="C547" s="154" t="s">
        <v>2672</v>
      </c>
      <c r="D547" s="178">
        <f>VLOOKUP(B547,'Planning TB 2024'!$B$14:$Q$888,16,FALSE)</f>
        <v>-333865</v>
      </c>
      <c r="E547" s="178">
        <f>VLOOKUP(B547,'Planning TB 2025'!$B$14:$Q$574,16,FALSE)</f>
        <v>-333635</v>
      </c>
      <c r="F547" s="191">
        <f t="shared" si="17"/>
        <v>230</v>
      </c>
      <c r="G547" s="206">
        <f t="shared" si="18"/>
        <v>-6.8890120258188194E-4</v>
      </c>
    </row>
    <row r="548" spans="1:7" hidden="1" x14ac:dyDescent="0.3">
      <c r="A548" s="154" t="s">
        <v>162</v>
      </c>
      <c r="B548" s="154" t="s">
        <v>2673</v>
      </c>
      <c r="C548" s="154" t="s">
        <v>2674</v>
      </c>
      <c r="D548" s="178">
        <f>VLOOKUP(B548,'Planning TB 2024'!$B$14:$Q$888,16,FALSE)</f>
        <v>0</v>
      </c>
      <c r="E548" s="178">
        <f>VLOOKUP(B548,'Planning TB 2025'!$B$14:$Q$574,16,FALSE)</f>
        <v>-312000</v>
      </c>
      <c r="F548" s="191">
        <f t="shared" si="17"/>
        <v>-312000</v>
      </c>
      <c r="G548" s="206" t="e">
        <f t="shared" si="18"/>
        <v>#DIV/0!</v>
      </c>
    </row>
    <row r="549" spans="1:7" hidden="1" x14ac:dyDescent="0.3">
      <c r="A549" s="154" t="s">
        <v>162</v>
      </c>
      <c r="B549" s="154" t="s">
        <v>2675</v>
      </c>
      <c r="C549" s="154" t="s">
        <v>2676</v>
      </c>
      <c r="D549" s="178">
        <f>VLOOKUP(B549,'Planning TB 2024'!$B$14:$Q$888,16,FALSE)</f>
        <v>0</v>
      </c>
      <c r="E549" s="178" t="e">
        <f>VLOOKUP(B549,'Planning TB 2025'!$B$14:$Q$574,16,FALSE)</f>
        <v>#N/A</v>
      </c>
      <c r="F549" s="191" t="e">
        <f t="shared" si="17"/>
        <v>#N/A</v>
      </c>
      <c r="G549" s="206" t="e">
        <f t="shared" si="18"/>
        <v>#N/A</v>
      </c>
    </row>
    <row r="550" spans="1:7" hidden="1" x14ac:dyDescent="0.3">
      <c r="A550" s="154" t="s">
        <v>162</v>
      </c>
      <c r="B550" s="154" t="s">
        <v>2677</v>
      </c>
      <c r="C550" s="154" t="s">
        <v>2678</v>
      </c>
      <c r="D550" s="178">
        <f>VLOOKUP(B550,'Planning TB 2024'!$B$14:$Q$888,16,FALSE)</f>
        <v>0</v>
      </c>
      <c r="E550" s="178" t="e">
        <f>VLOOKUP(B550,'Planning TB 2025'!$B$14:$Q$574,16,FALSE)</f>
        <v>#N/A</v>
      </c>
      <c r="F550" s="191" t="e">
        <f t="shared" si="17"/>
        <v>#N/A</v>
      </c>
      <c r="G550" s="206" t="e">
        <f t="shared" si="18"/>
        <v>#N/A</v>
      </c>
    </row>
    <row r="551" spans="1:7" hidden="1" x14ac:dyDescent="0.3">
      <c r="A551" s="154" t="s">
        <v>162</v>
      </c>
      <c r="B551" s="154" t="s">
        <v>2679</v>
      </c>
      <c r="C551" s="154" t="s">
        <v>2680</v>
      </c>
      <c r="D551" s="178">
        <f>VLOOKUP(B551,'Planning TB 2024'!$B$14:$Q$888,16,FALSE)</f>
        <v>0</v>
      </c>
      <c r="E551" s="178" t="e">
        <f>VLOOKUP(B551,'Planning TB 2025'!$B$14:$Q$574,16,FALSE)</f>
        <v>#N/A</v>
      </c>
      <c r="F551" s="191" t="e">
        <f t="shared" si="17"/>
        <v>#N/A</v>
      </c>
      <c r="G551" s="206" t="e">
        <f t="shared" si="18"/>
        <v>#N/A</v>
      </c>
    </row>
    <row r="552" spans="1:7" hidden="1" x14ac:dyDescent="0.3">
      <c r="A552" s="154" t="s">
        <v>162</v>
      </c>
      <c r="B552" s="154" t="s">
        <v>2681</v>
      </c>
      <c r="C552" s="154" t="s">
        <v>2682</v>
      </c>
      <c r="D552" s="178">
        <f>VLOOKUP(B552,'Planning TB 2024'!$B$14:$Q$888,16,FALSE)</f>
        <v>0</v>
      </c>
      <c r="E552" s="178" t="e">
        <f>VLOOKUP(B552,'Planning TB 2025'!$B$14:$Q$574,16,FALSE)</f>
        <v>#N/A</v>
      </c>
      <c r="F552" s="191" t="e">
        <f t="shared" si="17"/>
        <v>#N/A</v>
      </c>
      <c r="G552" s="206" t="e">
        <f t="shared" si="18"/>
        <v>#N/A</v>
      </c>
    </row>
    <row r="553" spans="1:7" hidden="1" x14ac:dyDescent="0.3">
      <c r="A553" s="154" t="s">
        <v>162</v>
      </c>
      <c r="B553" s="154" t="s">
        <v>2683</v>
      </c>
      <c r="C553" s="154" t="s">
        <v>2684</v>
      </c>
      <c r="D553" s="178">
        <f>VLOOKUP(B553,'Planning TB 2024'!$B$14:$Q$888,16,FALSE)</f>
        <v>0</v>
      </c>
      <c r="E553" s="178" t="e">
        <f>VLOOKUP(B553,'Planning TB 2025'!$B$14:$Q$574,16,FALSE)</f>
        <v>#N/A</v>
      </c>
      <c r="F553" s="191" t="e">
        <f t="shared" si="17"/>
        <v>#N/A</v>
      </c>
      <c r="G553" s="206" t="e">
        <f t="shared" si="18"/>
        <v>#N/A</v>
      </c>
    </row>
    <row r="554" spans="1:7" hidden="1" x14ac:dyDescent="0.3">
      <c r="A554" s="154" t="s">
        <v>162</v>
      </c>
      <c r="B554" s="154" t="s">
        <v>2685</v>
      </c>
      <c r="C554" s="154" t="s">
        <v>2686</v>
      </c>
      <c r="D554" s="178">
        <f>VLOOKUP(B554,'Planning TB 2024'!$B$14:$Q$888,16,FALSE)</f>
        <v>0</v>
      </c>
      <c r="E554" s="178" t="e">
        <f>VLOOKUP(B554,'Planning TB 2025'!$B$14:$Q$574,16,FALSE)</f>
        <v>#N/A</v>
      </c>
      <c r="F554" s="191" t="e">
        <f t="shared" si="17"/>
        <v>#N/A</v>
      </c>
      <c r="G554" s="206" t="e">
        <f t="shared" si="18"/>
        <v>#N/A</v>
      </c>
    </row>
    <row r="555" spans="1:7" hidden="1" x14ac:dyDescent="0.3">
      <c r="A555" s="154" t="s">
        <v>162</v>
      </c>
      <c r="B555" s="154" t="s">
        <v>2687</v>
      </c>
      <c r="C555" s="154" t="s">
        <v>2688</v>
      </c>
      <c r="D555" s="178">
        <f>VLOOKUP(B555,'Planning TB 2024'!$B$14:$Q$888,16,FALSE)</f>
        <v>0</v>
      </c>
      <c r="E555" s="178" t="e">
        <f>VLOOKUP(B555,'Planning TB 2025'!$B$14:$Q$574,16,FALSE)</f>
        <v>#N/A</v>
      </c>
      <c r="F555" s="191" t="e">
        <f t="shared" si="17"/>
        <v>#N/A</v>
      </c>
      <c r="G555" s="206" t="e">
        <f t="shared" si="18"/>
        <v>#N/A</v>
      </c>
    </row>
    <row r="556" spans="1:7" hidden="1" x14ac:dyDescent="0.3">
      <c r="A556" s="154" t="s">
        <v>162</v>
      </c>
      <c r="B556" s="154" t="s">
        <v>2689</v>
      </c>
      <c r="C556" s="154" t="s">
        <v>2690</v>
      </c>
      <c r="D556" s="178">
        <f>VLOOKUP(B556,'Planning TB 2024'!$B$14:$Q$888,16,FALSE)</f>
        <v>0</v>
      </c>
      <c r="E556" s="178" t="e">
        <f>VLOOKUP(B556,'Planning TB 2025'!$B$14:$Q$574,16,FALSE)</f>
        <v>#N/A</v>
      </c>
      <c r="F556" s="191" t="e">
        <f t="shared" si="17"/>
        <v>#N/A</v>
      </c>
      <c r="G556" s="206" t="e">
        <f t="shared" si="18"/>
        <v>#N/A</v>
      </c>
    </row>
    <row r="557" spans="1:7" hidden="1" x14ac:dyDescent="0.3">
      <c r="A557" s="154" t="s">
        <v>162</v>
      </c>
      <c r="B557" s="154" t="s">
        <v>2691</v>
      </c>
      <c r="C557" s="154" t="s">
        <v>2692</v>
      </c>
      <c r="D557" s="178">
        <f>VLOOKUP(B557,'Planning TB 2024'!$B$14:$Q$888,16,FALSE)</f>
        <v>0</v>
      </c>
      <c r="E557" s="178" t="e">
        <f>VLOOKUP(B557,'Planning TB 2025'!$B$14:$Q$574,16,FALSE)</f>
        <v>#N/A</v>
      </c>
      <c r="F557" s="191" t="e">
        <f t="shared" si="17"/>
        <v>#N/A</v>
      </c>
      <c r="G557" s="206" t="e">
        <f t="shared" si="18"/>
        <v>#N/A</v>
      </c>
    </row>
    <row r="558" spans="1:7" hidden="1" x14ac:dyDescent="0.3">
      <c r="A558" s="154" t="s">
        <v>162</v>
      </c>
      <c r="B558" s="154" t="s">
        <v>2693</v>
      </c>
      <c r="C558" s="154" t="s">
        <v>2694</v>
      </c>
      <c r="D558" s="178">
        <f>VLOOKUP(B558,'Planning TB 2024'!$B$14:$Q$888,16,FALSE)</f>
        <v>0</v>
      </c>
      <c r="E558" s="178" t="e">
        <f>VLOOKUP(B558,'Planning TB 2025'!$B$14:$Q$574,16,FALSE)</f>
        <v>#N/A</v>
      </c>
      <c r="F558" s="191" t="e">
        <f t="shared" si="17"/>
        <v>#N/A</v>
      </c>
      <c r="G558" s="206" t="e">
        <f t="shared" si="18"/>
        <v>#N/A</v>
      </c>
    </row>
    <row r="559" spans="1:7" hidden="1" x14ac:dyDescent="0.3">
      <c r="A559" s="154" t="s">
        <v>162</v>
      </c>
      <c r="B559" s="154" t="s">
        <v>2695</v>
      </c>
      <c r="C559" s="154" t="s">
        <v>2696</v>
      </c>
      <c r="D559" s="178">
        <f>VLOOKUP(B559,'Planning TB 2024'!$B$14:$Q$888,16,FALSE)</f>
        <v>0</v>
      </c>
      <c r="E559" s="178" t="e">
        <f>VLOOKUP(B559,'Planning TB 2025'!$B$14:$Q$574,16,FALSE)</f>
        <v>#N/A</v>
      </c>
      <c r="F559" s="191" t="e">
        <f t="shared" si="17"/>
        <v>#N/A</v>
      </c>
      <c r="G559" s="206" t="e">
        <f t="shared" si="18"/>
        <v>#N/A</v>
      </c>
    </row>
    <row r="560" spans="1:7" hidden="1" x14ac:dyDescent="0.3">
      <c r="A560" s="154" t="s">
        <v>162</v>
      </c>
      <c r="B560" s="154" t="s">
        <v>2697</v>
      </c>
      <c r="C560" s="154" t="s">
        <v>2698</v>
      </c>
      <c r="D560" s="178">
        <f>VLOOKUP(B560,'Planning TB 2024'!$B$14:$Q$888,16,FALSE)</f>
        <v>0</v>
      </c>
      <c r="E560" s="178" t="e">
        <f>VLOOKUP(B560,'Planning TB 2025'!$B$14:$Q$574,16,FALSE)</f>
        <v>#N/A</v>
      </c>
      <c r="F560" s="191" t="e">
        <f t="shared" si="17"/>
        <v>#N/A</v>
      </c>
      <c r="G560" s="206" t="e">
        <f t="shared" si="18"/>
        <v>#N/A</v>
      </c>
    </row>
    <row r="561" spans="1:7" hidden="1" x14ac:dyDescent="0.3">
      <c r="A561" s="154" t="s">
        <v>162</v>
      </c>
      <c r="B561" s="154" t="s">
        <v>2699</v>
      </c>
      <c r="C561" s="154" t="s">
        <v>2700</v>
      </c>
      <c r="D561" s="178">
        <f>VLOOKUP(B561,'Planning TB 2024'!$B$14:$Q$888,16,FALSE)</f>
        <v>0</v>
      </c>
      <c r="E561" s="178" t="e">
        <f>VLOOKUP(B561,'Planning TB 2025'!$B$14:$Q$574,16,FALSE)</f>
        <v>#N/A</v>
      </c>
      <c r="F561" s="191" t="e">
        <f t="shared" si="17"/>
        <v>#N/A</v>
      </c>
      <c r="G561" s="206" t="e">
        <f t="shared" si="18"/>
        <v>#N/A</v>
      </c>
    </row>
    <row r="562" spans="1:7" hidden="1" x14ac:dyDescent="0.3">
      <c r="A562" s="154" t="s">
        <v>162</v>
      </c>
      <c r="B562" s="154" t="s">
        <v>2701</v>
      </c>
      <c r="C562" s="154" t="s">
        <v>2702</v>
      </c>
      <c r="D562" s="178">
        <f>VLOOKUP(B562,'Planning TB 2024'!$B$14:$Q$888,16,FALSE)</f>
        <v>0</v>
      </c>
      <c r="E562" s="178" t="e">
        <f>VLOOKUP(B562,'Planning TB 2025'!$B$14:$Q$574,16,FALSE)</f>
        <v>#N/A</v>
      </c>
      <c r="F562" s="191" t="e">
        <f t="shared" si="17"/>
        <v>#N/A</v>
      </c>
      <c r="G562" s="206" t="e">
        <f t="shared" si="18"/>
        <v>#N/A</v>
      </c>
    </row>
    <row r="563" spans="1:7" hidden="1" x14ac:dyDescent="0.3">
      <c r="A563" s="154" t="s">
        <v>162</v>
      </c>
      <c r="B563" s="154" t="s">
        <v>2703</v>
      </c>
      <c r="C563" s="154" t="s">
        <v>2704</v>
      </c>
      <c r="D563" s="178">
        <f>VLOOKUP(B563,'Planning TB 2024'!$B$14:$Q$888,16,FALSE)</f>
        <v>0</v>
      </c>
      <c r="E563" s="178" t="e">
        <f>VLOOKUP(B563,'Planning TB 2025'!$B$14:$Q$574,16,FALSE)</f>
        <v>#N/A</v>
      </c>
      <c r="F563" s="191" t="e">
        <f t="shared" si="17"/>
        <v>#N/A</v>
      </c>
      <c r="G563" s="206" t="e">
        <f t="shared" si="18"/>
        <v>#N/A</v>
      </c>
    </row>
    <row r="564" spans="1:7" hidden="1" x14ac:dyDescent="0.3">
      <c r="A564" s="154" t="s">
        <v>162</v>
      </c>
      <c r="B564" s="154" t="s">
        <v>2705</v>
      </c>
      <c r="C564" s="154" t="s">
        <v>2706</v>
      </c>
      <c r="D564" s="178">
        <f>VLOOKUP(B564,'Planning TB 2024'!$B$14:$Q$888,16,FALSE)</f>
        <v>0</v>
      </c>
      <c r="E564" s="178" t="e">
        <f>VLOOKUP(B564,'Planning TB 2025'!$B$14:$Q$574,16,FALSE)</f>
        <v>#N/A</v>
      </c>
      <c r="F564" s="191" t="e">
        <f t="shared" si="17"/>
        <v>#N/A</v>
      </c>
      <c r="G564" s="206" t="e">
        <f t="shared" si="18"/>
        <v>#N/A</v>
      </c>
    </row>
    <row r="565" spans="1:7" hidden="1" x14ac:dyDescent="0.3">
      <c r="A565" s="154" t="s">
        <v>162</v>
      </c>
      <c r="B565" s="154" t="s">
        <v>2707</v>
      </c>
      <c r="C565" s="154" t="s">
        <v>2708</v>
      </c>
      <c r="D565" s="178">
        <f>VLOOKUP(B565,'Planning TB 2024'!$B$14:$Q$888,16,FALSE)</f>
        <v>0</v>
      </c>
      <c r="E565" s="178" t="e">
        <f>VLOOKUP(B565,'Planning TB 2025'!$B$14:$Q$574,16,FALSE)</f>
        <v>#N/A</v>
      </c>
      <c r="F565" s="191" t="e">
        <f t="shared" si="17"/>
        <v>#N/A</v>
      </c>
      <c r="G565" s="206" t="e">
        <f t="shared" si="18"/>
        <v>#N/A</v>
      </c>
    </row>
    <row r="566" spans="1:7" hidden="1" x14ac:dyDescent="0.3">
      <c r="A566" s="154" t="s">
        <v>162</v>
      </c>
      <c r="B566" s="154" t="s">
        <v>2709</v>
      </c>
      <c r="C566" s="154" t="s">
        <v>2710</v>
      </c>
      <c r="D566" s="178">
        <f>VLOOKUP(B566,'Planning TB 2024'!$B$14:$Q$888,16,FALSE)</f>
        <v>0</v>
      </c>
      <c r="E566" s="178" t="e">
        <f>VLOOKUP(B566,'Planning TB 2025'!$B$14:$Q$574,16,FALSE)</f>
        <v>#N/A</v>
      </c>
      <c r="F566" s="191" t="e">
        <f t="shared" si="17"/>
        <v>#N/A</v>
      </c>
      <c r="G566" s="206" t="e">
        <f t="shared" si="18"/>
        <v>#N/A</v>
      </c>
    </row>
    <row r="567" spans="1:7" hidden="1" x14ac:dyDescent="0.3">
      <c r="A567" s="154" t="s">
        <v>162</v>
      </c>
      <c r="B567" s="154" t="s">
        <v>2711</v>
      </c>
      <c r="C567" s="154" t="s">
        <v>2712</v>
      </c>
      <c r="D567" s="178">
        <f>VLOOKUP(B567,'Planning TB 2024'!$B$14:$Q$888,16,FALSE)</f>
        <v>0</v>
      </c>
      <c r="E567" s="178" t="e">
        <f>VLOOKUP(B567,'Planning TB 2025'!$B$14:$Q$574,16,FALSE)</f>
        <v>#N/A</v>
      </c>
      <c r="F567" s="191" t="e">
        <f t="shared" si="17"/>
        <v>#N/A</v>
      </c>
      <c r="G567" s="206" t="e">
        <f t="shared" si="18"/>
        <v>#N/A</v>
      </c>
    </row>
    <row r="568" spans="1:7" hidden="1" x14ac:dyDescent="0.3">
      <c r="A568" s="154" t="s">
        <v>162</v>
      </c>
      <c r="B568" s="154" t="s">
        <v>2713</v>
      </c>
      <c r="C568" s="154" t="s">
        <v>2714</v>
      </c>
      <c r="D568" s="178">
        <f>VLOOKUP(B568,'Planning TB 2024'!$B$14:$Q$888,16,FALSE)</f>
        <v>0</v>
      </c>
      <c r="E568" s="178" t="e">
        <f>VLOOKUP(B568,'Planning TB 2025'!$B$14:$Q$574,16,FALSE)</f>
        <v>#N/A</v>
      </c>
      <c r="F568" s="191" t="e">
        <f t="shared" si="17"/>
        <v>#N/A</v>
      </c>
      <c r="G568" s="206" t="e">
        <f t="shared" si="18"/>
        <v>#N/A</v>
      </c>
    </row>
    <row r="569" spans="1:7" hidden="1" x14ac:dyDescent="0.3">
      <c r="A569" s="154" t="s">
        <v>162</v>
      </c>
      <c r="B569" s="154" t="s">
        <v>2715</v>
      </c>
      <c r="C569" s="154" t="s">
        <v>2716</v>
      </c>
      <c r="D569" s="178">
        <f>VLOOKUP(B569,'Planning TB 2024'!$B$14:$Q$888,16,FALSE)</f>
        <v>0</v>
      </c>
      <c r="E569" s="178" t="e">
        <f>VLOOKUP(B569,'Planning TB 2025'!$B$14:$Q$574,16,FALSE)</f>
        <v>#N/A</v>
      </c>
      <c r="F569" s="191" t="e">
        <f t="shared" si="17"/>
        <v>#N/A</v>
      </c>
      <c r="G569" s="206" t="e">
        <f t="shared" si="18"/>
        <v>#N/A</v>
      </c>
    </row>
    <row r="570" spans="1:7" hidden="1" x14ac:dyDescent="0.3">
      <c r="A570" s="154" t="s">
        <v>162</v>
      </c>
      <c r="B570" s="154" t="s">
        <v>2717</v>
      </c>
      <c r="C570" s="154" t="s">
        <v>2718</v>
      </c>
      <c r="D570" s="178">
        <f>VLOOKUP(B570,'Planning TB 2024'!$B$14:$Q$888,16,FALSE)</f>
        <v>0</v>
      </c>
      <c r="E570" s="178" t="e">
        <f>VLOOKUP(B570,'Planning TB 2025'!$B$14:$Q$574,16,FALSE)</f>
        <v>#N/A</v>
      </c>
      <c r="F570" s="191" t="e">
        <f t="shared" si="17"/>
        <v>#N/A</v>
      </c>
      <c r="G570" s="206" t="e">
        <f t="shared" si="18"/>
        <v>#N/A</v>
      </c>
    </row>
    <row r="571" spans="1:7" hidden="1" x14ac:dyDescent="0.3">
      <c r="A571" s="154" t="s">
        <v>162</v>
      </c>
      <c r="B571" s="154" t="s">
        <v>2719</v>
      </c>
      <c r="C571" s="154" t="s">
        <v>2720</v>
      </c>
      <c r="D571" s="178">
        <f>VLOOKUP(B571,'Planning TB 2024'!$B$14:$Q$888,16,FALSE)</f>
        <v>0</v>
      </c>
      <c r="E571" s="178" t="e">
        <f>VLOOKUP(B571,'Planning TB 2025'!$B$14:$Q$574,16,FALSE)</f>
        <v>#N/A</v>
      </c>
      <c r="F571" s="191" t="e">
        <f t="shared" si="17"/>
        <v>#N/A</v>
      </c>
      <c r="G571" s="206" t="e">
        <f t="shared" si="18"/>
        <v>#N/A</v>
      </c>
    </row>
    <row r="572" spans="1:7" hidden="1" x14ac:dyDescent="0.3">
      <c r="A572" s="154" t="s">
        <v>162</v>
      </c>
      <c r="B572" s="154" t="s">
        <v>2721</v>
      </c>
      <c r="C572" s="154" t="s">
        <v>2722</v>
      </c>
      <c r="D572" s="178">
        <f>VLOOKUP(B572,'Planning TB 2024'!$B$14:$Q$888,16,FALSE)</f>
        <v>0</v>
      </c>
      <c r="E572" s="178" t="e">
        <f>VLOOKUP(B572,'Planning TB 2025'!$B$14:$Q$574,16,FALSE)</f>
        <v>#N/A</v>
      </c>
      <c r="F572" s="191" t="e">
        <f t="shared" si="17"/>
        <v>#N/A</v>
      </c>
      <c r="G572" s="206" t="e">
        <f t="shared" si="18"/>
        <v>#N/A</v>
      </c>
    </row>
    <row r="573" spans="1:7" hidden="1" x14ac:dyDescent="0.3">
      <c r="A573" s="154" t="s">
        <v>162</v>
      </c>
      <c r="B573" s="154" t="s">
        <v>2723</v>
      </c>
      <c r="C573" s="154" t="s">
        <v>2724</v>
      </c>
      <c r="D573" s="178">
        <f>VLOOKUP(B573,'Planning TB 2024'!$B$14:$Q$888,16,FALSE)</f>
        <v>-400000.00000080006</v>
      </c>
      <c r="E573" s="178">
        <f>VLOOKUP(B573,'Planning TB 2025'!$B$14:$Q$574,16,FALSE)</f>
        <v>728999.99999879999</v>
      </c>
      <c r="F573" s="191">
        <f t="shared" si="17"/>
        <v>1128999.9999996</v>
      </c>
      <c r="G573" s="206">
        <f t="shared" si="18"/>
        <v>-2.8224999999933544</v>
      </c>
    </row>
    <row r="574" spans="1:7" hidden="1" x14ac:dyDescent="0.3">
      <c r="A574" s="154" t="s">
        <v>162</v>
      </c>
      <c r="B574" s="154" t="s">
        <v>2725</v>
      </c>
      <c r="C574" s="154" t="s">
        <v>2726</v>
      </c>
      <c r="D574" s="178">
        <f>VLOOKUP(B574,'Planning TB 2024'!$B$14:$Q$888,16,FALSE)</f>
        <v>0</v>
      </c>
      <c r="E574" s="178" t="e">
        <f>VLOOKUP(B574,'Planning TB 2025'!$B$14:$Q$574,16,FALSE)</f>
        <v>#N/A</v>
      </c>
      <c r="F574" s="191" t="e">
        <f t="shared" si="17"/>
        <v>#N/A</v>
      </c>
      <c r="G574" s="206" t="e">
        <f t="shared" si="18"/>
        <v>#N/A</v>
      </c>
    </row>
    <row r="575" spans="1:7" hidden="1" x14ac:dyDescent="0.3">
      <c r="A575" s="154" t="s">
        <v>162</v>
      </c>
      <c r="B575" s="154" t="s">
        <v>2727</v>
      </c>
      <c r="C575" s="154" t="s">
        <v>2728</v>
      </c>
      <c r="D575" s="178">
        <f>VLOOKUP(B575,'Planning TB 2024'!$B$14:$Q$888,16,FALSE)</f>
        <v>0</v>
      </c>
      <c r="E575" s="178">
        <f>VLOOKUP(B575,'Planning TB 2025'!$B$14:$Q$574,16,FALSE)</f>
        <v>-759000</v>
      </c>
      <c r="F575" s="191">
        <f t="shared" si="17"/>
        <v>-759000</v>
      </c>
      <c r="G575" s="206" t="e">
        <f t="shared" si="18"/>
        <v>#DIV/0!</v>
      </c>
    </row>
    <row r="576" spans="1:7" hidden="1" x14ac:dyDescent="0.3">
      <c r="A576" s="154" t="s">
        <v>162</v>
      </c>
      <c r="B576" s="154" t="s">
        <v>2729</v>
      </c>
      <c r="C576" s="154" t="s">
        <v>2730</v>
      </c>
      <c r="D576" s="178">
        <f>VLOOKUP(B576,'Planning TB 2024'!$B$14:$Q$888,16,FALSE)</f>
        <v>0</v>
      </c>
      <c r="E576" s="178" t="e">
        <f>VLOOKUP(B576,'Planning TB 2025'!$B$14:$Q$574,16,FALSE)</f>
        <v>#N/A</v>
      </c>
      <c r="F576" s="191" t="e">
        <f t="shared" si="17"/>
        <v>#N/A</v>
      </c>
      <c r="G576" s="206" t="e">
        <f t="shared" si="18"/>
        <v>#N/A</v>
      </c>
    </row>
    <row r="577" spans="1:7" hidden="1" x14ac:dyDescent="0.3">
      <c r="A577" s="154" t="s">
        <v>162</v>
      </c>
      <c r="B577" s="154" t="s">
        <v>2731</v>
      </c>
      <c r="C577" s="154" t="s">
        <v>2732</v>
      </c>
      <c r="D577" s="178">
        <f>VLOOKUP(B577,'Planning TB 2024'!$B$14:$Q$888,16,FALSE)</f>
        <v>0</v>
      </c>
      <c r="E577" s="178" t="e">
        <f>VLOOKUP(B577,'Planning TB 2025'!$B$14:$Q$574,16,FALSE)</f>
        <v>#N/A</v>
      </c>
      <c r="F577" s="191" t="e">
        <f t="shared" si="17"/>
        <v>#N/A</v>
      </c>
      <c r="G577" s="206" t="e">
        <f t="shared" si="18"/>
        <v>#N/A</v>
      </c>
    </row>
    <row r="578" spans="1:7" hidden="1" x14ac:dyDescent="0.3">
      <c r="A578" s="154" t="s">
        <v>162</v>
      </c>
      <c r="B578" s="154" t="s">
        <v>2733</v>
      </c>
      <c r="C578" s="154" t="s">
        <v>2734</v>
      </c>
      <c r="D578" s="178">
        <f>VLOOKUP(B578,'Planning TB 2024'!$B$14:$Q$888,16,FALSE)</f>
        <v>0</v>
      </c>
      <c r="E578" s="178" t="e">
        <f>VLOOKUP(B578,'Planning TB 2025'!$B$14:$Q$574,16,FALSE)</f>
        <v>#N/A</v>
      </c>
      <c r="F578" s="191" t="e">
        <f t="shared" si="17"/>
        <v>#N/A</v>
      </c>
      <c r="G578" s="206" t="e">
        <f t="shared" si="18"/>
        <v>#N/A</v>
      </c>
    </row>
    <row r="579" spans="1:7" hidden="1" x14ac:dyDescent="0.3">
      <c r="A579" s="154" t="s">
        <v>162</v>
      </c>
      <c r="B579" s="154" t="s">
        <v>2735</v>
      </c>
      <c r="C579" s="154" t="s">
        <v>2736</v>
      </c>
      <c r="D579" s="178">
        <f>VLOOKUP(B579,'Planning TB 2024'!$B$14:$Q$888,16,FALSE)</f>
        <v>0</v>
      </c>
      <c r="E579" s="178" t="e">
        <f>VLOOKUP(B579,'Planning TB 2025'!$B$14:$Q$574,16,FALSE)</f>
        <v>#N/A</v>
      </c>
      <c r="F579" s="191" t="e">
        <f t="shared" si="17"/>
        <v>#N/A</v>
      </c>
      <c r="G579" s="206" t="e">
        <f t="shared" si="18"/>
        <v>#N/A</v>
      </c>
    </row>
    <row r="580" spans="1:7" hidden="1" x14ac:dyDescent="0.3">
      <c r="A580" s="154" t="s">
        <v>162</v>
      </c>
      <c r="B580" s="154" t="s">
        <v>2737</v>
      </c>
      <c r="C580" s="154" t="s">
        <v>2738</v>
      </c>
      <c r="D580" s="178">
        <f>VLOOKUP(B580,'Planning TB 2024'!$B$14:$Q$888,16,FALSE)</f>
        <v>0</v>
      </c>
      <c r="E580" s="178" t="e">
        <f>VLOOKUP(B580,'Planning TB 2025'!$B$14:$Q$574,16,FALSE)</f>
        <v>#N/A</v>
      </c>
      <c r="F580" s="191" t="e">
        <f t="shared" ref="F580:F643" si="19">E580-D580</f>
        <v>#N/A</v>
      </c>
      <c r="G580" s="206" t="e">
        <f t="shared" ref="G580:G643" si="20">F580/D580</f>
        <v>#N/A</v>
      </c>
    </row>
    <row r="581" spans="1:7" hidden="1" x14ac:dyDescent="0.3">
      <c r="A581" s="154" t="s">
        <v>162</v>
      </c>
      <c r="B581" s="154" t="s">
        <v>2739</v>
      </c>
      <c r="C581" s="154" t="s">
        <v>2740</v>
      </c>
      <c r="D581" s="178">
        <f>VLOOKUP(B581,'Planning TB 2024'!$B$14:$Q$888,16,FALSE)</f>
        <v>0</v>
      </c>
      <c r="E581" s="178" t="e">
        <f>VLOOKUP(B581,'Planning TB 2025'!$B$14:$Q$574,16,FALSE)</f>
        <v>#N/A</v>
      </c>
      <c r="F581" s="191" t="e">
        <f t="shared" si="19"/>
        <v>#N/A</v>
      </c>
      <c r="G581" s="206" t="e">
        <f t="shared" si="20"/>
        <v>#N/A</v>
      </c>
    </row>
    <row r="582" spans="1:7" hidden="1" x14ac:dyDescent="0.3">
      <c r="A582" s="154" t="s">
        <v>162</v>
      </c>
      <c r="B582" s="154" t="s">
        <v>2741</v>
      </c>
      <c r="C582" s="154" t="s">
        <v>2742</v>
      </c>
      <c r="D582" s="178">
        <f>VLOOKUP(B582,'Planning TB 2024'!$B$14:$Q$888,16,FALSE)</f>
        <v>0</v>
      </c>
      <c r="E582" s="178" t="e">
        <f>VLOOKUP(B582,'Planning TB 2025'!$B$14:$Q$574,16,FALSE)</f>
        <v>#N/A</v>
      </c>
      <c r="F582" s="191" t="e">
        <f t="shared" si="19"/>
        <v>#N/A</v>
      </c>
      <c r="G582" s="206" t="e">
        <f t="shared" si="20"/>
        <v>#N/A</v>
      </c>
    </row>
    <row r="583" spans="1:7" hidden="1" x14ac:dyDescent="0.3">
      <c r="A583" s="154" t="s">
        <v>162</v>
      </c>
      <c r="B583" s="154" t="s">
        <v>2743</v>
      </c>
      <c r="C583" s="154" t="s">
        <v>2744</v>
      </c>
      <c r="D583" s="178">
        <f>VLOOKUP(B583,'Planning TB 2024'!$B$14:$Q$888,16,FALSE)</f>
        <v>36194240.289999999</v>
      </c>
      <c r="E583" s="178">
        <f>VLOOKUP(B583,'Planning TB 2025'!$B$14:$Q$574,16,FALSE)</f>
        <v>39791532.470000006</v>
      </c>
      <c r="F583" s="191">
        <f t="shared" si="19"/>
        <v>3597292.1800000072</v>
      </c>
      <c r="G583" s="206">
        <f t="shared" si="20"/>
        <v>9.9388525665336111E-2</v>
      </c>
    </row>
    <row r="584" spans="1:7" hidden="1" x14ac:dyDescent="0.3">
      <c r="A584" s="154" t="s">
        <v>162</v>
      </c>
      <c r="B584" s="154" t="s">
        <v>2745</v>
      </c>
      <c r="C584" s="154" t="s">
        <v>2746</v>
      </c>
      <c r="D584" s="178">
        <f>VLOOKUP(B584,'Planning TB 2024'!$B$14:$Q$888,16,FALSE)</f>
        <v>185749.31999999995</v>
      </c>
      <c r="E584" s="178">
        <f>VLOOKUP(B584,'Planning TB 2025'!$B$14:$Q$574,16,FALSE)</f>
        <v>185749.31999999995</v>
      </c>
      <c r="F584" s="191">
        <f t="shared" si="19"/>
        <v>0</v>
      </c>
      <c r="G584" s="206">
        <f t="shared" si="20"/>
        <v>0</v>
      </c>
    </row>
    <row r="585" spans="1:7" hidden="1" x14ac:dyDescent="0.3">
      <c r="A585" s="154" t="s">
        <v>162</v>
      </c>
      <c r="B585" s="154" t="s">
        <v>2747</v>
      </c>
      <c r="C585" s="154" t="s">
        <v>2748</v>
      </c>
      <c r="D585" s="178">
        <f>VLOOKUP(B585,'Planning TB 2024'!$B$14:$Q$888,16,FALSE)</f>
        <v>50959.44000000001</v>
      </c>
      <c r="E585" s="178">
        <f>VLOOKUP(B585,'Planning TB 2025'!$B$14:$Q$574,16,FALSE)</f>
        <v>50959.44000000001</v>
      </c>
      <c r="F585" s="191">
        <f t="shared" si="19"/>
        <v>0</v>
      </c>
      <c r="G585" s="206">
        <f t="shared" si="20"/>
        <v>0</v>
      </c>
    </row>
    <row r="586" spans="1:7" hidden="1" x14ac:dyDescent="0.3">
      <c r="A586" s="154" t="s">
        <v>162</v>
      </c>
      <c r="B586" s="154" t="s">
        <v>2749</v>
      </c>
      <c r="C586" s="154" t="s">
        <v>2750</v>
      </c>
      <c r="D586" s="178">
        <f>VLOOKUP(B586,'Planning TB 2024'!$B$14:$Q$888,16,FALSE)</f>
        <v>0</v>
      </c>
      <c r="E586" s="178" t="e">
        <f>VLOOKUP(B586,'Planning TB 2025'!$B$14:$Q$574,16,FALSE)</f>
        <v>#N/A</v>
      </c>
      <c r="F586" s="191" t="e">
        <f t="shared" si="19"/>
        <v>#N/A</v>
      </c>
      <c r="G586" s="206" t="e">
        <f t="shared" si="20"/>
        <v>#N/A</v>
      </c>
    </row>
    <row r="587" spans="1:7" hidden="1" x14ac:dyDescent="0.3">
      <c r="A587" s="154" t="s">
        <v>162</v>
      </c>
      <c r="B587" s="154" t="s">
        <v>2751</v>
      </c>
      <c r="C587" s="154" t="s">
        <v>2752</v>
      </c>
      <c r="D587" s="178">
        <f>VLOOKUP(B587,'Planning TB 2024'!$B$14:$Q$888,16,FALSE)</f>
        <v>399884023.86000001</v>
      </c>
      <c r="E587" s="178">
        <f>VLOOKUP(B587,'Planning TB 2025'!$B$14:$Q$574,16,FALSE)</f>
        <v>476396066.70999998</v>
      </c>
      <c r="F587" s="191">
        <f t="shared" si="19"/>
        <v>76512042.849999964</v>
      </c>
      <c r="G587" s="206">
        <f t="shared" si="20"/>
        <v>0.19133558303091133</v>
      </c>
    </row>
    <row r="588" spans="1:7" hidden="1" x14ac:dyDescent="0.3">
      <c r="A588" s="154" t="s">
        <v>162</v>
      </c>
      <c r="B588" s="154" t="s">
        <v>2753</v>
      </c>
      <c r="C588" s="154" t="s">
        <v>2754</v>
      </c>
      <c r="D588" s="178">
        <f>VLOOKUP(B588,'Planning TB 2024'!$B$14:$Q$888,16,FALSE)</f>
        <v>38423.82</v>
      </c>
      <c r="E588" s="178">
        <f>VLOOKUP(B588,'Planning TB 2025'!$B$14:$Q$574,16,FALSE)</f>
        <v>96235.200000000012</v>
      </c>
      <c r="F588" s="191">
        <f t="shared" si="19"/>
        <v>57811.380000000012</v>
      </c>
      <c r="G588" s="206">
        <f t="shared" si="20"/>
        <v>1.5045713830639436</v>
      </c>
    </row>
    <row r="589" spans="1:7" hidden="1" x14ac:dyDescent="0.3">
      <c r="A589" s="154" t="s">
        <v>162</v>
      </c>
      <c r="B589" s="154" t="s">
        <v>2755</v>
      </c>
      <c r="C589" s="154" t="s">
        <v>2756</v>
      </c>
      <c r="D589" s="178">
        <f>VLOOKUP(B589,'Planning TB 2024'!$B$14:$Q$888,16,FALSE)</f>
        <v>0</v>
      </c>
      <c r="E589" s="178" t="e">
        <f>VLOOKUP(B589,'Planning TB 2025'!$B$14:$Q$574,16,FALSE)</f>
        <v>#N/A</v>
      </c>
      <c r="F589" s="191" t="e">
        <f t="shared" si="19"/>
        <v>#N/A</v>
      </c>
      <c r="G589" s="206" t="e">
        <f t="shared" si="20"/>
        <v>#N/A</v>
      </c>
    </row>
    <row r="590" spans="1:7" hidden="1" x14ac:dyDescent="0.3">
      <c r="A590" s="154" t="s">
        <v>162</v>
      </c>
      <c r="B590" s="154" t="s">
        <v>2757</v>
      </c>
      <c r="C590" s="154" t="s">
        <v>2758</v>
      </c>
      <c r="D590" s="178">
        <f>VLOOKUP(B590,'Planning TB 2024'!$B$14:$Q$888,16,FALSE)</f>
        <v>8014743</v>
      </c>
      <c r="E590" s="178">
        <f>VLOOKUP(B590,'Planning TB 2025'!$B$14:$Q$574,16,FALSE)</f>
        <v>17442392.039999999</v>
      </c>
      <c r="F590" s="191">
        <f t="shared" si="19"/>
        <v>9427649.0399999991</v>
      </c>
      <c r="G590" s="206">
        <f t="shared" si="20"/>
        <v>1.176288377556211</v>
      </c>
    </row>
    <row r="591" spans="1:7" hidden="1" x14ac:dyDescent="0.3">
      <c r="A591" s="154" t="s">
        <v>162</v>
      </c>
      <c r="B591" s="154" t="s">
        <v>2759</v>
      </c>
      <c r="C591" s="154" t="s">
        <v>2760</v>
      </c>
      <c r="D591" s="178">
        <f>VLOOKUP(B591,'Planning TB 2024'!$B$14:$Q$888,16,FALSE)</f>
        <v>0</v>
      </c>
      <c r="E591" s="178" t="e">
        <f>VLOOKUP(B591,'Planning TB 2025'!$B$14:$Q$574,16,FALSE)</f>
        <v>#N/A</v>
      </c>
      <c r="F591" s="191" t="e">
        <f t="shared" si="19"/>
        <v>#N/A</v>
      </c>
      <c r="G591" s="206" t="e">
        <f t="shared" si="20"/>
        <v>#N/A</v>
      </c>
    </row>
    <row r="592" spans="1:7" hidden="1" x14ac:dyDescent="0.3">
      <c r="A592" s="154" t="s">
        <v>162</v>
      </c>
      <c r="B592" s="154" t="s">
        <v>2761</v>
      </c>
      <c r="C592" s="154" t="s">
        <v>2762</v>
      </c>
      <c r="D592" s="178">
        <f>VLOOKUP(B592,'Planning TB 2024'!$B$14:$Q$888,16,FALSE)</f>
        <v>0</v>
      </c>
      <c r="E592" s="178" t="e">
        <f>VLOOKUP(B592,'Planning TB 2025'!$B$14:$Q$574,16,FALSE)</f>
        <v>#N/A</v>
      </c>
      <c r="F592" s="191" t="e">
        <f t="shared" si="19"/>
        <v>#N/A</v>
      </c>
      <c r="G592" s="206" t="e">
        <f t="shared" si="20"/>
        <v>#N/A</v>
      </c>
    </row>
    <row r="593" spans="1:7" hidden="1" x14ac:dyDescent="0.3">
      <c r="A593" s="154" t="s">
        <v>162</v>
      </c>
      <c r="B593" s="154" t="s">
        <v>2763</v>
      </c>
      <c r="C593" s="154" t="s">
        <v>2764</v>
      </c>
      <c r="D593" s="178">
        <f>VLOOKUP(B593,'Planning TB 2024'!$B$14:$Q$888,16,FALSE)</f>
        <v>0</v>
      </c>
      <c r="E593" s="178" t="e">
        <f>VLOOKUP(B593,'Planning TB 2025'!$B$14:$Q$574,16,FALSE)</f>
        <v>#N/A</v>
      </c>
      <c r="F593" s="191" t="e">
        <f t="shared" si="19"/>
        <v>#N/A</v>
      </c>
      <c r="G593" s="206" t="e">
        <f t="shared" si="20"/>
        <v>#N/A</v>
      </c>
    </row>
    <row r="594" spans="1:7" hidden="1" x14ac:dyDescent="0.3">
      <c r="A594" s="154" t="s">
        <v>162</v>
      </c>
      <c r="B594" s="154" t="s">
        <v>2765</v>
      </c>
      <c r="C594" s="154" t="s">
        <v>2766</v>
      </c>
      <c r="D594" s="178">
        <f>VLOOKUP(B594,'Planning TB 2024'!$B$14:$Q$888,16,FALSE)</f>
        <v>-231778.72746720005</v>
      </c>
      <c r="E594" s="178" t="e">
        <f>VLOOKUP(B594,'Planning TB 2025'!$B$14:$Q$574,16,FALSE)</f>
        <v>#N/A</v>
      </c>
      <c r="F594" s="191" t="e">
        <f t="shared" si="19"/>
        <v>#N/A</v>
      </c>
      <c r="G594" s="206" t="e">
        <f t="shared" si="20"/>
        <v>#N/A</v>
      </c>
    </row>
    <row r="595" spans="1:7" hidden="1" x14ac:dyDescent="0.3">
      <c r="A595" s="154" t="s">
        <v>162</v>
      </c>
      <c r="B595" s="154" t="s">
        <v>2767</v>
      </c>
      <c r="C595" s="154" t="s">
        <v>2768</v>
      </c>
      <c r="D595" s="178">
        <f>VLOOKUP(B595,'Planning TB 2024'!$B$14:$Q$888,16,FALSE)</f>
        <v>0</v>
      </c>
      <c r="E595" s="178" t="e">
        <f>VLOOKUP(B595,'Planning TB 2025'!$B$14:$Q$574,16,FALSE)</f>
        <v>#N/A</v>
      </c>
      <c r="F595" s="191" t="e">
        <f t="shared" si="19"/>
        <v>#N/A</v>
      </c>
      <c r="G595" s="206" t="e">
        <f t="shared" si="20"/>
        <v>#N/A</v>
      </c>
    </row>
    <row r="596" spans="1:7" hidden="1" x14ac:dyDescent="0.3">
      <c r="A596" s="154" t="s">
        <v>162</v>
      </c>
      <c r="B596" s="154" t="s">
        <v>2769</v>
      </c>
      <c r="C596" s="154" t="s">
        <v>2770</v>
      </c>
      <c r="D596" s="178">
        <f>VLOOKUP(B596,'Planning TB 2024'!$B$14:$Q$888,16,FALSE)</f>
        <v>0</v>
      </c>
      <c r="E596" s="178" t="e">
        <f>VLOOKUP(B596,'Planning TB 2025'!$B$14:$Q$574,16,FALSE)</f>
        <v>#N/A</v>
      </c>
      <c r="F596" s="191" t="e">
        <f t="shared" si="19"/>
        <v>#N/A</v>
      </c>
      <c r="G596" s="206" t="e">
        <f t="shared" si="20"/>
        <v>#N/A</v>
      </c>
    </row>
    <row r="597" spans="1:7" hidden="1" x14ac:dyDescent="0.3">
      <c r="A597" s="154" t="s">
        <v>162</v>
      </c>
      <c r="B597" s="154" t="s">
        <v>2771</v>
      </c>
      <c r="C597" s="154" t="s">
        <v>2772</v>
      </c>
      <c r="D597" s="178">
        <f>VLOOKUP(B597,'Planning TB 2024'!$B$14:$Q$888,16,FALSE)</f>
        <v>6119579.1349406</v>
      </c>
      <c r="E597" s="178">
        <f>VLOOKUP(B597,'Planning TB 2025'!$B$14:$Q$574,16,FALSE)</f>
        <v>6761472.8588750996</v>
      </c>
      <c r="F597" s="191">
        <f t="shared" si="19"/>
        <v>641893.72393449955</v>
      </c>
      <c r="G597" s="206">
        <f t="shared" si="20"/>
        <v>0.10489180869800618</v>
      </c>
    </row>
    <row r="598" spans="1:7" hidden="1" x14ac:dyDescent="0.3">
      <c r="A598" s="154" t="s">
        <v>162</v>
      </c>
      <c r="B598" s="154" t="s">
        <v>2773</v>
      </c>
      <c r="C598" s="154" t="s">
        <v>2774</v>
      </c>
      <c r="D598" s="178">
        <f>VLOOKUP(B598,'Planning TB 2024'!$B$14:$Q$888,16,FALSE)</f>
        <v>0</v>
      </c>
      <c r="E598" s="178" t="e">
        <f>VLOOKUP(B598,'Planning TB 2025'!$B$14:$Q$574,16,FALSE)</f>
        <v>#N/A</v>
      </c>
      <c r="F598" s="191" t="e">
        <f t="shared" si="19"/>
        <v>#N/A</v>
      </c>
      <c r="G598" s="206" t="e">
        <f t="shared" si="20"/>
        <v>#N/A</v>
      </c>
    </row>
    <row r="599" spans="1:7" hidden="1" x14ac:dyDescent="0.3">
      <c r="A599" s="154" t="s">
        <v>162</v>
      </c>
      <c r="B599" s="154" t="s">
        <v>2775</v>
      </c>
      <c r="C599" s="154" t="s">
        <v>2776</v>
      </c>
      <c r="D599" s="178">
        <f>VLOOKUP(B599,'Planning TB 2024'!$B$14:$Q$888,16,FALSE)</f>
        <v>0</v>
      </c>
      <c r="E599" s="178" t="e">
        <f>VLOOKUP(B599,'Planning TB 2025'!$B$14:$Q$574,16,FALSE)</f>
        <v>#N/A</v>
      </c>
      <c r="F599" s="191" t="e">
        <f t="shared" si="19"/>
        <v>#N/A</v>
      </c>
      <c r="G599" s="206" t="e">
        <f t="shared" si="20"/>
        <v>#N/A</v>
      </c>
    </row>
    <row r="600" spans="1:7" hidden="1" x14ac:dyDescent="0.3">
      <c r="A600" s="154" t="s">
        <v>162</v>
      </c>
      <c r="B600" s="154" t="s">
        <v>2777</v>
      </c>
      <c r="C600" s="154" t="s">
        <v>2778</v>
      </c>
      <c r="D600" s="178">
        <f>VLOOKUP(B600,'Planning TB 2024'!$B$14:$Q$888,16,FALSE)</f>
        <v>0</v>
      </c>
      <c r="E600" s="178" t="e">
        <f>VLOOKUP(B600,'Planning TB 2025'!$B$14:$Q$574,16,FALSE)</f>
        <v>#N/A</v>
      </c>
      <c r="F600" s="191" t="e">
        <f t="shared" si="19"/>
        <v>#N/A</v>
      </c>
      <c r="G600" s="206" t="e">
        <f t="shared" si="20"/>
        <v>#N/A</v>
      </c>
    </row>
    <row r="601" spans="1:7" hidden="1" x14ac:dyDescent="0.3">
      <c r="A601" s="154" t="s">
        <v>162</v>
      </c>
      <c r="B601" s="154" t="s">
        <v>2779</v>
      </c>
      <c r="C601" s="154" t="s">
        <v>2780</v>
      </c>
      <c r="D601" s="178">
        <f>VLOOKUP(B601,'Planning TB 2024'!$B$14:$Q$888,16,FALSE)</f>
        <v>0</v>
      </c>
      <c r="E601" s="178" t="e">
        <f>VLOOKUP(B601,'Planning TB 2025'!$B$14:$Q$574,16,FALSE)</f>
        <v>#N/A</v>
      </c>
      <c r="F601" s="191" t="e">
        <f t="shared" si="19"/>
        <v>#N/A</v>
      </c>
      <c r="G601" s="206" t="e">
        <f t="shared" si="20"/>
        <v>#N/A</v>
      </c>
    </row>
    <row r="602" spans="1:7" hidden="1" x14ac:dyDescent="0.3">
      <c r="A602" s="154" t="s">
        <v>162</v>
      </c>
      <c r="B602" s="154" t="s">
        <v>2781</v>
      </c>
      <c r="C602" s="154" t="s">
        <v>2782</v>
      </c>
      <c r="D602" s="178">
        <f>VLOOKUP(B602,'Planning TB 2024'!$B$14:$Q$888,16,FALSE)</f>
        <v>-6300881.2768134009</v>
      </c>
      <c r="E602" s="178">
        <f>VLOOKUP(B602,'Planning TB 2025'!$B$14:$Q$574,16,FALSE)</f>
        <v>-6370290.0188751006</v>
      </c>
      <c r="F602" s="191">
        <f t="shared" si="19"/>
        <v>-69408.742061699741</v>
      </c>
      <c r="G602" s="206">
        <f t="shared" si="20"/>
        <v>1.1015719708466308E-2</v>
      </c>
    </row>
    <row r="603" spans="1:7" hidden="1" x14ac:dyDescent="0.3">
      <c r="A603" s="154" t="s">
        <v>162</v>
      </c>
      <c r="B603" s="154" t="s">
        <v>2783</v>
      </c>
      <c r="C603" s="154" t="s">
        <v>2784</v>
      </c>
      <c r="D603" s="178">
        <f>VLOOKUP(B603,'Planning TB 2024'!$B$14:$Q$888,16,FALSE)</f>
        <v>0</v>
      </c>
      <c r="E603" s="178" t="e">
        <f>VLOOKUP(B603,'Planning TB 2025'!$B$14:$Q$574,16,FALSE)</f>
        <v>#N/A</v>
      </c>
      <c r="F603" s="191" t="e">
        <f t="shared" si="19"/>
        <v>#N/A</v>
      </c>
      <c r="G603" s="206" t="e">
        <f t="shared" si="20"/>
        <v>#N/A</v>
      </c>
    </row>
    <row r="604" spans="1:7" hidden="1" x14ac:dyDescent="0.3">
      <c r="A604" s="154" t="s">
        <v>162</v>
      </c>
      <c r="B604" s="154" t="s">
        <v>2785</v>
      </c>
      <c r="C604" s="154" t="s">
        <v>2786</v>
      </c>
      <c r="D604" s="178">
        <f>VLOOKUP(B604,'Planning TB 2024'!$B$14:$Q$888,16,FALSE)</f>
        <v>0</v>
      </c>
      <c r="E604" s="178" t="e">
        <f>VLOOKUP(B604,'Planning TB 2025'!$B$14:$Q$574,16,FALSE)</f>
        <v>#N/A</v>
      </c>
      <c r="F604" s="191" t="e">
        <f t="shared" si="19"/>
        <v>#N/A</v>
      </c>
      <c r="G604" s="206" t="e">
        <f t="shared" si="20"/>
        <v>#N/A</v>
      </c>
    </row>
    <row r="605" spans="1:7" hidden="1" x14ac:dyDescent="0.3">
      <c r="A605" s="154" t="s">
        <v>162</v>
      </c>
      <c r="B605" s="154" t="s">
        <v>2787</v>
      </c>
      <c r="C605" s="154" t="s">
        <v>2788</v>
      </c>
      <c r="D605" s="178">
        <f>VLOOKUP(B605,'Planning TB 2024'!$B$14:$Q$888,16,FALSE)</f>
        <v>0</v>
      </c>
      <c r="E605" s="178" t="e">
        <f>VLOOKUP(B605,'Planning TB 2025'!$B$14:$Q$574,16,FALSE)</f>
        <v>#N/A</v>
      </c>
      <c r="F605" s="191" t="e">
        <f t="shared" si="19"/>
        <v>#N/A</v>
      </c>
      <c r="G605" s="206" t="e">
        <f t="shared" si="20"/>
        <v>#N/A</v>
      </c>
    </row>
    <row r="606" spans="1:7" hidden="1" x14ac:dyDescent="0.3">
      <c r="A606" s="154" t="s">
        <v>162</v>
      </c>
      <c r="B606" s="154" t="s">
        <v>2789</v>
      </c>
      <c r="C606" s="154" t="s">
        <v>2790</v>
      </c>
      <c r="D606" s="178">
        <f>VLOOKUP(B606,'Planning TB 2024'!$B$14:$Q$888,16,FALSE)</f>
        <v>0</v>
      </c>
      <c r="E606" s="178" t="e">
        <f>VLOOKUP(B606,'Planning TB 2025'!$B$14:$Q$574,16,FALSE)</f>
        <v>#N/A</v>
      </c>
      <c r="F606" s="191" t="e">
        <f t="shared" si="19"/>
        <v>#N/A</v>
      </c>
      <c r="G606" s="206" t="e">
        <f t="shared" si="20"/>
        <v>#N/A</v>
      </c>
    </row>
    <row r="607" spans="1:7" hidden="1" x14ac:dyDescent="0.3">
      <c r="A607" s="154" t="s">
        <v>162</v>
      </c>
      <c r="B607" s="154" t="s">
        <v>2791</v>
      </c>
      <c r="C607" s="154" t="s">
        <v>2792</v>
      </c>
      <c r="D607" s="178">
        <f>VLOOKUP(B607,'Planning TB 2024'!$B$14:$Q$888,16,FALSE)</f>
        <v>0</v>
      </c>
      <c r="E607" s="178" t="e">
        <f>VLOOKUP(B607,'Planning TB 2025'!$B$14:$Q$574,16,FALSE)</f>
        <v>#N/A</v>
      </c>
      <c r="F607" s="191" t="e">
        <f t="shared" si="19"/>
        <v>#N/A</v>
      </c>
      <c r="G607" s="206" t="e">
        <f t="shared" si="20"/>
        <v>#N/A</v>
      </c>
    </row>
    <row r="608" spans="1:7" hidden="1" x14ac:dyDescent="0.3">
      <c r="A608" s="154" t="s">
        <v>162</v>
      </c>
      <c r="B608" s="154" t="s">
        <v>2793</v>
      </c>
      <c r="C608" s="154" t="s">
        <v>2794</v>
      </c>
      <c r="D608" s="178">
        <f>VLOOKUP(B608,'Planning TB 2024'!$B$14:$Q$888,16,FALSE)</f>
        <v>0</v>
      </c>
      <c r="E608" s="178" t="e">
        <f>VLOOKUP(B608,'Planning TB 2025'!$B$14:$Q$574,16,FALSE)</f>
        <v>#N/A</v>
      </c>
      <c r="F608" s="191" t="e">
        <f t="shared" si="19"/>
        <v>#N/A</v>
      </c>
      <c r="G608" s="206" t="e">
        <f t="shared" si="20"/>
        <v>#N/A</v>
      </c>
    </row>
    <row r="609" spans="1:7" hidden="1" x14ac:dyDescent="0.3">
      <c r="A609" s="154" t="s">
        <v>162</v>
      </c>
      <c r="B609" s="154" t="s">
        <v>2795</v>
      </c>
      <c r="C609" s="154" t="s">
        <v>2796</v>
      </c>
      <c r="D609" s="178">
        <f>VLOOKUP(B609,'Planning TB 2024'!$B$14:$Q$888,16,FALSE)</f>
        <v>0</v>
      </c>
      <c r="E609" s="178" t="e">
        <f>VLOOKUP(B609,'Planning TB 2025'!$B$14:$Q$574,16,FALSE)</f>
        <v>#N/A</v>
      </c>
      <c r="F609" s="191" t="e">
        <f t="shared" si="19"/>
        <v>#N/A</v>
      </c>
      <c r="G609" s="206" t="e">
        <f t="shared" si="20"/>
        <v>#N/A</v>
      </c>
    </row>
    <row r="610" spans="1:7" hidden="1" x14ac:dyDescent="0.3">
      <c r="A610" s="154" t="s">
        <v>162</v>
      </c>
      <c r="B610" s="154" t="s">
        <v>2797</v>
      </c>
      <c r="C610" s="154" t="s">
        <v>2798</v>
      </c>
      <c r="D610" s="178">
        <f>VLOOKUP(B610,'Planning TB 2024'!$B$14:$Q$888,16,FALSE)</f>
        <v>30760259.759999998</v>
      </c>
      <c r="E610" s="178">
        <f>VLOOKUP(B610,'Planning TB 2025'!$B$14:$Q$574,16,FALSE)</f>
        <v>35354521.160000004</v>
      </c>
      <c r="F610" s="191">
        <f t="shared" si="19"/>
        <v>4594261.400000006</v>
      </c>
      <c r="G610" s="206">
        <f t="shared" si="20"/>
        <v>0.14935704171049582</v>
      </c>
    </row>
    <row r="611" spans="1:7" hidden="1" x14ac:dyDescent="0.3">
      <c r="A611" s="154" t="s">
        <v>162</v>
      </c>
      <c r="B611" s="154" t="s">
        <v>2799</v>
      </c>
      <c r="C611" s="154" t="s">
        <v>2800</v>
      </c>
      <c r="D611" s="178">
        <f>VLOOKUP(B611,'Planning TB 2024'!$B$14:$Q$888,16,FALSE)</f>
        <v>0</v>
      </c>
      <c r="E611" s="178" t="e">
        <f>VLOOKUP(B611,'Planning TB 2025'!$B$14:$Q$574,16,FALSE)</f>
        <v>#N/A</v>
      </c>
      <c r="F611" s="191" t="e">
        <f t="shared" si="19"/>
        <v>#N/A</v>
      </c>
      <c r="G611" s="206" t="e">
        <f t="shared" si="20"/>
        <v>#N/A</v>
      </c>
    </row>
    <row r="612" spans="1:7" hidden="1" x14ac:dyDescent="0.3">
      <c r="A612" s="154" t="s">
        <v>162</v>
      </c>
      <c r="B612" s="154" t="s">
        <v>2801</v>
      </c>
      <c r="C612" s="154" t="s">
        <v>2802</v>
      </c>
      <c r="D612" s="178">
        <f>VLOOKUP(B612,'Planning TB 2024'!$B$14:$Q$888,16,FALSE)</f>
        <v>0</v>
      </c>
      <c r="E612" s="178" t="e">
        <f>VLOOKUP(B612,'Planning TB 2025'!$B$14:$Q$574,16,FALSE)</f>
        <v>#N/A</v>
      </c>
      <c r="F612" s="191" t="e">
        <f t="shared" si="19"/>
        <v>#N/A</v>
      </c>
      <c r="G612" s="206" t="e">
        <f t="shared" si="20"/>
        <v>#N/A</v>
      </c>
    </row>
    <row r="613" spans="1:7" hidden="1" x14ac:dyDescent="0.3">
      <c r="A613" s="154" t="s">
        <v>162</v>
      </c>
      <c r="B613" s="154" t="s">
        <v>2803</v>
      </c>
      <c r="C613" s="154" t="s">
        <v>2804</v>
      </c>
      <c r="D613" s="178">
        <f>VLOOKUP(B613,'Planning TB 2024'!$B$14:$Q$888,16,FALSE)</f>
        <v>0</v>
      </c>
      <c r="E613" s="178" t="e">
        <f>VLOOKUP(B613,'Planning TB 2025'!$B$14:$Q$574,16,FALSE)</f>
        <v>#N/A</v>
      </c>
      <c r="F613" s="191" t="e">
        <f t="shared" si="19"/>
        <v>#N/A</v>
      </c>
      <c r="G613" s="206" t="e">
        <f t="shared" si="20"/>
        <v>#N/A</v>
      </c>
    </row>
    <row r="614" spans="1:7" hidden="1" x14ac:dyDescent="0.3">
      <c r="A614" s="154" t="s">
        <v>162</v>
      </c>
      <c r="B614" s="154" t="s">
        <v>2805</v>
      </c>
      <c r="C614" s="154" t="s">
        <v>2806</v>
      </c>
      <c r="D614" s="178">
        <f>VLOOKUP(B614,'Planning TB 2024'!$B$14:$Q$888,16,FALSE)</f>
        <v>0</v>
      </c>
      <c r="E614" s="178" t="e">
        <f>VLOOKUP(B614,'Planning TB 2025'!$B$14:$Q$574,16,FALSE)</f>
        <v>#N/A</v>
      </c>
      <c r="F614" s="191" t="e">
        <f t="shared" si="19"/>
        <v>#N/A</v>
      </c>
      <c r="G614" s="206" t="e">
        <f t="shared" si="20"/>
        <v>#N/A</v>
      </c>
    </row>
    <row r="615" spans="1:7" hidden="1" x14ac:dyDescent="0.3">
      <c r="A615" s="154" t="s">
        <v>162</v>
      </c>
      <c r="B615" s="154" t="s">
        <v>2807</v>
      </c>
      <c r="C615" s="154" t="s">
        <v>2808</v>
      </c>
      <c r="D615" s="178">
        <f>VLOOKUP(B615,'Planning TB 2024'!$B$14:$Q$888,16,FALSE)</f>
        <v>0</v>
      </c>
      <c r="E615" s="178" t="e">
        <f>VLOOKUP(B615,'Planning TB 2025'!$B$14:$Q$574,16,FALSE)</f>
        <v>#N/A</v>
      </c>
      <c r="F615" s="191" t="e">
        <f t="shared" si="19"/>
        <v>#N/A</v>
      </c>
      <c r="G615" s="206" t="e">
        <f t="shared" si="20"/>
        <v>#N/A</v>
      </c>
    </row>
    <row r="616" spans="1:7" hidden="1" x14ac:dyDescent="0.3">
      <c r="A616" s="154" t="s">
        <v>162</v>
      </c>
      <c r="B616" s="154" t="s">
        <v>2809</v>
      </c>
      <c r="C616" s="154" t="s">
        <v>2810</v>
      </c>
      <c r="D616" s="178">
        <f>VLOOKUP(B616,'Planning TB 2024'!$B$14:$Q$888,16,FALSE)</f>
        <v>0</v>
      </c>
      <c r="E616" s="178" t="e">
        <f>VLOOKUP(B616,'Planning TB 2025'!$B$14:$Q$574,16,FALSE)</f>
        <v>#N/A</v>
      </c>
      <c r="F616" s="191" t="e">
        <f t="shared" si="19"/>
        <v>#N/A</v>
      </c>
      <c r="G616" s="206" t="e">
        <f t="shared" si="20"/>
        <v>#N/A</v>
      </c>
    </row>
    <row r="617" spans="1:7" hidden="1" x14ac:dyDescent="0.3">
      <c r="A617" s="154" t="s">
        <v>162</v>
      </c>
      <c r="B617" s="154" t="s">
        <v>2811</v>
      </c>
      <c r="C617" s="154" t="s">
        <v>2812</v>
      </c>
      <c r="D617" s="178">
        <f>VLOOKUP(B617,'Planning TB 2024'!$B$14:$Q$888,16,FALSE)</f>
        <v>0</v>
      </c>
      <c r="E617" s="178" t="e">
        <f>VLOOKUP(B617,'Planning TB 2025'!$B$14:$Q$574,16,FALSE)</f>
        <v>#N/A</v>
      </c>
      <c r="F617" s="191" t="e">
        <f t="shared" si="19"/>
        <v>#N/A</v>
      </c>
      <c r="G617" s="206" t="e">
        <f t="shared" si="20"/>
        <v>#N/A</v>
      </c>
    </row>
    <row r="618" spans="1:7" hidden="1" x14ac:dyDescent="0.3">
      <c r="A618" s="154" t="s">
        <v>162</v>
      </c>
      <c r="B618" s="154" t="s">
        <v>2813</v>
      </c>
      <c r="C618" s="154" t="s">
        <v>2814</v>
      </c>
      <c r="D618" s="178">
        <f>VLOOKUP(B618,'Planning TB 2024'!$B$14:$Q$888,16,FALSE)</f>
        <v>0</v>
      </c>
      <c r="E618" s="178" t="e">
        <f>VLOOKUP(B618,'Planning TB 2025'!$B$14:$Q$574,16,FALSE)</f>
        <v>#N/A</v>
      </c>
      <c r="F618" s="191" t="e">
        <f t="shared" si="19"/>
        <v>#N/A</v>
      </c>
      <c r="G618" s="206" t="e">
        <f t="shared" si="20"/>
        <v>#N/A</v>
      </c>
    </row>
    <row r="619" spans="1:7" hidden="1" x14ac:dyDescent="0.3">
      <c r="A619" s="154" t="s">
        <v>162</v>
      </c>
      <c r="B619" s="154" t="s">
        <v>2815</v>
      </c>
      <c r="C619" s="154" t="s">
        <v>503</v>
      </c>
      <c r="D619" s="178">
        <f>VLOOKUP(B619,'Planning TB 2024'!$B$14:$Q$888,16,FALSE)</f>
        <v>0</v>
      </c>
      <c r="E619" s="178" t="e">
        <f>VLOOKUP(B619,'Planning TB 2025'!$B$14:$Q$574,16,FALSE)</f>
        <v>#N/A</v>
      </c>
      <c r="F619" s="191" t="e">
        <f t="shared" si="19"/>
        <v>#N/A</v>
      </c>
      <c r="G619" s="206" t="e">
        <f t="shared" si="20"/>
        <v>#N/A</v>
      </c>
    </row>
    <row r="620" spans="1:7" hidden="1" x14ac:dyDescent="0.3">
      <c r="A620" s="154" t="s">
        <v>162</v>
      </c>
      <c r="B620" s="154" t="s">
        <v>2816</v>
      </c>
      <c r="C620" s="154" t="s">
        <v>2817</v>
      </c>
      <c r="D620" s="178">
        <f>VLOOKUP(B620,'Planning TB 2024'!$B$14:$Q$888,16,FALSE)</f>
        <v>0</v>
      </c>
      <c r="E620" s="178" t="e">
        <f>VLOOKUP(B620,'Planning TB 2025'!$B$14:$Q$574,16,FALSE)</f>
        <v>#N/A</v>
      </c>
      <c r="F620" s="191" t="e">
        <f t="shared" si="19"/>
        <v>#N/A</v>
      </c>
      <c r="G620" s="206" t="e">
        <f t="shared" si="20"/>
        <v>#N/A</v>
      </c>
    </row>
    <row r="621" spans="1:7" hidden="1" x14ac:dyDescent="0.3">
      <c r="A621" s="154" t="s">
        <v>162</v>
      </c>
      <c r="B621" s="154" t="s">
        <v>2818</v>
      </c>
      <c r="C621" s="154" t="s">
        <v>2819</v>
      </c>
      <c r="D621" s="178">
        <f>VLOOKUP(B621,'Planning TB 2024'!$B$14:$Q$888,16,FALSE)</f>
        <v>0</v>
      </c>
      <c r="E621" s="178" t="e">
        <f>VLOOKUP(B621,'Planning TB 2025'!$B$14:$Q$574,16,FALSE)</f>
        <v>#N/A</v>
      </c>
      <c r="F621" s="191" t="e">
        <f t="shared" si="19"/>
        <v>#N/A</v>
      </c>
      <c r="G621" s="206" t="e">
        <f t="shared" si="20"/>
        <v>#N/A</v>
      </c>
    </row>
    <row r="622" spans="1:7" hidden="1" x14ac:dyDescent="0.3">
      <c r="A622" s="154" t="s">
        <v>162</v>
      </c>
      <c r="B622" s="154" t="s">
        <v>2820</v>
      </c>
      <c r="C622" s="154" t="s">
        <v>2821</v>
      </c>
      <c r="D622" s="178">
        <f>VLOOKUP(B622,'Planning TB 2024'!$B$14:$Q$888,16,FALSE)</f>
        <v>0</v>
      </c>
      <c r="E622" s="178" t="e">
        <f>VLOOKUP(B622,'Planning TB 2025'!$B$14:$Q$574,16,FALSE)</f>
        <v>#N/A</v>
      </c>
      <c r="F622" s="191" t="e">
        <f t="shared" si="19"/>
        <v>#N/A</v>
      </c>
      <c r="G622" s="206" t="e">
        <f t="shared" si="20"/>
        <v>#N/A</v>
      </c>
    </row>
    <row r="623" spans="1:7" hidden="1" x14ac:dyDescent="0.3">
      <c r="A623" s="154" t="s">
        <v>162</v>
      </c>
      <c r="B623" s="154" t="s">
        <v>2822</v>
      </c>
      <c r="C623" s="154" t="s">
        <v>2823</v>
      </c>
      <c r="D623" s="178">
        <f>VLOOKUP(B623,'Planning TB 2024'!$B$14:$Q$888,16,FALSE)</f>
        <v>0</v>
      </c>
      <c r="E623" s="178" t="e">
        <f>VLOOKUP(B623,'Planning TB 2025'!$B$14:$Q$574,16,FALSE)</f>
        <v>#N/A</v>
      </c>
      <c r="F623" s="191" t="e">
        <f t="shared" si="19"/>
        <v>#N/A</v>
      </c>
      <c r="G623" s="206" t="e">
        <f t="shared" si="20"/>
        <v>#N/A</v>
      </c>
    </row>
    <row r="624" spans="1:7" hidden="1" x14ac:dyDescent="0.3">
      <c r="A624" s="154" t="s">
        <v>162</v>
      </c>
      <c r="B624" s="154" t="s">
        <v>2824</v>
      </c>
      <c r="C624" s="154" t="s">
        <v>2825</v>
      </c>
      <c r="D624" s="178">
        <f>VLOOKUP(B624,'Planning TB 2024'!$B$14:$Q$888,16,FALSE)</f>
        <v>-10024216.08</v>
      </c>
      <c r="E624" s="178">
        <f>VLOOKUP(B624,'Planning TB 2025'!$B$14:$Q$574,16,FALSE)</f>
        <v>-11521403.310000001</v>
      </c>
      <c r="F624" s="191">
        <f t="shared" si="19"/>
        <v>-1497187.2300000004</v>
      </c>
      <c r="G624" s="206">
        <f t="shared" si="20"/>
        <v>0.14935703879998569</v>
      </c>
    </row>
    <row r="625" spans="1:7" hidden="1" x14ac:dyDescent="0.3">
      <c r="A625" s="154" t="s">
        <v>162</v>
      </c>
      <c r="B625" s="154" t="s">
        <v>2826</v>
      </c>
      <c r="C625" s="154" t="s">
        <v>2827</v>
      </c>
      <c r="D625" s="178">
        <f>VLOOKUP(B625,'Planning TB 2024'!$B$14:$Q$888,16,FALSE)</f>
        <v>0</v>
      </c>
      <c r="E625" s="178" t="e">
        <f>VLOOKUP(B625,'Planning TB 2025'!$B$14:$Q$574,16,FALSE)</f>
        <v>#N/A</v>
      </c>
      <c r="F625" s="191" t="e">
        <f t="shared" si="19"/>
        <v>#N/A</v>
      </c>
      <c r="G625" s="206" t="e">
        <f t="shared" si="20"/>
        <v>#N/A</v>
      </c>
    </row>
    <row r="626" spans="1:7" hidden="1" x14ac:dyDescent="0.3">
      <c r="A626" s="154" t="s">
        <v>162</v>
      </c>
      <c r="B626" s="154" t="s">
        <v>2828</v>
      </c>
      <c r="C626" s="154" t="s">
        <v>2829</v>
      </c>
      <c r="D626" s="178">
        <f>VLOOKUP(B626,'Planning TB 2024'!$B$14:$Q$888,16,FALSE)</f>
        <v>0</v>
      </c>
      <c r="E626" s="178" t="e">
        <f>VLOOKUP(B626,'Planning TB 2025'!$B$14:$Q$574,16,FALSE)</f>
        <v>#N/A</v>
      </c>
      <c r="F626" s="191" t="e">
        <f t="shared" si="19"/>
        <v>#N/A</v>
      </c>
      <c r="G626" s="206" t="e">
        <f t="shared" si="20"/>
        <v>#N/A</v>
      </c>
    </row>
    <row r="627" spans="1:7" hidden="1" x14ac:dyDescent="0.3">
      <c r="A627" s="154" t="s">
        <v>162</v>
      </c>
      <c r="B627" s="154" t="s">
        <v>2830</v>
      </c>
      <c r="C627" s="154" t="s">
        <v>2831</v>
      </c>
      <c r="D627" s="178">
        <f>VLOOKUP(B627,'Planning TB 2024'!$B$14:$Q$888,16,FALSE)</f>
        <v>0</v>
      </c>
      <c r="E627" s="178" t="e">
        <f>VLOOKUP(B627,'Planning TB 2025'!$B$14:$Q$574,16,FALSE)</f>
        <v>#N/A</v>
      </c>
      <c r="F627" s="191" t="e">
        <f t="shared" si="19"/>
        <v>#N/A</v>
      </c>
      <c r="G627" s="206" t="e">
        <f t="shared" si="20"/>
        <v>#N/A</v>
      </c>
    </row>
    <row r="628" spans="1:7" hidden="1" x14ac:dyDescent="0.3">
      <c r="A628" s="154" t="s">
        <v>162</v>
      </c>
      <c r="B628" s="154" t="s">
        <v>2832</v>
      </c>
      <c r="C628" s="154" t="s">
        <v>2833</v>
      </c>
      <c r="D628" s="178">
        <f>VLOOKUP(B628,'Planning TB 2024'!$B$14:$Q$888,16,FALSE)</f>
        <v>0</v>
      </c>
      <c r="E628" s="178" t="e">
        <f>VLOOKUP(B628,'Planning TB 2025'!$B$14:$Q$574,16,FALSE)</f>
        <v>#N/A</v>
      </c>
      <c r="F628" s="191" t="e">
        <f t="shared" si="19"/>
        <v>#N/A</v>
      </c>
      <c r="G628" s="206" t="e">
        <f t="shared" si="20"/>
        <v>#N/A</v>
      </c>
    </row>
    <row r="629" spans="1:7" hidden="1" x14ac:dyDescent="0.3">
      <c r="A629" s="154" t="s">
        <v>162</v>
      </c>
      <c r="B629" s="154" t="s">
        <v>2834</v>
      </c>
      <c r="C629" s="154" t="s">
        <v>2835</v>
      </c>
      <c r="D629" s="178">
        <f>VLOOKUP(B629,'Planning TB 2024'!$B$14:$Q$888,16,FALSE)</f>
        <v>14253349.280041199</v>
      </c>
      <c r="E629" s="178">
        <f>VLOOKUP(B629,'Planning TB 2025'!$B$14:$Q$574,16,FALSE)</f>
        <v>17346485.774806701</v>
      </c>
      <c r="F629" s="191">
        <f t="shared" si="19"/>
        <v>3093136.4947655015</v>
      </c>
      <c r="G629" s="206">
        <f t="shared" si="20"/>
        <v>0.21701120445401453</v>
      </c>
    </row>
    <row r="630" spans="1:7" hidden="1" x14ac:dyDescent="0.3">
      <c r="A630" s="154" t="s">
        <v>162</v>
      </c>
      <c r="B630" s="154" t="s">
        <v>2836</v>
      </c>
      <c r="C630" s="154" t="s">
        <v>2837</v>
      </c>
      <c r="D630" s="178">
        <f>VLOOKUP(B630,'Planning TB 2024'!$B$14:$Q$888,16,FALSE)</f>
        <v>0</v>
      </c>
      <c r="E630" s="178" t="e">
        <f>VLOOKUP(B630,'Planning TB 2025'!$B$14:$Q$574,16,FALSE)</f>
        <v>#N/A</v>
      </c>
      <c r="F630" s="191" t="e">
        <f t="shared" si="19"/>
        <v>#N/A</v>
      </c>
      <c r="G630" s="206" t="e">
        <f t="shared" si="20"/>
        <v>#N/A</v>
      </c>
    </row>
    <row r="631" spans="1:7" hidden="1" x14ac:dyDescent="0.3">
      <c r="A631" s="154" t="s">
        <v>162</v>
      </c>
      <c r="B631" s="154" t="s">
        <v>2838</v>
      </c>
      <c r="C631" s="154" t="s">
        <v>2839</v>
      </c>
      <c r="D631" s="178">
        <f>VLOOKUP(B631,'Planning TB 2024'!$B$14:$Q$888,16,FALSE)</f>
        <v>0</v>
      </c>
      <c r="E631" s="178" t="e">
        <f>VLOOKUP(B631,'Planning TB 2025'!$B$14:$Q$574,16,FALSE)</f>
        <v>#N/A</v>
      </c>
      <c r="F631" s="191" t="e">
        <f t="shared" si="19"/>
        <v>#N/A</v>
      </c>
      <c r="G631" s="206" t="e">
        <f t="shared" si="20"/>
        <v>#N/A</v>
      </c>
    </row>
    <row r="632" spans="1:7" hidden="1" x14ac:dyDescent="0.3">
      <c r="A632" s="154" t="s">
        <v>162</v>
      </c>
      <c r="B632" s="154" t="s">
        <v>2840</v>
      </c>
      <c r="C632" s="154" t="s">
        <v>2841</v>
      </c>
      <c r="D632" s="178">
        <f>VLOOKUP(B632,'Planning TB 2024'!$B$14:$Q$888,16,FALSE)</f>
        <v>0</v>
      </c>
      <c r="E632" s="178" t="e">
        <f>VLOOKUP(B632,'Planning TB 2025'!$B$14:$Q$574,16,FALSE)</f>
        <v>#N/A</v>
      </c>
      <c r="F632" s="191" t="e">
        <f t="shared" si="19"/>
        <v>#N/A</v>
      </c>
      <c r="G632" s="206" t="e">
        <f t="shared" si="20"/>
        <v>#N/A</v>
      </c>
    </row>
    <row r="633" spans="1:7" hidden="1" x14ac:dyDescent="0.3">
      <c r="A633" s="154" t="s">
        <v>162</v>
      </c>
      <c r="B633" s="154" t="s">
        <v>2842</v>
      </c>
      <c r="C633" s="154" t="s">
        <v>2843</v>
      </c>
      <c r="D633" s="178">
        <f>VLOOKUP(B633,'Planning TB 2024'!$B$14:$Q$888,16,FALSE)</f>
        <v>0</v>
      </c>
      <c r="E633" s="178" t="e">
        <f>VLOOKUP(B633,'Planning TB 2025'!$B$14:$Q$574,16,FALSE)</f>
        <v>#N/A</v>
      </c>
      <c r="F633" s="191" t="e">
        <f t="shared" si="19"/>
        <v>#N/A</v>
      </c>
      <c r="G633" s="206" t="e">
        <f t="shared" si="20"/>
        <v>#N/A</v>
      </c>
    </row>
    <row r="634" spans="1:7" hidden="1" x14ac:dyDescent="0.3">
      <c r="A634" s="154" t="s">
        <v>162</v>
      </c>
      <c r="B634" s="154" t="s">
        <v>2844</v>
      </c>
      <c r="C634" s="154" t="s">
        <v>2845</v>
      </c>
      <c r="D634" s="178">
        <f>VLOOKUP(B634,'Planning TB 2024'!$B$14:$Q$888,16,FALSE)</f>
        <v>0</v>
      </c>
      <c r="E634" s="178" t="e">
        <f>VLOOKUP(B634,'Planning TB 2025'!$B$14:$Q$574,16,FALSE)</f>
        <v>#N/A</v>
      </c>
      <c r="F634" s="191" t="e">
        <f t="shared" si="19"/>
        <v>#N/A</v>
      </c>
      <c r="G634" s="206" t="e">
        <f t="shared" si="20"/>
        <v>#N/A</v>
      </c>
    </row>
    <row r="635" spans="1:7" hidden="1" x14ac:dyDescent="0.3">
      <c r="A635" s="154" t="s">
        <v>162</v>
      </c>
      <c r="B635" s="154" t="s">
        <v>2846</v>
      </c>
      <c r="C635" s="154" t="s">
        <v>2847</v>
      </c>
      <c r="D635" s="178">
        <f>VLOOKUP(B635,'Planning TB 2024'!$B$14:$Q$888,16,FALSE)</f>
        <v>0</v>
      </c>
      <c r="E635" s="178" t="e">
        <f>VLOOKUP(B635,'Planning TB 2025'!$B$14:$Q$574,16,FALSE)</f>
        <v>#N/A</v>
      </c>
      <c r="F635" s="191" t="e">
        <f t="shared" si="19"/>
        <v>#N/A</v>
      </c>
      <c r="G635" s="206" t="e">
        <f t="shared" si="20"/>
        <v>#N/A</v>
      </c>
    </row>
    <row r="636" spans="1:7" hidden="1" x14ac:dyDescent="0.3">
      <c r="A636" s="154" t="s">
        <v>162</v>
      </c>
      <c r="B636" s="154" t="s">
        <v>2848</v>
      </c>
      <c r="C636" s="154" t="s">
        <v>2849</v>
      </c>
      <c r="D636" s="178">
        <f>VLOOKUP(B636,'Planning TB 2024'!$B$14:$Q$888,16,FALSE)</f>
        <v>0</v>
      </c>
      <c r="E636" s="178" t="e">
        <f>VLOOKUP(B636,'Planning TB 2025'!$B$14:$Q$574,16,FALSE)</f>
        <v>#N/A</v>
      </c>
      <c r="F636" s="191" t="e">
        <f t="shared" si="19"/>
        <v>#N/A</v>
      </c>
      <c r="G636" s="206" t="e">
        <f t="shared" si="20"/>
        <v>#N/A</v>
      </c>
    </row>
    <row r="637" spans="1:7" hidden="1" x14ac:dyDescent="0.3">
      <c r="A637" s="154" t="s">
        <v>162</v>
      </c>
      <c r="B637" s="154" t="s">
        <v>2850</v>
      </c>
      <c r="C637" s="154" t="s">
        <v>2851</v>
      </c>
      <c r="D637" s="178">
        <f>VLOOKUP(B637,'Planning TB 2024'!$B$14:$Q$888,16,FALSE)</f>
        <v>0</v>
      </c>
      <c r="E637" s="178" t="e">
        <f>VLOOKUP(B637,'Planning TB 2025'!$B$14:$Q$574,16,FALSE)</f>
        <v>#N/A</v>
      </c>
      <c r="F637" s="191" t="e">
        <f t="shared" si="19"/>
        <v>#N/A</v>
      </c>
      <c r="G637" s="206" t="e">
        <f t="shared" si="20"/>
        <v>#N/A</v>
      </c>
    </row>
    <row r="638" spans="1:7" hidden="1" x14ac:dyDescent="0.3">
      <c r="A638" s="154" t="s">
        <v>162</v>
      </c>
      <c r="B638" s="154" t="s">
        <v>2852</v>
      </c>
      <c r="C638" s="154" t="s">
        <v>2853</v>
      </c>
      <c r="D638" s="178">
        <f>VLOOKUP(B638,'Planning TB 2024'!$B$14:$Q$888,16,FALSE)</f>
        <v>0</v>
      </c>
      <c r="E638" s="178" t="e">
        <f>VLOOKUP(B638,'Planning TB 2025'!$B$14:$Q$574,16,FALSE)</f>
        <v>#N/A</v>
      </c>
      <c r="F638" s="191" t="e">
        <f t="shared" si="19"/>
        <v>#N/A</v>
      </c>
      <c r="G638" s="206" t="e">
        <f t="shared" si="20"/>
        <v>#N/A</v>
      </c>
    </row>
    <row r="639" spans="1:7" hidden="1" x14ac:dyDescent="0.3">
      <c r="A639" s="154" t="s">
        <v>162</v>
      </c>
      <c r="B639" s="154" t="s">
        <v>2854</v>
      </c>
      <c r="C639" s="154" t="s">
        <v>2855</v>
      </c>
      <c r="D639" s="178">
        <f>VLOOKUP(B639,'Planning TB 2024'!$B$14:$Q$888,16,FALSE)</f>
        <v>0</v>
      </c>
      <c r="E639" s="178" t="e">
        <f>VLOOKUP(B639,'Planning TB 2025'!$B$14:$Q$574,16,FALSE)</f>
        <v>#N/A</v>
      </c>
      <c r="F639" s="191" t="e">
        <f t="shared" si="19"/>
        <v>#N/A</v>
      </c>
      <c r="G639" s="206" t="e">
        <f t="shared" si="20"/>
        <v>#N/A</v>
      </c>
    </row>
    <row r="640" spans="1:7" hidden="1" x14ac:dyDescent="0.3">
      <c r="A640" s="154" t="s">
        <v>162</v>
      </c>
      <c r="B640" s="154" t="s">
        <v>2856</v>
      </c>
      <c r="C640" s="154" t="s">
        <v>2857</v>
      </c>
      <c r="D640" s="178">
        <f>VLOOKUP(B640,'Planning TB 2024'!$B$14:$Q$888,16,FALSE)</f>
        <v>0</v>
      </c>
      <c r="E640" s="178" t="e">
        <f>VLOOKUP(B640,'Planning TB 2025'!$B$14:$Q$574,16,FALSE)</f>
        <v>#N/A</v>
      </c>
      <c r="F640" s="191" t="e">
        <f t="shared" si="19"/>
        <v>#N/A</v>
      </c>
      <c r="G640" s="206" t="e">
        <f t="shared" si="20"/>
        <v>#N/A</v>
      </c>
    </row>
    <row r="641" spans="1:7" hidden="1" x14ac:dyDescent="0.3">
      <c r="A641" s="154" t="s">
        <v>162</v>
      </c>
      <c r="B641" s="154" t="s">
        <v>2858</v>
      </c>
      <c r="C641" s="154" t="s">
        <v>2859</v>
      </c>
      <c r="D641" s="178">
        <f>VLOOKUP(B641,'Planning TB 2024'!$B$14:$Q$888,16,FALSE)</f>
        <v>4430547</v>
      </c>
      <c r="E641" s="178">
        <f>VLOOKUP(B641,'Planning TB 2025'!$B$14:$Q$574,16,FALSE)</f>
        <v>4067132.9000000004</v>
      </c>
      <c r="F641" s="191">
        <f t="shared" si="19"/>
        <v>-363414.09999999963</v>
      </c>
      <c r="G641" s="206">
        <f t="shared" si="20"/>
        <v>-8.2024657452003019E-2</v>
      </c>
    </row>
    <row r="642" spans="1:7" hidden="1" x14ac:dyDescent="0.3">
      <c r="A642" s="154" t="s">
        <v>162</v>
      </c>
      <c r="B642" s="154" t="s">
        <v>2860</v>
      </c>
      <c r="C642" s="154" t="s">
        <v>2861</v>
      </c>
      <c r="D642" s="178">
        <f>VLOOKUP(B642,'Planning TB 2024'!$B$14:$Q$888,16,FALSE)</f>
        <v>50389623</v>
      </c>
      <c r="E642" s="178">
        <f>VLOOKUP(B642,'Planning TB 2025'!$B$14:$Q$574,16,FALSE)</f>
        <v>21098086.32</v>
      </c>
      <c r="F642" s="191">
        <f t="shared" si="19"/>
        <v>-29291536.68</v>
      </c>
      <c r="G642" s="206">
        <f t="shared" si="20"/>
        <v>-0.58130096905071105</v>
      </c>
    </row>
    <row r="643" spans="1:7" hidden="1" x14ac:dyDescent="0.3">
      <c r="A643" s="154" t="s">
        <v>162</v>
      </c>
      <c r="B643" s="154" t="s">
        <v>2862</v>
      </c>
      <c r="C643" s="154" t="s">
        <v>2863</v>
      </c>
      <c r="D643" s="178">
        <f>VLOOKUP(B643,'Planning TB 2024'!$B$14:$Q$888,16,FALSE)</f>
        <v>1227917</v>
      </c>
      <c r="E643" s="178">
        <f>VLOOKUP(B643,'Planning TB 2025'!$B$14:$Q$574,16,FALSE)</f>
        <v>1127197.33</v>
      </c>
      <c r="F643" s="191">
        <f t="shared" si="19"/>
        <v>-100719.66999999993</v>
      </c>
      <c r="G643" s="206">
        <f t="shared" si="20"/>
        <v>-8.2024819267100244E-2</v>
      </c>
    </row>
    <row r="644" spans="1:7" hidden="1" x14ac:dyDescent="0.3">
      <c r="A644" s="154" t="s">
        <v>162</v>
      </c>
      <c r="B644" s="154" t="s">
        <v>2864</v>
      </c>
      <c r="C644" s="154" t="s">
        <v>2865</v>
      </c>
      <c r="D644" s="178">
        <f>VLOOKUP(B644,'Planning TB 2024'!$B$14:$Q$888,16,FALSE)</f>
        <v>13014010</v>
      </c>
      <c r="E644" s="178">
        <f>VLOOKUP(B644,'Planning TB 2025'!$B$14:$Q$574,16,FALSE)</f>
        <v>6346238.1899999995</v>
      </c>
      <c r="F644" s="191">
        <f t="shared" ref="F644:F707" si="21">E644-D644</f>
        <v>-6667771.8100000005</v>
      </c>
      <c r="G644" s="206">
        <f t="shared" ref="G644:G707" si="22">F644/D644</f>
        <v>-0.51235336456634051</v>
      </c>
    </row>
    <row r="645" spans="1:7" hidden="1" x14ac:dyDescent="0.3">
      <c r="A645" s="154" t="s">
        <v>162</v>
      </c>
      <c r="B645" s="154" t="s">
        <v>2866</v>
      </c>
      <c r="C645" s="154" t="s">
        <v>2867</v>
      </c>
      <c r="D645" s="178">
        <f>VLOOKUP(B645,'Planning TB 2024'!$B$14:$Q$888,16,FALSE)</f>
        <v>94266660</v>
      </c>
      <c r="E645" s="178">
        <f>VLOOKUP(B645,'Planning TB 2025'!$B$14:$Q$574,16,FALSE)</f>
        <v>96470610.900000006</v>
      </c>
      <c r="F645" s="191">
        <f t="shared" si="21"/>
        <v>2203950.900000006</v>
      </c>
      <c r="G645" s="206">
        <f t="shared" si="22"/>
        <v>2.3379961695895516E-2</v>
      </c>
    </row>
    <row r="646" spans="1:7" hidden="1" x14ac:dyDescent="0.3">
      <c r="A646" s="154" t="s">
        <v>162</v>
      </c>
      <c r="B646" s="154" t="s">
        <v>2868</v>
      </c>
      <c r="C646" s="154" t="s">
        <v>2869</v>
      </c>
      <c r="D646" s="178">
        <f>VLOOKUP(B646,'Planning TB 2024'!$B$14:$Q$888,16,FALSE)</f>
        <v>0</v>
      </c>
      <c r="E646" s="178" t="e">
        <f>VLOOKUP(B646,'Planning TB 2025'!$B$14:$Q$574,16,FALSE)</f>
        <v>#N/A</v>
      </c>
      <c r="F646" s="191" t="e">
        <f t="shared" si="21"/>
        <v>#N/A</v>
      </c>
      <c r="G646" s="206" t="e">
        <f t="shared" si="22"/>
        <v>#N/A</v>
      </c>
    </row>
    <row r="647" spans="1:7" hidden="1" x14ac:dyDescent="0.3">
      <c r="A647" s="154" t="s">
        <v>162</v>
      </c>
      <c r="B647" s="154" t="s">
        <v>2870</v>
      </c>
      <c r="C647" s="154" t="s">
        <v>2871</v>
      </c>
      <c r="D647" s="178">
        <f>VLOOKUP(B647,'Planning TB 2024'!$B$14:$Q$888,16,FALSE)</f>
        <v>-114206833</v>
      </c>
      <c r="E647" s="178">
        <f>VLOOKUP(B647,'Planning TB 2025'!$B$14:$Q$574,16,FALSE)</f>
        <v>-142487834.58000001</v>
      </c>
      <c r="F647" s="191">
        <f t="shared" si="21"/>
        <v>-28281001.580000013</v>
      </c>
      <c r="G647" s="206">
        <f t="shared" si="22"/>
        <v>0.24762968061639545</v>
      </c>
    </row>
    <row r="648" spans="1:7" hidden="1" x14ac:dyDescent="0.3">
      <c r="A648" s="154" t="s">
        <v>162</v>
      </c>
      <c r="B648" s="154" t="s">
        <v>2872</v>
      </c>
      <c r="C648" s="154" t="s">
        <v>2873</v>
      </c>
      <c r="D648" s="178">
        <f>VLOOKUP(B648,'Planning TB 2024'!$B$14:$Q$888,16,FALSE)</f>
        <v>0</v>
      </c>
      <c r="E648" s="178" t="e">
        <f>VLOOKUP(B648,'Planning TB 2025'!$B$14:$Q$574,16,FALSE)</f>
        <v>#N/A</v>
      </c>
      <c r="F648" s="191" t="e">
        <f t="shared" si="21"/>
        <v>#N/A</v>
      </c>
      <c r="G648" s="206" t="e">
        <f t="shared" si="22"/>
        <v>#N/A</v>
      </c>
    </row>
    <row r="649" spans="1:7" hidden="1" x14ac:dyDescent="0.3">
      <c r="A649" s="154" t="s">
        <v>162</v>
      </c>
      <c r="B649" s="154" t="s">
        <v>2874</v>
      </c>
      <c r="C649" s="154" t="s">
        <v>2063</v>
      </c>
      <c r="D649" s="178">
        <f>VLOOKUP(B649,'Planning TB 2024'!$B$14:$Q$888,16,FALSE)</f>
        <v>89244</v>
      </c>
      <c r="E649" s="178">
        <f>VLOOKUP(B649,'Planning TB 2025'!$B$14:$Q$574,16,FALSE)</f>
        <v>104451.78</v>
      </c>
      <c r="F649" s="191">
        <f t="shared" si="21"/>
        <v>15207.779999999999</v>
      </c>
      <c r="G649" s="206">
        <f t="shared" si="22"/>
        <v>0.17040675003361569</v>
      </c>
    </row>
    <row r="650" spans="1:7" hidden="1" x14ac:dyDescent="0.3">
      <c r="A650" s="154" t="s">
        <v>162</v>
      </c>
      <c r="B650" s="154" t="s">
        <v>2875</v>
      </c>
      <c r="C650" s="154" t="s">
        <v>2876</v>
      </c>
      <c r="D650" s="178">
        <f>VLOOKUP(B650,'Planning TB 2024'!$B$14:$Q$888,16,FALSE)</f>
        <v>-1622676</v>
      </c>
      <c r="E650" s="178">
        <f>VLOOKUP(B650,'Planning TB 2025'!$B$14:$Q$574,16,FALSE)</f>
        <v>-1899123.24</v>
      </c>
      <c r="F650" s="191">
        <f t="shared" si="21"/>
        <v>-276447.24</v>
      </c>
      <c r="G650" s="206">
        <f t="shared" si="22"/>
        <v>0.17036502665966588</v>
      </c>
    </row>
    <row r="651" spans="1:7" hidden="1" x14ac:dyDescent="0.3">
      <c r="A651" s="154" t="s">
        <v>162</v>
      </c>
      <c r="B651" s="154" t="s">
        <v>2877</v>
      </c>
      <c r="C651" s="154" t="s">
        <v>2878</v>
      </c>
      <c r="D651" s="178">
        <f>VLOOKUP(B651,'Planning TB 2024'!$B$14:$Q$888,16,FALSE)</f>
        <v>26484653</v>
      </c>
      <c r="E651" s="178">
        <f>VLOOKUP(B651,'Planning TB 2025'!$B$14:$Q$574,16,FALSE)</f>
        <v>29321203.899999999</v>
      </c>
      <c r="F651" s="191">
        <f t="shared" si="21"/>
        <v>2836550.8999999985</v>
      </c>
      <c r="G651" s="206">
        <f t="shared" si="22"/>
        <v>0.1071016826235178</v>
      </c>
    </row>
    <row r="652" spans="1:7" hidden="1" x14ac:dyDescent="0.3">
      <c r="A652" s="154" t="s">
        <v>162</v>
      </c>
      <c r="B652" s="154" t="s">
        <v>2879</v>
      </c>
      <c r="C652" s="154" t="s">
        <v>2880</v>
      </c>
      <c r="D652" s="178">
        <f>VLOOKUP(B652,'Planning TB 2024'!$B$14:$Q$888,16,FALSE)</f>
        <v>-13588506</v>
      </c>
      <c r="E652" s="178">
        <f>VLOOKUP(B652,'Planning TB 2025'!$B$14:$Q$574,16,FALSE)</f>
        <v>-8882784.7300000004</v>
      </c>
      <c r="F652" s="191">
        <f t="shared" si="21"/>
        <v>4705721.2699999996</v>
      </c>
      <c r="G652" s="206">
        <f t="shared" si="22"/>
        <v>-0.34630159268428773</v>
      </c>
    </row>
    <row r="653" spans="1:7" hidden="1" x14ac:dyDescent="0.3">
      <c r="A653" s="154" t="s">
        <v>162</v>
      </c>
      <c r="B653" s="154" t="s">
        <v>2881</v>
      </c>
      <c r="C653" s="154" t="s">
        <v>2882</v>
      </c>
      <c r="D653" s="178">
        <f>VLOOKUP(B653,'Planning TB 2024'!$B$14:$Q$888,16,FALSE)</f>
        <v>0</v>
      </c>
      <c r="E653" s="178" t="e">
        <f>VLOOKUP(B653,'Planning TB 2025'!$B$14:$Q$574,16,FALSE)</f>
        <v>#N/A</v>
      </c>
      <c r="F653" s="191" t="e">
        <f t="shared" si="21"/>
        <v>#N/A</v>
      </c>
      <c r="G653" s="206" t="e">
        <f t="shared" si="22"/>
        <v>#N/A</v>
      </c>
    </row>
    <row r="654" spans="1:7" hidden="1" x14ac:dyDescent="0.3">
      <c r="A654" s="154" t="s">
        <v>162</v>
      </c>
      <c r="B654" s="154" t="s">
        <v>2883</v>
      </c>
      <c r="C654" s="154" t="s">
        <v>2065</v>
      </c>
      <c r="D654" s="178">
        <f>VLOOKUP(B654,'Planning TB 2024'!$B$14:$Q$888,16,FALSE)</f>
        <v>0</v>
      </c>
      <c r="E654" s="178" t="e">
        <f>VLOOKUP(B654,'Planning TB 2025'!$B$14:$Q$574,16,FALSE)</f>
        <v>#N/A</v>
      </c>
      <c r="F654" s="191" t="e">
        <f t="shared" si="21"/>
        <v>#N/A</v>
      </c>
      <c r="G654" s="206" t="e">
        <f t="shared" si="22"/>
        <v>#N/A</v>
      </c>
    </row>
    <row r="655" spans="1:7" hidden="1" x14ac:dyDescent="0.3">
      <c r="A655" s="154" t="s">
        <v>162</v>
      </c>
      <c r="B655" s="154" t="s">
        <v>2884</v>
      </c>
      <c r="C655" s="154" t="s">
        <v>2885</v>
      </c>
      <c r="D655" s="178">
        <f>VLOOKUP(B655,'Planning TB 2024'!$B$14:$Q$888,16,FALSE)</f>
        <v>-424992</v>
      </c>
      <c r="E655" s="178">
        <f>VLOOKUP(B655,'Planning TB 2025'!$B$14:$Q$574,16,FALSE)</f>
        <v>-664142.37999999989</v>
      </c>
      <c r="F655" s="191">
        <f t="shared" si="21"/>
        <v>-239150.37999999989</v>
      </c>
      <c r="G655" s="206">
        <f t="shared" si="22"/>
        <v>0.56271736879753009</v>
      </c>
    </row>
    <row r="656" spans="1:7" hidden="1" x14ac:dyDescent="0.3">
      <c r="A656" s="154" t="s">
        <v>162</v>
      </c>
      <c r="B656" s="154" t="s">
        <v>2886</v>
      </c>
      <c r="C656" s="154" t="s">
        <v>2887</v>
      </c>
      <c r="D656" s="178">
        <f>VLOOKUP(B656,'Planning TB 2024'!$B$14:$Q$888,16,FALSE)</f>
        <v>-2465046</v>
      </c>
      <c r="E656" s="178">
        <f>VLOOKUP(B656,'Planning TB 2025'!$B$14:$Q$574,16,FALSE)</f>
        <v>29445282.100000001</v>
      </c>
      <c r="F656" s="191">
        <f t="shared" si="21"/>
        <v>31910328.100000001</v>
      </c>
      <c r="G656" s="206">
        <f t="shared" si="22"/>
        <v>-12.945124796859774</v>
      </c>
    </row>
    <row r="657" spans="1:7" hidden="1" x14ac:dyDescent="0.3">
      <c r="A657" s="154" t="s">
        <v>162</v>
      </c>
      <c r="B657" s="154" t="s">
        <v>2888</v>
      </c>
      <c r="C657" s="154" t="s">
        <v>2889</v>
      </c>
      <c r="D657" s="178">
        <f>VLOOKUP(B657,'Planning TB 2024'!$B$14:$Q$888,16,FALSE)</f>
        <v>-12</v>
      </c>
      <c r="E657" s="178">
        <f>VLOOKUP(B657,'Planning TB 2025'!$B$14:$Q$574,16,FALSE)</f>
        <v>-11135</v>
      </c>
      <c r="F657" s="191">
        <f t="shared" si="21"/>
        <v>-11123</v>
      </c>
      <c r="G657" s="206">
        <f t="shared" si="22"/>
        <v>926.91666666666663</v>
      </c>
    </row>
    <row r="658" spans="1:7" hidden="1" x14ac:dyDescent="0.3">
      <c r="A658" s="154" t="s">
        <v>162</v>
      </c>
      <c r="B658" s="154" t="s">
        <v>2890</v>
      </c>
      <c r="C658" s="154" t="s">
        <v>2891</v>
      </c>
      <c r="D658" s="178">
        <f>VLOOKUP(B658,'Planning TB 2024'!$B$14:$Q$888,16,FALSE)</f>
        <v>0</v>
      </c>
      <c r="E658" s="178" t="e">
        <f>VLOOKUP(B658,'Planning TB 2025'!$B$14:$Q$574,16,FALSE)</f>
        <v>#N/A</v>
      </c>
      <c r="F658" s="191" t="e">
        <f t="shared" si="21"/>
        <v>#N/A</v>
      </c>
      <c r="G658" s="206" t="e">
        <f t="shared" si="22"/>
        <v>#N/A</v>
      </c>
    </row>
    <row r="659" spans="1:7" hidden="1" x14ac:dyDescent="0.3">
      <c r="A659" s="154" t="s">
        <v>162</v>
      </c>
      <c r="B659" s="154" t="s">
        <v>2892</v>
      </c>
      <c r="C659" s="154" t="s">
        <v>2893</v>
      </c>
      <c r="D659" s="178">
        <f>VLOOKUP(B659,'Planning TB 2024'!$B$14:$Q$888,16,FALSE)</f>
        <v>0</v>
      </c>
      <c r="E659" s="178" t="e">
        <f>VLOOKUP(B659,'Planning TB 2025'!$B$14:$Q$574,16,FALSE)</f>
        <v>#N/A</v>
      </c>
      <c r="F659" s="191" t="e">
        <f t="shared" si="21"/>
        <v>#N/A</v>
      </c>
      <c r="G659" s="206" t="e">
        <f t="shared" si="22"/>
        <v>#N/A</v>
      </c>
    </row>
    <row r="660" spans="1:7" hidden="1" x14ac:dyDescent="0.3">
      <c r="A660" s="154" t="s">
        <v>162</v>
      </c>
      <c r="B660" s="154" t="s">
        <v>2894</v>
      </c>
      <c r="C660" s="154" t="s">
        <v>2895</v>
      </c>
      <c r="D660" s="178">
        <f>VLOOKUP(B660,'Planning TB 2024'!$B$14:$Q$888,16,FALSE)</f>
        <v>0</v>
      </c>
      <c r="E660" s="178" t="e">
        <f>VLOOKUP(B660,'Planning TB 2025'!$B$14:$Q$574,16,FALSE)</f>
        <v>#N/A</v>
      </c>
      <c r="F660" s="191" t="e">
        <f t="shared" si="21"/>
        <v>#N/A</v>
      </c>
      <c r="G660" s="206" t="e">
        <f t="shared" si="22"/>
        <v>#N/A</v>
      </c>
    </row>
    <row r="661" spans="1:7" hidden="1" x14ac:dyDescent="0.3">
      <c r="A661" s="154" t="s">
        <v>162</v>
      </c>
      <c r="B661" s="154" t="s">
        <v>2896</v>
      </c>
      <c r="C661" s="154" t="s">
        <v>2897</v>
      </c>
      <c r="D661" s="178">
        <f>VLOOKUP(B661,'Planning TB 2024'!$B$14:$Q$888,16,FALSE)</f>
        <v>0</v>
      </c>
      <c r="E661" s="178" t="e">
        <f>VLOOKUP(B661,'Planning TB 2025'!$B$14:$Q$574,16,FALSE)</f>
        <v>#N/A</v>
      </c>
      <c r="F661" s="191" t="e">
        <f t="shared" si="21"/>
        <v>#N/A</v>
      </c>
      <c r="G661" s="206" t="e">
        <f t="shared" si="22"/>
        <v>#N/A</v>
      </c>
    </row>
    <row r="662" spans="1:7" hidden="1" x14ac:dyDescent="0.3">
      <c r="A662" s="154" t="s">
        <v>162</v>
      </c>
      <c r="B662" s="154" t="s">
        <v>2898</v>
      </c>
      <c r="C662" s="154" t="s">
        <v>2899</v>
      </c>
      <c r="D662" s="178">
        <f>VLOOKUP(B662,'Planning TB 2024'!$B$14:$Q$888,16,FALSE)</f>
        <v>0</v>
      </c>
      <c r="E662" s="178" t="e">
        <f>VLOOKUP(B662,'Planning TB 2025'!$B$14:$Q$574,16,FALSE)</f>
        <v>#N/A</v>
      </c>
      <c r="F662" s="191" t="e">
        <f t="shared" si="21"/>
        <v>#N/A</v>
      </c>
      <c r="G662" s="206" t="e">
        <f t="shared" si="22"/>
        <v>#N/A</v>
      </c>
    </row>
    <row r="663" spans="1:7" hidden="1" x14ac:dyDescent="0.3">
      <c r="A663" s="154" t="s">
        <v>162</v>
      </c>
      <c r="B663" s="154" t="s">
        <v>2900</v>
      </c>
      <c r="C663" s="154" t="s">
        <v>2901</v>
      </c>
      <c r="D663" s="178">
        <f>VLOOKUP(B663,'Planning TB 2024'!$B$14:$Q$888,16,FALSE)</f>
        <v>0</v>
      </c>
      <c r="E663" s="178" t="e">
        <f>VLOOKUP(B663,'Planning TB 2025'!$B$14:$Q$574,16,FALSE)</f>
        <v>#N/A</v>
      </c>
      <c r="F663" s="191" t="e">
        <f t="shared" si="21"/>
        <v>#N/A</v>
      </c>
      <c r="G663" s="206" t="e">
        <f t="shared" si="22"/>
        <v>#N/A</v>
      </c>
    </row>
    <row r="664" spans="1:7" hidden="1" x14ac:dyDescent="0.3">
      <c r="A664" s="154" t="s">
        <v>162</v>
      </c>
      <c r="B664" s="154" t="s">
        <v>2902</v>
      </c>
      <c r="C664" s="154" t="s">
        <v>2903</v>
      </c>
      <c r="D664" s="178">
        <f>VLOOKUP(B664,'Planning TB 2024'!$B$14:$Q$888,16,FALSE)</f>
        <v>0</v>
      </c>
      <c r="E664" s="178" t="e">
        <f>VLOOKUP(B664,'Planning TB 2025'!$B$14:$Q$574,16,FALSE)</f>
        <v>#N/A</v>
      </c>
      <c r="F664" s="191" t="e">
        <f t="shared" si="21"/>
        <v>#N/A</v>
      </c>
      <c r="G664" s="206" t="e">
        <f t="shared" si="22"/>
        <v>#N/A</v>
      </c>
    </row>
    <row r="665" spans="1:7" hidden="1" x14ac:dyDescent="0.3">
      <c r="A665" s="154" t="s">
        <v>162</v>
      </c>
      <c r="B665" s="154" t="s">
        <v>2904</v>
      </c>
      <c r="C665" s="154" t="s">
        <v>2905</v>
      </c>
      <c r="D665" s="178">
        <f>VLOOKUP(B665,'Planning TB 2024'!$B$14:$Q$888,16,FALSE)</f>
        <v>0</v>
      </c>
      <c r="E665" s="178" t="e">
        <f>VLOOKUP(B665,'Planning TB 2025'!$B$14:$Q$574,16,FALSE)</f>
        <v>#N/A</v>
      </c>
      <c r="F665" s="191" t="e">
        <f t="shared" si="21"/>
        <v>#N/A</v>
      </c>
      <c r="G665" s="206" t="e">
        <f t="shared" si="22"/>
        <v>#N/A</v>
      </c>
    </row>
    <row r="666" spans="1:7" hidden="1" x14ac:dyDescent="0.3">
      <c r="A666" s="154" t="s">
        <v>162</v>
      </c>
      <c r="B666" s="154" t="s">
        <v>2906</v>
      </c>
      <c r="C666" s="154" t="s">
        <v>2907</v>
      </c>
      <c r="D666" s="178">
        <f>VLOOKUP(B666,'Planning TB 2024'!$B$14:$Q$888,16,FALSE)</f>
        <v>0</v>
      </c>
      <c r="E666" s="178" t="e">
        <f>VLOOKUP(B666,'Planning TB 2025'!$B$14:$Q$574,16,FALSE)</f>
        <v>#N/A</v>
      </c>
      <c r="F666" s="191" t="e">
        <f t="shared" si="21"/>
        <v>#N/A</v>
      </c>
      <c r="G666" s="206" t="e">
        <f t="shared" si="22"/>
        <v>#N/A</v>
      </c>
    </row>
    <row r="667" spans="1:7" hidden="1" x14ac:dyDescent="0.3">
      <c r="A667" s="154" t="s">
        <v>162</v>
      </c>
      <c r="B667" s="154" t="s">
        <v>2908</v>
      </c>
      <c r="C667" s="154" t="s">
        <v>2909</v>
      </c>
      <c r="D667" s="178">
        <f>VLOOKUP(B667,'Planning TB 2024'!$B$14:$Q$888,16,FALSE)</f>
        <v>0</v>
      </c>
      <c r="E667" s="178" t="e">
        <f>VLOOKUP(B667,'Planning TB 2025'!$B$14:$Q$574,16,FALSE)</f>
        <v>#N/A</v>
      </c>
      <c r="F667" s="191" t="e">
        <f t="shared" si="21"/>
        <v>#N/A</v>
      </c>
      <c r="G667" s="206" t="e">
        <f t="shared" si="22"/>
        <v>#N/A</v>
      </c>
    </row>
    <row r="668" spans="1:7" hidden="1" x14ac:dyDescent="0.3">
      <c r="A668" s="154" t="s">
        <v>162</v>
      </c>
      <c r="B668" s="154" t="s">
        <v>2910</v>
      </c>
      <c r="C668" s="154" t="s">
        <v>2911</v>
      </c>
      <c r="D668" s="178">
        <f>VLOOKUP(B668,'Planning TB 2024'!$B$14:$Q$888,16,FALSE)</f>
        <v>0</v>
      </c>
      <c r="E668" s="178" t="e">
        <f>VLOOKUP(B668,'Planning TB 2025'!$B$14:$Q$574,16,FALSE)</f>
        <v>#N/A</v>
      </c>
      <c r="F668" s="191" t="e">
        <f t="shared" si="21"/>
        <v>#N/A</v>
      </c>
      <c r="G668" s="206" t="e">
        <f t="shared" si="22"/>
        <v>#N/A</v>
      </c>
    </row>
    <row r="669" spans="1:7" hidden="1" x14ac:dyDescent="0.3">
      <c r="A669" s="154" t="s">
        <v>162</v>
      </c>
      <c r="B669" s="154" t="s">
        <v>2912</v>
      </c>
      <c r="C669" s="154" t="s">
        <v>2913</v>
      </c>
      <c r="D669" s="178">
        <f>VLOOKUP(B669,'Planning TB 2024'!$B$14:$Q$888,16,FALSE)</f>
        <v>0</v>
      </c>
      <c r="E669" s="178" t="e">
        <f>VLOOKUP(B669,'Planning TB 2025'!$B$14:$Q$574,16,FALSE)</f>
        <v>#N/A</v>
      </c>
      <c r="F669" s="191" t="e">
        <f t="shared" si="21"/>
        <v>#N/A</v>
      </c>
      <c r="G669" s="206" t="e">
        <f t="shared" si="22"/>
        <v>#N/A</v>
      </c>
    </row>
    <row r="670" spans="1:7" hidden="1" x14ac:dyDescent="0.3">
      <c r="A670" s="154" t="s">
        <v>162</v>
      </c>
      <c r="B670" s="154" t="s">
        <v>2914</v>
      </c>
      <c r="C670" s="154" t="s">
        <v>2915</v>
      </c>
      <c r="D670" s="178">
        <f>VLOOKUP(B670,'Planning TB 2024'!$B$14:$Q$888,16,FALSE)</f>
        <v>0</v>
      </c>
      <c r="E670" s="178" t="e">
        <f>VLOOKUP(B670,'Planning TB 2025'!$B$14:$Q$574,16,FALSE)</f>
        <v>#N/A</v>
      </c>
      <c r="F670" s="191" t="e">
        <f t="shared" si="21"/>
        <v>#N/A</v>
      </c>
      <c r="G670" s="206" t="e">
        <f t="shared" si="22"/>
        <v>#N/A</v>
      </c>
    </row>
    <row r="671" spans="1:7" hidden="1" x14ac:dyDescent="0.3">
      <c r="A671" s="154" t="s">
        <v>162</v>
      </c>
      <c r="B671" s="154" t="s">
        <v>2916</v>
      </c>
      <c r="C671" s="154" t="s">
        <v>2917</v>
      </c>
      <c r="D671" s="178">
        <f>VLOOKUP(B671,'Planning TB 2024'!$B$14:$Q$888,16,FALSE)</f>
        <v>0</v>
      </c>
      <c r="E671" s="178" t="e">
        <f>VLOOKUP(B671,'Planning TB 2025'!$B$14:$Q$574,16,FALSE)</f>
        <v>#N/A</v>
      </c>
      <c r="F671" s="191" t="e">
        <f t="shared" si="21"/>
        <v>#N/A</v>
      </c>
      <c r="G671" s="206" t="e">
        <f t="shared" si="22"/>
        <v>#N/A</v>
      </c>
    </row>
    <row r="672" spans="1:7" hidden="1" x14ac:dyDescent="0.3">
      <c r="A672" s="154" t="s">
        <v>162</v>
      </c>
      <c r="B672" s="154" t="s">
        <v>2918</v>
      </c>
      <c r="C672" s="154" t="s">
        <v>2919</v>
      </c>
      <c r="D672" s="178">
        <f>VLOOKUP(B672,'Planning TB 2024'!$B$14:$Q$888,16,FALSE)</f>
        <v>0</v>
      </c>
      <c r="E672" s="178" t="e">
        <f>VLOOKUP(B672,'Planning TB 2025'!$B$14:$Q$574,16,FALSE)</f>
        <v>#N/A</v>
      </c>
      <c r="F672" s="191" t="e">
        <f t="shared" si="21"/>
        <v>#N/A</v>
      </c>
      <c r="G672" s="206" t="e">
        <f t="shared" si="22"/>
        <v>#N/A</v>
      </c>
    </row>
    <row r="673" spans="1:7" hidden="1" x14ac:dyDescent="0.3">
      <c r="A673" s="154" t="s">
        <v>162</v>
      </c>
      <c r="B673" s="154" t="s">
        <v>2920</v>
      </c>
      <c r="C673" s="154" t="s">
        <v>2921</v>
      </c>
      <c r="D673" s="178">
        <f>VLOOKUP(B673,'Planning TB 2024'!$B$14:$Q$888,16,FALSE)</f>
        <v>-11143589.663260398</v>
      </c>
      <c r="E673" s="178">
        <f>VLOOKUP(B673,'Planning TB 2025'!$B$14:$Q$574,16,FALSE)</f>
        <v>-11641624.373374602</v>
      </c>
      <c r="F673" s="191">
        <f t="shared" si="21"/>
        <v>-498034.71011420339</v>
      </c>
      <c r="G673" s="206">
        <f t="shared" si="22"/>
        <v>4.469248466283602E-2</v>
      </c>
    </row>
    <row r="674" spans="1:7" hidden="1" x14ac:dyDescent="0.3">
      <c r="A674" s="154" t="s">
        <v>162</v>
      </c>
      <c r="B674" s="154" t="s">
        <v>2922</v>
      </c>
      <c r="C674" s="154" t="s">
        <v>2923</v>
      </c>
      <c r="D674" s="178">
        <f>VLOOKUP(B674,'Planning TB 2024'!$B$14:$Q$888,16,FALSE)</f>
        <v>379850.27247190004</v>
      </c>
      <c r="E674" s="178" t="e">
        <f>VLOOKUP(B674,'Planning TB 2025'!$B$14:$Q$574,16,FALSE)</f>
        <v>#N/A</v>
      </c>
      <c r="F674" s="191" t="e">
        <f t="shared" si="21"/>
        <v>#N/A</v>
      </c>
      <c r="G674" s="206" t="e">
        <f t="shared" si="22"/>
        <v>#N/A</v>
      </c>
    </row>
    <row r="675" spans="1:7" hidden="1" x14ac:dyDescent="0.3">
      <c r="A675" s="154" t="s">
        <v>162</v>
      </c>
      <c r="B675" s="154" t="s">
        <v>2924</v>
      </c>
      <c r="C675" s="154" t="s">
        <v>2925</v>
      </c>
      <c r="D675" s="178">
        <f>VLOOKUP(B675,'Planning TB 2024'!$B$14:$Q$888,16,FALSE)</f>
        <v>812925.84536589985</v>
      </c>
      <c r="E675" s="178" t="e">
        <f>VLOOKUP(B675,'Planning TB 2025'!$B$14:$Q$574,16,FALSE)</f>
        <v>#N/A</v>
      </c>
      <c r="F675" s="191" t="e">
        <f t="shared" si="21"/>
        <v>#N/A</v>
      </c>
      <c r="G675" s="206" t="e">
        <f t="shared" si="22"/>
        <v>#N/A</v>
      </c>
    </row>
    <row r="676" spans="1:7" hidden="1" x14ac:dyDescent="0.3">
      <c r="A676" s="154" t="s">
        <v>162</v>
      </c>
      <c r="B676" s="154" t="s">
        <v>2926</v>
      </c>
      <c r="C676" s="154" t="s">
        <v>2927</v>
      </c>
      <c r="D676" s="178">
        <f>VLOOKUP(B676,'Planning TB 2024'!$B$14:$Q$888,16,FALSE)</f>
        <v>-456844.28469050006</v>
      </c>
      <c r="E676" s="178">
        <f>VLOOKUP(B676,'Planning TB 2025'!$B$14:$Q$574,16,FALSE)</f>
        <v>-1499454.3226753001</v>
      </c>
      <c r="F676" s="191">
        <f t="shared" si="21"/>
        <v>-1042610.0379848001</v>
      </c>
      <c r="G676" s="206">
        <f t="shared" si="22"/>
        <v>2.2822000250941978</v>
      </c>
    </row>
    <row r="677" spans="1:7" hidden="1" x14ac:dyDescent="0.3">
      <c r="A677" s="154" t="s">
        <v>162</v>
      </c>
      <c r="B677" s="154" t="s">
        <v>2928</v>
      </c>
      <c r="C677" s="154" t="s">
        <v>2929</v>
      </c>
      <c r="D677" s="178">
        <f>VLOOKUP(B677,'Planning TB 2024'!$B$14:$Q$888,16,FALSE)</f>
        <v>-83910584.691604197</v>
      </c>
      <c r="E677" s="178">
        <f>VLOOKUP(B677,'Planning TB 2025'!$B$14:$Q$574,16,FALSE)</f>
        <v>-83037674.068730697</v>
      </c>
      <c r="F677" s="191">
        <f t="shared" si="21"/>
        <v>872910.62287349999</v>
      </c>
      <c r="G677" s="206">
        <f t="shared" si="22"/>
        <v>-1.0402866647654767E-2</v>
      </c>
    </row>
    <row r="678" spans="1:7" hidden="1" x14ac:dyDescent="0.3">
      <c r="A678" s="154" t="s">
        <v>162</v>
      </c>
      <c r="B678" s="154" t="s">
        <v>2930</v>
      </c>
      <c r="C678" s="154" t="s">
        <v>2931</v>
      </c>
      <c r="D678" s="178">
        <f>VLOOKUP(B678,'Planning TB 2024'!$B$14:$Q$888,16,FALSE)</f>
        <v>-5249906.5367354993</v>
      </c>
      <c r="E678" s="178">
        <f>VLOOKUP(B678,'Planning TB 2025'!$B$14:$Q$574,16,FALSE)</f>
        <v>-5141818.1652453998</v>
      </c>
      <c r="F678" s="191">
        <f t="shared" si="21"/>
        <v>108088.37149009947</v>
      </c>
      <c r="G678" s="206">
        <f t="shared" si="22"/>
        <v>-2.0588627765802295E-2</v>
      </c>
    </row>
    <row r="679" spans="1:7" hidden="1" x14ac:dyDescent="0.3">
      <c r="A679" s="154" t="s">
        <v>162</v>
      </c>
      <c r="B679" s="154" t="s">
        <v>2932</v>
      </c>
      <c r="C679" s="154" t="s">
        <v>2933</v>
      </c>
      <c r="D679" s="178">
        <f>VLOOKUP(B679,'Planning TB 2024'!$B$14:$Q$888,16,FALSE)</f>
        <v>-12731916.306482</v>
      </c>
      <c r="E679" s="178">
        <f>VLOOKUP(B679,'Planning TB 2025'!$B$14:$Q$574,16,FALSE)</f>
        <v>-12880292.7064075</v>
      </c>
      <c r="F679" s="191">
        <f t="shared" si="21"/>
        <v>-148376.39992550015</v>
      </c>
      <c r="G679" s="206">
        <f t="shared" si="22"/>
        <v>1.1653893754387908E-2</v>
      </c>
    </row>
    <row r="680" spans="1:7" hidden="1" x14ac:dyDescent="0.3">
      <c r="A680" s="154" t="s">
        <v>162</v>
      </c>
      <c r="B680" s="154" t="s">
        <v>2934</v>
      </c>
      <c r="C680" s="154" t="s">
        <v>2935</v>
      </c>
      <c r="D680" s="178">
        <f>VLOOKUP(B680,'Planning TB 2024'!$B$14:$Q$888,16,FALSE)</f>
        <v>763289.28354959993</v>
      </c>
      <c r="E680" s="178">
        <f>VLOOKUP(B680,'Planning TB 2025'!$B$14:$Q$574,16,FALSE)</f>
        <v>8460368.1299169995</v>
      </c>
      <c r="F680" s="191">
        <f t="shared" si="21"/>
        <v>7697078.8463673992</v>
      </c>
      <c r="G680" s="206">
        <f t="shared" si="22"/>
        <v>10.084091329794267</v>
      </c>
    </row>
    <row r="681" spans="1:7" hidden="1" x14ac:dyDescent="0.3">
      <c r="A681" s="154" t="s">
        <v>162</v>
      </c>
      <c r="B681" s="154" t="s">
        <v>2936</v>
      </c>
      <c r="C681" s="154" t="s">
        <v>2937</v>
      </c>
      <c r="D681" s="178">
        <f>VLOOKUP(B681,'Planning TB 2024'!$B$14:$Q$888,16,FALSE)</f>
        <v>-228126</v>
      </c>
      <c r="E681" s="178">
        <f>VLOOKUP(B681,'Planning TB 2025'!$B$14:$Q$574,16,FALSE)</f>
        <v>-228000</v>
      </c>
      <c r="F681" s="191">
        <f t="shared" si="21"/>
        <v>126</v>
      </c>
      <c r="G681" s="206">
        <f t="shared" si="22"/>
        <v>-5.5232634596670256E-4</v>
      </c>
    </row>
    <row r="682" spans="1:7" hidden="1" x14ac:dyDescent="0.3">
      <c r="A682" s="154" t="s">
        <v>162</v>
      </c>
      <c r="B682" s="154" t="s">
        <v>2938</v>
      </c>
      <c r="C682" s="154" t="s">
        <v>2939</v>
      </c>
      <c r="D682" s="178">
        <f>VLOOKUP(B682,'Planning TB 2024'!$B$14:$Q$888,16,FALSE)</f>
        <v>-834768.8607789001</v>
      </c>
      <c r="E682" s="178">
        <f>VLOOKUP(B682,'Planning TB 2025'!$B$14:$Q$574,16,FALSE)</f>
        <v>-602770.86807989993</v>
      </c>
      <c r="F682" s="191">
        <f t="shared" si="21"/>
        <v>231997.99269900017</v>
      </c>
      <c r="G682" s="206">
        <f t="shared" si="22"/>
        <v>-0.27791883909340981</v>
      </c>
    </row>
    <row r="683" spans="1:7" hidden="1" x14ac:dyDescent="0.3">
      <c r="A683" s="154" t="s">
        <v>162</v>
      </c>
      <c r="B683" s="154" t="s">
        <v>2940</v>
      </c>
      <c r="C683" s="154" t="s">
        <v>2941</v>
      </c>
      <c r="D683" s="178">
        <f>VLOOKUP(B683,'Planning TB 2024'!$B$14:$Q$888,16,FALSE)</f>
        <v>-477930.41474160011</v>
      </c>
      <c r="E683" s="178">
        <f>VLOOKUP(B683,'Planning TB 2025'!$B$14:$Q$574,16,FALSE)</f>
        <v>-497461.34568119986</v>
      </c>
      <c r="F683" s="191">
        <f t="shared" si="21"/>
        <v>-19530.930939599755</v>
      </c>
      <c r="G683" s="206">
        <f t="shared" si="22"/>
        <v>4.086563720821039E-2</v>
      </c>
    </row>
    <row r="684" spans="1:7" hidden="1" x14ac:dyDescent="0.3">
      <c r="A684" s="154" t="s">
        <v>162</v>
      </c>
      <c r="B684" s="154" t="s">
        <v>2942</v>
      </c>
      <c r="C684" s="154" t="s">
        <v>2943</v>
      </c>
      <c r="D684" s="178">
        <f>VLOOKUP(B684,'Planning TB 2024'!$B$14:$Q$888,16,FALSE)</f>
        <v>-363431.58303650003</v>
      </c>
      <c r="E684" s="178">
        <f>VLOOKUP(B684,'Planning TB 2025'!$B$14:$Q$574,16,FALSE)</f>
        <v>-376145.27837850002</v>
      </c>
      <c r="F684" s="191">
        <f t="shared" si="21"/>
        <v>-12713.695341999992</v>
      </c>
      <c r="G684" s="206">
        <f t="shared" si="22"/>
        <v>3.4982362390676251E-2</v>
      </c>
    </row>
    <row r="685" spans="1:7" hidden="1" x14ac:dyDescent="0.3">
      <c r="A685" s="154" t="s">
        <v>162</v>
      </c>
      <c r="B685" s="154" t="s">
        <v>2944</v>
      </c>
      <c r="C685" s="154" t="s">
        <v>2945</v>
      </c>
      <c r="D685" s="178">
        <f>VLOOKUP(B685,'Planning TB 2024'!$B$14:$Q$888,16,FALSE)</f>
        <v>-60309.310163399998</v>
      </c>
      <c r="E685" s="178">
        <f>VLOOKUP(B685,'Planning TB 2025'!$B$14:$Q$574,16,FALSE)</f>
        <v>360587.64857349999</v>
      </c>
      <c r="F685" s="191">
        <f t="shared" si="21"/>
        <v>420896.95873690001</v>
      </c>
      <c r="G685" s="206">
        <f t="shared" si="22"/>
        <v>-6.9789715318669057</v>
      </c>
    </row>
    <row r="686" spans="1:7" hidden="1" x14ac:dyDescent="0.3">
      <c r="A686" s="154" t="s">
        <v>162</v>
      </c>
      <c r="B686" s="154" t="s">
        <v>2946</v>
      </c>
      <c r="C686" s="154" t="s">
        <v>2947</v>
      </c>
      <c r="D686" s="178">
        <f>VLOOKUP(B686,'Planning TB 2024'!$B$14:$Q$888,16,FALSE)</f>
        <v>-72681.92616360003</v>
      </c>
      <c r="E686" s="178" t="e">
        <f>VLOOKUP(B686,'Planning TB 2025'!$B$14:$Q$574,16,FALSE)</f>
        <v>#N/A</v>
      </c>
      <c r="F686" s="191" t="e">
        <f t="shared" si="21"/>
        <v>#N/A</v>
      </c>
      <c r="G686" s="206" t="e">
        <f t="shared" si="22"/>
        <v>#N/A</v>
      </c>
    </row>
    <row r="687" spans="1:7" hidden="1" x14ac:dyDescent="0.3">
      <c r="A687" s="154" t="s">
        <v>162</v>
      </c>
      <c r="B687" s="154" t="s">
        <v>2948</v>
      </c>
      <c r="C687" s="154" t="s">
        <v>2949</v>
      </c>
      <c r="D687" s="178">
        <f>VLOOKUP(B687,'Planning TB 2024'!$B$14:$Q$888,16,FALSE)</f>
        <v>-988555.32477799989</v>
      </c>
      <c r="E687" s="178">
        <f>VLOOKUP(B687,'Planning TB 2025'!$B$14:$Q$574,16,FALSE)</f>
        <v>-873718.42782820005</v>
      </c>
      <c r="F687" s="191">
        <f t="shared" si="21"/>
        <v>114836.89694979985</v>
      </c>
      <c r="G687" s="206">
        <f t="shared" si="22"/>
        <v>-0.11616638348044789</v>
      </c>
    </row>
    <row r="688" spans="1:7" hidden="1" x14ac:dyDescent="0.3">
      <c r="A688" s="154" t="s">
        <v>162</v>
      </c>
      <c r="B688" s="154" t="s">
        <v>2950</v>
      </c>
      <c r="C688" s="154" t="s">
        <v>2951</v>
      </c>
      <c r="D688" s="178">
        <f>VLOOKUP(B688,'Planning TB 2024'!$B$14:$Q$888,16,FALSE)</f>
        <v>-691325.96402179985</v>
      </c>
      <c r="E688" s="178">
        <f>VLOOKUP(B688,'Planning TB 2025'!$B$14:$Q$574,16,FALSE)</f>
        <v>-721239.35425450001</v>
      </c>
      <c r="F688" s="191">
        <f t="shared" si="21"/>
        <v>-29913.390232700156</v>
      </c>
      <c r="G688" s="206">
        <f t="shared" si="22"/>
        <v>4.3269588861784579E-2</v>
      </c>
    </row>
    <row r="689" spans="1:7" hidden="1" x14ac:dyDescent="0.3">
      <c r="A689" s="154" t="s">
        <v>162</v>
      </c>
      <c r="B689" s="154" t="s">
        <v>2952</v>
      </c>
      <c r="C689" s="154" t="s">
        <v>2953</v>
      </c>
      <c r="D689" s="178">
        <f>VLOOKUP(B689,'Planning TB 2024'!$B$14:$Q$888,16,FALSE)</f>
        <v>-601314.3461639001</v>
      </c>
      <c r="E689" s="178">
        <f>VLOOKUP(B689,'Planning TB 2025'!$B$14:$Q$574,16,FALSE)</f>
        <v>-166647.12180409997</v>
      </c>
      <c r="F689" s="191">
        <f t="shared" si="21"/>
        <v>434667.22435980011</v>
      </c>
      <c r="G689" s="206">
        <f t="shared" si="22"/>
        <v>-0.72286188934751106</v>
      </c>
    </row>
    <row r="690" spans="1:7" hidden="1" x14ac:dyDescent="0.3">
      <c r="A690" s="154" t="s">
        <v>162</v>
      </c>
      <c r="B690" s="154" t="s">
        <v>2954</v>
      </c>
      <c r="C690" s="154" t="s">
        <v>2955</v>
      </c>
      <c r="D690" s="178">
        <f>VLOOKUP(B690,'Planning TB 2024'!$B$14:$Q$888,16,FALSE)</f>
        <v>-1288385.9353584999</v>
      </c>
      <c r="E690" s="178">
        <f>VLOOKUP(B690,'Planning TB 2025'!$B$14:$Q$574,16,FALSE)</f>
        <v>-303664.65217070002</v>
      </c>
      <c r="F690" s="191">
        <f t="shared" si="21"/>
        <v>984721.28318779985</v>
      </c>
      <c r="G690" s="206">
        <f t="shared" si="22"/>
        <v>-0.76430614163278354</v>
      </c>
    </row>
    <row r="691" spans="1:7" hidden="1" x14ac:dyDescent="0.3">
      <c r="A691" s="154" t="s">
        <v>162</v>
      </c>
      <c r="B691" s="154" t="s">
        <v>2956</v>
      </c>
      <c r="C691" s="154" t="s">
        <v>2957</v>
      </c>
      <c r="D691" s="178">
        <f>VLOOKUP(B691,'Planning TB 2024'!$B$14:$Q$888,16,FALSE)</f>
        <v>-3998779.2194610001</v>
      </c>
      <c r="E691" s="178">
        <f>VLOOKUP(B691,'Planning TB 2025'!$B$14:$Q$574,16,FALSE)</f>
        <v>-2939969.3749459004</v>
      </c>
      <c r="F691" s="191">
        <f t="shared" si="21"/>
        <v>1058809.8445150997</v>
      </c>
      <c r="G691" s="206">
        <f t="shared" si="22"/>
        <v>-0.26478327169505944</v>
      </c>
    </row>
    <row r="692" spans="1:7" hidden="1" x14ac:dyDescent="0.3">
      <c r="A692" s="154" t="s">
        <v>162</v>
      </c>
      <c r="B692" s="154" t="s">
        <v>2958</v>
      </c>
      <c r="C692" s="154" t="s">
        <v>2959</v>
      </c>
      <c r="D692" s="178">
        <f>VLOOKUP(B692,'Planning TB 2024'!$B$14:$Q$888,16,FALSE)</f>
        <v>8933542.5832604021</v>
      </c>
      <c r="E692" s="178">
        <f>VLOOKUP(B692,'Planning TB 2025'!$B$14:$Q$574,16,FALSE)</f>
        <v>1385820.0000012</v>
      </c>
      <c r="F692" s="191">
        <f t="shared" si="21"/>
        <v>-7547722.5832592025</v>
      </c>
      <c r="G692" s="206">
        <f t="shared" si="22"/>
        <v>-0.84487452910361249</v>
      </c>
    </row>
    <row r="693" spans="1:7" hidden="1" x14ac:dyDescent="0.3">
      <c r="A693" s="154" t="s">
        <v>162</v>
      </c>
      <c r="B693" s="154" t="s">
        <v>2960</v>
      </c>
      <c r="C693" s="154" t="s">
        <v>2961</v>
      </c>
      <c r="D693" s="178">
        <f>VLOOKUP(B693,'Planning TB 2024'!$B$14:$Q$888,16,FALSE)</f>
        <v>1980</v>
      </c>
      <c r="E693" s="178">
        <f>VLOOKUP(B693,'Planning TB 2025'!$B$14:$Q$574,16,FALSE)</f>
        <v>1980</v>
      </c>
      <c r="F693" s="191">
        <f t="shared" si="21"/>
        <v>0</v>
      </c>
      <c r="G693" s="206">
        <f t="shared" si="22"/>
        <v>0</v>
      </c>
    </row>
    <row r="694" spans="1:7" hidden="1" x14ac:dyDescent="0.3">
      <c r="A694" s="154" t="s">
        <v>162</v>
      </c>
      <c r="B694" s="154" t="s">
        <v>2962</v>
      </c>
      <c r="C694" s="154" t="s">
        <v>2963</v>
      </c>
      <c r="D694" s="178">
        <f>VLOOKUP(B694,'Planning TB 2024'!$B$14:$Q$888,16,FALSE)</f>
        <v>-300000</v>
      </c>
      <c r="E694" s="178">
        <f>VLOOKUP(B694,'Planning TB 2025'!$B$14:$Q$574,16,FALSE)</f>
        <v>-300000</v>
      </c>
      <c r="F694" s="191">
        <f t="shared" si="21"/>
        <v>0</v>
      </c>
      <c r="G694" s="206">
        <f t="shared" si="22"/>
        <v>0</v>
      </c>
    </row>
    <row r="695" spans="1:7" hidden="1" x14ac:dyDescent="0.3">
      <c r="A695" s="154" t="s">
        <v>162</v>
      </c>
      <c r="B695" s="154" t="s">
        <v>2964</v>
      </c>
      <c r="C695" s="154" t="s">
        <v>2965</v>
      </c>
      <c r="D695" s="178">
        <f>VLOOKUP(B695,'Planning TB 2024'!$B$14:$Q$888,16,FALSE)</f>
        <v>209664</v>
      </c>
      <c r="E695" s="178">
        <f>VLOOKUP(B695,'Planning TB 2025'!$B$14:$Q$574,16,FALSE)</f>
        <v>104832</v>
      </c>
      <c r="F695" s="191">
        <f t="shared" si="21"/>
        <v>-104832</v>
      </c>
      <c r="G695" s="206">
        <f t="shared" si="22"/>
        <v>-0.5</v>
      </c>
    </row>
    <row r="696" spans="1:7" hidden="1" x14ac:dyDescent="0.3">
      <c r="A696" s="154" t="s">
        <v>162</v>
      </c>
      <c r="B696" s="154" t="s">
        <v>2966</v>
      </c>
      <c r="C696" s="154" t="s">
        <v>2967</v>
      </c>
      <c r="D696" s="178">
        <f>VLOOKUP(B696,'Planning TB 2024'!$B$14:$Q$888,16,FALSE)</f>
        <v>25546165.462823603</v>
      </c>
      <c r="E696" s="178">
        <f>VLOOKUP(B696,'Planning TB 2025'!$B$14:$Q$574,16,FALSE)</f>
        <v>24571739.572823599</v>
      </c>
      <c r="F696" s="191">
        <f t="shared" si="21"/>
        <v>-974425.89000000432</v>
      </c>
      <c r="G696" s="206">
        <f t="shared" si="22"/>
        <v>-3.8143724208552963E-2</v>
      </c>
    </row>
    <row r="697" spans="1:7" hidden="1" x14ac:dyDescent="0.3">
      <c r="A697" s="154" t="s">
        <v>162</v>
      </c>
      <c r="B697" s="154" t="s">
        <v>2968</v>
      </c>
      <c r="C697" s="154" t="s">
        <v>2969</v>
      </c>
      <c r="D697" s="178">
        <f>VLOOKUP(B697,'Planning TB 2024'!$B$14:$Q$888,16,FALSE)</f>
        <v>169379574.44269693</v>
      </c>
      <c r="E697" s="178">
        <f>VLOOKUP(B697,'Planning TB 2025'!$B$14:$Q$574,16,FALSE)</f>
        <v>168651687.76862457</v>
      </c>
      <c r="F697" s="191">
        <f t="shared" si="21"/>
        <v>-727886.67407235503</v>
      </c>
      <c r="G697" s="206">
        <f t="shared" si="22"/>
        <v>-4.2973698361640856E-3</v>
      </c>
    </row>
    <row r="698" spans="1:7" hidden="1" x14ac:dyDescent="0.3">
      <c r="A698" s="154" t="s">
        <v>162</v>
      </c>
      <c r="B698" s="154" t="s">
        <v>2970</v>
      </c>
      <c r="C698" s="154" t="s">
        <v>2971</v>
      </c>
      <c r="D698" s="178">
        <f>VLOOKUP(B698,'Planning TB 2024'!$B$14:$Q$888,16,FALSE)</f>
        <v>14666805.424012601</v>
      </c>
      <c r="E698" s="178">
        <f>VLOOKUP(B698,'Planning TB 2025'!$B$14:$Q$574,16,FALSE)</f>
        <v>15548163.651181098</v>
      </c>
      <c r="F698" s="191">
        <f t="shared" si="21"/>
        <v>881358.2271684967</v>
      </c>
      <c r="G698" s="206">
        <f t="shared" si="22"/>
        <v>6.0092037883418742E-2</v>
      </c>
    </row>
    <row r="699" spans="1:7" hidden="1" x14ac:dyDescent="0.3">
      <c r="A699" s="154" t="s">
        <v>162</v>
      </c>
      <c r="B699" s="154" t="s">
        <v>2972</v>
      </c>
      <c r="C699" s="154" t="s">
        <v>2973</v>
      </c>
      <c r="D699" s="178">
        <f>VLOOKUP(B699,'Planning TB 2024'!$B$14:$Q$888,16,FALSE)</f>
        <v>114000</v>
      </c>
      <c r="E699" s="178">
        <f>VLOOKUP(B699,'Planning TB 2025'!$B$14:$Q$574,16,FALSE)</f>
        <v>118275</v>
      </c>
      <c r="F699" s="191">
        <f t="shared" si="21"/>
        <v>4275</v>
      </c>
      <c r="G699" s="206">
        <f t="shared" si="22"/>
        <v>3.7499999999999999E-2</v>
      </c>
    </row>
    <row r="700" spans="1:7" hidden="1" x14ac:dyDescent="0.3">
      <c r="A700" s="154" t="s">
        <v>162</v>
      </c>
      <c r="B700" s="154" t="s">
        <v>2974</v>
      </c>
      <c r="C700" s="154" t="s">
        <v>2975</v>
      </c>
      <c r="D700" s="178">
        <f>VLOOKUP(B700,'Planning TB 2024'!$B$14:$Q$888,16,FALSE)</f>
        <v>1649636.5556828002</v>
      </c>
      <c r="E700" s="178">
        <f>VLOOKUP(B700,'Planning TB 2025'!$B$14:$Q$574,16,FALSE)</f>
        <v>1691689.4888059997</v>
      </c>
      <c r="F700" s="191">
        <f t="shared" si="21"/>
        <v>42052.933123199502</v>
      </c>
      <c r="G700" s="206">
        <f t="shared" si="22"/>
        <v>2.5492241292987952E-2</v>
      </c>
    </row>
    <row r="701" spans="1:7" hidden="1" x14ac:dyDescent="0.3">
      <c r="A701" s="154" t="s">
        <v>162</v>
      </c>
      <c r="B701" s="154" t="s">
        <v>2976</v>
      </c>
      <c r="C701" s="154" t="s">
        <v>2977</v>
      </c>
      <c r="D701" s="178">
        <f>VLOOKUP(B701,'Planning TB 2024'!$B$14:$Q$888,16,FALSE)</f>
        <v>-16297176.478572302</v>
      </c>
      <c r="E701" s="178">
        <f>VLOOKUP(B701,'Planning TB 2025'!$B$14:$Q$574,16,FALSE)</f>
        <v>-17147133.808911201</v>
      </c>
      <c r="F701" s="191">
        <f t="shared" si="21"/>
        <v>-849957.33033889905</v>
      </c>
      <c r="G701" s="206">
        <f t="shared" si="22"/>
        <v>5.215365566277274E-2</v>
      </c>
    </row>
    <row r="702" spans="1:7" hidden="1" x14ac:dyDescent="0.3">
      <c r="A702" s="154" t="s">
        <v>162</v>
      </c>
      <c r="B702" s="154" t="s">
        <v>2978</v>
      </c>
      <c r="C702" s="154" t="s">
        <v>2979</v>
      </c>
      <c r="D702" s="178">
        <f>VLOOKUP(B702,'Planning TB 2024'!$B$14:$Q$888,16,FALSE)</f>
        <v>53372562.784098007</v>
      </c>
      <c r="E702" s="178">
        <f>VLOOKUP(B702,'Planning TB 2025'!$B$14:$Q$574,16,FALSE)</f>
        <v>53417956.911740907</v>
      </c>
      <c r="F702" s="191">
        <f t="shared" si="21"/>
        <v>45394.127642899752</v>
      </c>
      <c r="G702" s="206">
        <f t="shared" si="22"/>
        <v>8.5051429564151682E-4</v>
      </c>
    </row>
    <row r="703" spans="1:7" hidden="1" x14ac:dyDescent="0.3">
      <c r="A703" s="154" t="s">
        <v>162</v>
      </c>
      <c r="B703" s="154" t="s">
        <v>2980</v>
      </c>
      <c r="C703" s="154" t="s">
        <v>2981</v>
      </c>
      <c r="D703" s="178">
        <f>VLOOKUP(B703,'Planning TB 2024'!$B$14:$Q$888,16,FALSE)</f>
        <v>306000</v>
      </c>
      <c r="E703" s="178">
        <f>VLOOKUP(B703,'Planning TB 2025'!$B$14:$Q$574,16,FALSE)</f>
        <v>317472</v>
      </c>
      <c r="F703" s="191">
        <f t="shared" si="21"/>
        <v>11472</v>
      </c>
      <c r="G703" s="206">
        <f t="shared" si="22"/>
        <v>3.7490196078431376E-2</v>
      </c>
    </row>
    <row r="704" spans="1:7" hidden="1" x14ac:dyDescent="0.3">
      <c r="A704" s="154" t="s">
        <v>162</v>
      </c>
      <c r="B704" s="154" t="s">
        <v>2982</v>
      </c>
      <c r="C704" s="154" t="s">
        <v>2983</v>
      </c>
      <c r="D704" s="178">
        <f>VLOOKUP(B704,'Planning TB 2024'!$B$14:$Q$888,16,FALSE)</f>
        <v>215000.03999999992</v>
      </c>
      <c r="E704" s="178">
        <f>VLOOKUP(B704,'Planning TB 2025'!$B$14:$Q$574,16,FALSE)</f>
        <v>223068</v>
      </c>
      <c r="F704" s="191">
        <f t="shared" si="21"/>
        <v>8067.9600000000792</v>
      </c>
      <c r="G704" s="206">
        <f t="shared" si="22"/>
        <v>3.7525388367369988E-2</v>
      </c>
    </row>
    <row r="705" spans="1:7" hidden="1" x14ac:dyDescent="0.3">
      <c r="A705" s="154" t="s">
        <v>162</v>
      </c>
      <c r="B705" s="154" t="s">
        <v>2984</v>
      </c>
      <c r="C705" s="154" t="s">
        <v>2985</v>
      </c>
      <c r="D705" s="178">
        <f>VLOOKUP(B705,'Planning TB 2024'!$B$14:$Q$888,16,FALSE)</f>
        <v>356000.03999999986</v>
      </c>
      <c r="E705" s="178">
        <f>VLOOKUP(B705,'Planning TB 2025'!$B$14:$Q$574,16,FALSE)</f>
        <v>369348</v>
      </c>
      <c r="F705" s="191">
        <f t="shared" si="21"/>
        <v>13347.960000000137</v>
      </c>
      <c r="G705" s="206">
        <f t="shared" si="22"/>
        <v>3.7494265450082935E-2</v>
      </c>
    </row>
    <row r="706" spans="1:7" hidden="1" x14ac:dyDescent="0.3">
      <c r="A706" s="154" t="s">
        <v>162</v>
      </c>
      <c r="B706" s="154" t="s">
        <v>2986</v>
      </c>
      <c r="C706" s="154" t="s">
        <v>2987</v>
      </c>
      <c r="D706" s="178">
        <f>VLOOKUP(B706,'Planning TB 2024'!$B$14:$Q$888,16,FALSE)</f>
        <v>144000</v>
      </c>
      <c r="E706" s="178">
        <f>VLOOKUP(B706,'Planning TB 2025'!$B$14:$Q$574,16,FALSE)</f>
        <v>149400</v>
      </c>
      <c r="F706" s="191">
        <f t="shared" si="21"/>
        <v>5400</v>
      </c>
      <c r="G706" s="206">
        <f t="shared" si="22"/>
        <v>3.7499999999999999E-2</v>
      </c>
    </row>
    <row r="707" spans="1:7" hidden="1" x14ac:dyDescent="0.3">
      <c r="A707" s="154" t="s">
        <v>162</v>
      </c>
      <c r="B707" s="154" t="s">
        <v>2988</v>
      </c>
      <c r="C707" s="154" t="s">
        <v>2989</v>
      </c>
      <c r="D707" s="178">
        <f>VLOOKUP(B707,'Planning TB 2024'!$B$14:$Q$888,16,FALSE)</f>
        <v>32499999.999999996</v>
      </c>
      <c r="E707" s="178">
        <f>VLOOKUP(B707,'Planning TB 2025'!$B$14:$Q$574,16,FALSE)</f>
        <v>33718752</v>
      </c>
      <c r="F707" s="191">
        <f t="shared" si="21"/>
        <v>1218752.0000000037</v>
      </c>
      <c r="G707" s="206">
        <f t="shared" si="22"/>
        <v>3.7500061538461658E-2</v>
      </c>
    </row>
    <row r="708" spans="1:7" hidden="1" x14ac:dyDescent="0.3">
      <c r="A708" s="154" t="s">
        <v>162</v>
      </c>
      <c r="B708" s="154" t="s">
        <v>2990</v>
      </c>
      <c r="C708" s="154" t="s">
        <v>2991</v>
      </c>
      <c r="D708" s="178">
        <f>VLOOKUP(B708,'Planning TB 2024'!$B$14:$Q$888,16,FALSE)</f>
        <v>-1175132</v>
      </c>
      <c r="E708" s="178">
        <f>VLOOKUP(B708,'Planning TB 2025'!$B$14:$Q$574,16,FALSE)</f>
        <v>1217388</v>
      </c>
      <c r="F708" s="191">
        <f t="shared" ref="F708:F771" si="23">E708-D708</f>
        <v>2392520</v>
      </c>
      <c r="G708" s="206">
        <f t="shared" ref="G708:G771" si="24">F708/D708</f>
        <v>-2.0359585135967704</v>
      </c>
    </row>
    <row r="709" spans="1:7" hidden="1" x14ac:dyDescent="0.3">
      <c r="A709" s="154" t="s">
        <v>162</v>
      </c>
      <c r="B709" s="154" t="s">
        <v>2992</v>
      </c>
      <c r="C709" s="154" t="s">
        <v>2993</v>
      </c>
      <c r="D709" s="178">
        <f>VLOOKUP(B709,'Planning TB 2024'!$B$14:$Q$888,16,FALSE)</f>
        <v>1605375.48</v>
      </c>
      <c r="E709" s="178">
        <f>VLOOKUP(B709,'Planning TB 2025'!$B$14:$Q$574,16,FALSE)</f>
        <v>2003900</v>
      </c>
      <c r="F709" s="191">
        <f t="shared" si="23"/>
        <v>398524.52</v>
      </c>
      <c r="G709" s="206">
        <f t="shared" si="24"/>
        <v>0.24824380648943262</v>
      </c>
    </row>
    <row r="710" spans="1:7" hidden="1" x14ac:dyDescent="0.3">
      <c r="A710" s="154" t="s">
        <v>162</v>
      </c>
      <c r="B710" s="154" t="s">
        <v>2994</v>
      </c>
      <c r="C710" s="154" t="s">
        <v>2995</v>
      </c>
      <c r="D710" s="178">
        <f>VLOOKUP(B710,'Planning TB 2024'!$B$14:$Q$888,16,FALSE)</f>
        <v>2714608.52</v>
      </c>
      <c r="E710" s="178">
        <f>VLOOKUP(B710,'Planning TB 2025'!$B$14:$Q$574,16,FALSE)</f>
        <v>3388492</v>
      </c>
      <c r="F710" s="191">
        <f t="shared" si="23"/>
        <v>673883.48</v>
      </c>
      <c r="G710" s="206">
        <f t="shared" si="24"/>
        <v>0.24824333786442251</v>
      </c>
    </row>
    <row r="711" spans="1:7" hidden="1" x14ac:dyDescent="0.3">
      <c r="A711" s="154" t="s">
        <v>162</v>
      </c>
      <c r="B711" s="154" t="s">
        <v>2996</v>
      </c>
      <c r="C711" s="154" t="s">
        <v>2997</v>
      </c>
      <c r="D711" s="178">
        <f>VLOOKUP(B711,'Planning TB 2024'!$B$14:$Q$888,16,FALSE)</f>
        <v>6372760</v>
      </c>
      <c r="E711" s="178">
        <f>VLOOKUP(B711,'Planning TB 2025'!$B$14:$Q$574,16,FALSE)</f>
        <v>6825384</v>
      </c>
      <c r="F711" s="191">
        <f t="shared" si="23"/>
        <v>452624</v>
      </c>
      <c r="G711" s="206">
        <f t="shared" si="24"/>
        <v>7.1024799302029262E-2</v>
      </c>
    </row>
    <row r="712" spans="1:7" hidden="1" x14ac:dyDescent="0.3">
      <c r="A712" s="154" t="s">
        <v>162</v>
      </c>
      <c r="B712" s="154" t="s">
        <v>2998</v>
      </c>
      <c r="C712" s="154" t="s">
        <v>2999</v>
      </c>
      <c r="D712" s="178">
        <f>VLOOKUP(B712,'Planning TB 2024'!$B$14:$Q$888,16,FALSE)</f>
        <v>150000</v>
      </c>
      <c r="E712" s="178">
        <f>VLOOKUP(B712,'Planning TB 2025'!$B$14:$Q$574,16,FALSE)</f>
        <v>155628</v>
      </c>
      <c r="F712" s="191">
        <f t="shared" si="23"/>
        <v>5628</v>
      </c>
      <c r="G712" s="206">
        <f t="shared" si="24"/>
        <v>3.7519999999999998E-2</v>
      </c>
    </row>
    <row r="713" spans="1:7" hidden="1" x14ac:dyDescent="0.3">
      <c r="A713" s="154" t="s">
        <v>162</v>
      </c>
      <c r="B713" s="154" t="s">
        <v>3000</v>
      </c>
      <c r="C713" s="154" t="s">
        <v>3001</v>
      </c>
      <c r="D713" s="178">
        <f>VLOOKUP(B713,'Planning TB 2024'!$B$14:$Q$888,16,FALSE)</f>
        <v>8225429.2799999975</v>
      </c>
      <c r="E713" s="178">
        <f>VLOOKUP(B713,'Planning TB 2025'!$B$14:$Q$574,16,FALSE)</f>
        <v>8533884</v>
      </c>
      <c r="F713" s="191">
        <f t="shared" si="23"/>
        <v>308454.72000000253</v>
      </c>
      <c r="G713" s="206">
        <f t="shared" si="24"/>
        <v>3.7500136406254853E-2</v>
      </c>
    </row>
    <row r="714" spans="1:7" hidden="1" x14ac:dyDescent="0.3">
      <c r="A714" s="154" t="s">
        <v>162</v>
      </c>
      <c r="B714" s="154" t="s">
        <v>3002</v>
      </c>
      <c r="C714" s="154" t="s">
        <v>3003</v>
      </c>
      <c r="D714" s="178">
        <f>VLOOKUP(B714,'Planning TB 2024'!$B$14:$Q$888,16,FALSE)</f>
        <v>9883890.8400000017</v>
      </c>
      <c r="E714" s="178">
        <f>VLOOKUP(B714,'Planning TB 2025'!$B$14:$Q$574,16,FALSE)</f>
        <v>10254540</v>
      </c>
      <c r="F714" s="191">
        <f t="shared" si="23"/>
        <v>370649.15999999829</v>
      </c>
      <c r="G714" s="206">
        <f t="shared" si="24"/>
        <v>3.7500329171988124E-2</v>
      </c>
    </row>
    <row r="715" spans="1:7" hidden="1" x14ac:dyDescent="0.3">
      <c r="A715" s="154" t="s">
        <v>162</v>
      </c>
      <c r="B715" s="154" t="s">
        <v>3004</v>
      </c>
      <c r="C715" s="154" t="s">
        <v>3005</v>
      </c>
      <c r="D715" s="178">
        <f>VLOOKUP(B715,'Planning TB 2024'!$B$14:$Q$888,16,FALSE)</f>
        <v>117008</v>
      </c>
      <c r="E715" s="178">
        <f>VLOOKUP(B715,'Planning TB 2025'!$B$14:$Q$574,16,FALSE)</f>
        <v>106816</v>
      </c>
      <c r="F715" s="191">
        <f t="shared" si="23"/>
        <v>-10192</v>
      </c>
      <c r="G715" s="206">
        <f t="shared" si="24"/>
        <v>-8.7105155203063042E-2</v>
      </c>
    </row>
    <row r="716" spans="1:7" hidden="1" x14ac:dyDescent="0.3">
      <c r="A716" s="154" t="s">
        <v>162</v>
      </c>
      <c r="B716" s="154" t="s">
        <v>3006</v>
      </c>
      <c r="C716" s="154" t="s">
        <v>3007</v>
      </c>
      <c r="D716" s="178">
        <f>VLOOKUP(B716,'Planning TB 2024'!$B$14:$Q$888,16,FALSE)</f>
        <v>1800000</v>
      </c>
      <c r="E716" s="178">
        <f>VLOOKUP(B716,'Planning TB 2025'!$B$14:$Q$574,16,FALSE)</f>
        <v>1867500</v>
      </c>
      <c r="F716" s="191">
        <f t="shared" si="23"/>
        <v>67500</v>
      </c>
      <c r="G716" s="206">
        <f t="shared" si="24"/>
        <v>3.7499999999999999E-2</v>
      </c>
    </row>
    <row r="717" spans="1:7" hidden="1" x14ac:dyDescent="0.3">
      <c r="A717" s="154" t="s">
        <v>162</v>
      </c>
      <c r="B717" s="154" t="s">
        <v>3008</v>
      </c>
      <c r="C717" s="154" t="s">
        <v>3009</v>
      </c>
      <c r="D717" s="178">
        <f>VLOOKUP(B717,'Planning TB 2024'!$B$14:$Q$888,16,FALSE)</f>
        <v>1200000</v>
      </c>
      <c r="E717" s="178">
        <f>VLOOKUP(B717,'Planning TB 2025'!$B$14:$Q$574,16,FALSE)</f>
        <v>1245000</v>
      </c>
      <c r="F717" s="191">
        <f t="shared" si="23"/>
        <v>45000</v>
      </c>
      <c r="G717" s="206">
        <f t="shared" si="24"/>
        <v>3.7499999999999999E-2</v>
      </c>
    </row>
    <row r="718" spans="1:7" hidden="1" x14ac:dyDescent="0.3">
      <c r="A718" s="154" t="s">
        <v>162</v>
      </c>
      <c r="B718" s="154" t="s">
        <v>3010</v>
      </c>
      <c r="C718" s="154" t="s">
        <v>3011</v>
      </c>
      <c r="D718" s="178">
        <f>VLOOKUP(B718,'Planning TB 2024'!$B$14:$Q$888,16,FALSE)</f>
        <v>1200000</v>
      </c>
      <c r="E718" s="178">
        <f>VLOOKUP(B718,'Planning TB 2025'!$B$14:$Q$574,16,FALSE)</f>
        <v>1245000</v>
      </c>
      <c r="F718" s="191">
        <f t="shared" si="23"/>
        <v>45000</v>
      </c>
      <c r="G718" s="206">
        <f t="shared" si="24"/>
        <v>3.7499999999999999E-2</v>
      </c>
    </row>
    <row r="719" spans="1:7" hidden="1" x14ac:dyDescent="0.3">
      <c r="A719" s="154" t="s">
        <v>162</v>
      </c>
      <c r="B719" s="154" t="s">
        <v>3012</v>
      </c>
      <c r="C719" s="154" t="s">
        <v>3013</v>
      </c>
      <c r="D719" s="178">
        <f>VLOOKUP(B719,'Planning TB 2024'!$B$14:$Q$888,16,FALSE)</f>
        <v>227832</v>
      </c>
      <c r="E719" s="178">
        <f>VLOOKUP(B719,'Planning TB 2025'!$B$14:$Q$574,16,FALSE)</f>
        <v>129648</v>
      </c>
      <c r="F719" s="191">
        <f t="shared" si="23"/>
        <v>-98184</v>
      </c>
      <c r="G719" s="206">
        <f t="shared" si="24"/>
        <v>-0.43094912040450861</v>
      </c>
    </row>
    <row r="720" spans="1:7" hidden="1" x14ac:dyDescent="0.3">
      <c r="A720" s="154" t="s">
        <v>162</v>
      </c>
      <c r="B720" s="154" t="s">
        <v>3014</v>
      </c>
      <c r="C720" s="154" t="s">
        <v>3015</v>
      </c>
      <c r="D720" s="178">
        <f>VLOOKUP(B720,'Planning TB 2024'!$B$14:$Q$888,16,FALSE)</f>
        <v>498000</v>
      </c>
      <c r="E720" s="178">
        <f>VLOOKUP(B720,'Planning TB 2025'!$B$14:$Q$574,16,FALSE)</f>
        <v>502200</v>
      </c>
      <c r="F720" s="191">
        <f t="shared" si="23"/>
        <v>4200</v>
      </c>
      <c r="G720" s="206">
        <f t="shared" si="24"/>
        <v>8.4337349397590362E-3</v>
      </c>
    </row>
    <row r="721" spans="1:7" hidden="1" x14ac:dyDescent="0.3">
      <c r="A721" s="154" t="s">
        <v>162</v>
      </c>
      <c r="B721" s="154" t="s">
        <v>3016</v>
      </c>
      <c r="C721" s="154" t="s">
        <v>3017</v>
      </c>
      <c r="D721" s="178">
        <f>VLOOKUP(B721,'Planning TB 2024'!$B$14:$Q$888,16,FALSE)</f>
        <v>-1934612.4994423001</v>
      </c>
      <c r="E721" s="178">
        <f>VLOOKUP(B721,'Planning TB 2025'!$B$14:$Q$574,16,FALSE)</f>
        <v>-1622130.8605862001</v>
      </c>
      <c r="F721" s="191">
        <f t="shared" si="23"/>
        <v>312481.63885609992</v>
      </c>
      <c r="G721" s="206">
        <f t="shared" si="24"/>
        <v>-0.16152156514350055</v>
      </c>
    </row>
    <row r="722" spans="1:7" hidden="1" x14ac:dyDescent="0.3">
      <c r="A722" s="154" t="s">
        <v>162</v>
      </c>
      <c r="B722" s="154" t="s">
        <v>3018</v>
      </c>
      <c r="C722" s="154" t="s">
        <v>3019</v>
      </c>
      <c r="D722" s="178">
        <f>VLOOKUP(B722,'Planning TB 2024'!$B$14:$Q$888,16,FALSE)</f>
        <v>27186849.959999993</v>
      </c>
      <c r="E722" s="178">
        <f>VLOOKUP(B722,'Planning TB 2025'!$B$14:$Q$574,16,FALSE)</f>
        <v>28206360</v>
      </c>
      <c r="F722" s="191">
        <f t="shared" si="23"/>
        <v>1019510.0400000066</v>
      </c>
      <c r="G722" s="206">
        <f t="shared" si="24"/>
        <v>3.7500116471750548E-2</v>
      </c>
    </row>
    <row r="723" spans="1:7" hidden="1" x14ac:dyDescent="0.3">
      <c r="A723" s="154" t="s">
        <v>162</v>
      </c>
      <c r="B723" s="154" t="s">
        <v>3020</v>
      </c>
      <c r="C723" s="154" t="s">
        <v>3021</v>
      </c>
      <c r="D723" s="178">
        <f>VLOOKUP(B723,'Planning TB 2024'!$B$14:$Q$888,16,FALSE)</f>
        <v>120000</v>
      </c>
      <c r="E723" s="178">
        <f>VLOOKUP(B723,'Planning TB 2025'!$B$14:$Q$574,16,FALSE)</f>
        <v>124500</v>
      </c>
      <c r="F723" s="191">
        <f t="shared" si="23"/>
        <v>4500</v>
      </c>
      <c r="G723" s="206">
        <f t="shared" si="24"/>
        <v>3.7499999999999999E-2</v>
      </c>
    </row>
    <row r="724" spans="1:7" hidden="1" x14ac:dyDescent="0.3">
      <c r="A724" s="154" t="s">
        <v>162</v>
      </c>
      <c r="B724" s="154" t="s">
        <v>3022</v>
      </c>
      <c r="C724" s="154" t="s">
        <v>3023</v>
      </c>
      <c r="D724" s="178">
        <f>VLOOKUP(B724,'Planning TB 2024'!$B$14:$Q$888,16,FALSE)</f>
        <v>5863707.0067928005</v>
      </c>
      <c r="E724" s="178">
        <f>VLOOKUP(B724,'Planning TB 2025'!$B$14:$Q$574,16,FALSE)</f>
        <v>2242541.4653250999</v>
      </c>
      <c r="F724" s="191">
        <f t="shared" si="23"/>
        <v>-3621165.5414677006</v>
      </c>
      <c r="G724" s="206">
        <f t="shared" si="24"/>
        <v>-0.61755567549210222</v>
      </c>
    </row>
    <row r="725" spans="1:7" hidden="1" x14ac:dyDescent="0.3">
      <c r="A725" s="154" t="s">
        <v>162</v>
      </c>
      <c r="B725" s="154" t="s">
        <v>3024</v>
      </c>
      <c r="C725" s="154" t="s">
        <v>3025</v>
      </c>
      <c r="D725" s="178">
        <f>VLOOKUP(B725,'Planning TB 2024'!$B$14:$Q$888,16,FALSE)</f>
        <v>375129.17632590007</v>
      </c>
      <c r="E725" s="178">
        <f>VLOOKUP(B725,'Planning TB 2025'!$B$14:$Q$574,16,FALSE)</f>
        <v>375901.71382589999</v>
      </c>
      <c r="F725" s="191">
        <f t="shared" si="23"/>
        <v>772.53749999991851</v>
      </c>
      <c r="G725" s="206">
        <f t="shared" si="24"/>
        <v>2.0593906013025311E-3</v>
      </c>
    </row>
    <row r="726" spans="1:7" hidden="1" x14ac:dyDescent="0.3">
      <c r="A726" s="154" t="s">
        <v>162</v>
      </c>
      <c r="B726" s="154" t="s">
        <v>3026</v>
      </c>
      <c r="C726" s="154" t="s">
        <v>3027</v>
      </c>
      <c r="D726" s="178">
        <f>VLOOKUP(B726,'Planning TB 2024'!$B$14:$Q$888,16,FALSE)</f>
        <v>1000</v>
      </c>
      <c r="E726" s="178">
        <f>VLOOKUP(B726,'Planning TB 2025'!$B$14:$Q$574,16,FALSE)</f>
        <v>1000</v>
      </c>
      <c r="F726" s="191">
        <f t="shared" si="23"/>
        <v>0</v>
      </c>
      <c r="G726" s="206">
        <f t="shared" si="24"/>
        <v>0</v>
      </c>
    </row>
    <row r="727" spans="1:7" hidden="1" x14ac:dyDescent="0.3">
      <c r="A727" s="154" t="s">
        <v>162</v>
      </c>
      <c r="B727" s="154" t="s">
        <v>3028</v>
      </c>
      <c r="C727" s="154" t="s">
        <v>3029</v>
      </c>
      <c r="D727" s="178">
        <f>VLOOKUP(B727,'Planning TB 2024'!$B$14:$Q$888,16,FALSE)</f>
        <v>72000</v>
      </c>
      <c r="E727" s="178">
        <f>VLOOKUP(B727,'Planning TB 2025'!$B$14:$Q$574,16,FALSE)</f>
        <v>72000</v>
      </c>
      <c r="F727" s="191">
        <f t="shared" si="23"/>
        <v>0</v>
      </c>
      <c r="G727" s="206">
        <f t="shared" si="24"/>
        <v>0</v>
      </c>
    </row>
    <row r="728" spans="1:7" hidden="1" x14ac:dyDescent="0.3">
      <c r="A728" s="154" t="s">
        <v>162</v>
      </c>
      <c r="B728" s="154" t="s">
        <v>3030</v>
      </c>
      <c r="C728" s="154" t="s">
        <v>3031</v>
      </c>
      <c r="D728" s="178">
        <f>VLOOKUP(B728,'Planning TB 2024'!$B$14:$Q$888,16,FALSE)</f>
        <v>1257116.8741369999</v>
      </c>
      <c r="E728" s="178">
        <f>VLOOKUP(B728,'Planning TB 2025'!$B$14:$Q$574,16,FALSE)</f>
        <v>1287675.6241369997</v>
      </c>
      <c r="F728" s="191">
        <f t="shared" si="23"/>
        <v>30558.749999999767</v>
      </c>
      <c r="G728" s="206">
        <f t="shared" si="24"/>
        <v>2.4308599008328553E-2</v>
      </c>
    </row>
    <row r="729" spans="1:7" hidden="1" x14ac:dyDescent="0.3">
      <c r="A729" s="154" t="s">
        <v>162</v>
      </c>
      <c r="B729" s="154" t="s">
        <v>3032</v>
      </c>
      <c r="C729" s="154" t="s">
        <v>3033</v>
      </c>
      <c r="D729" s="178">
        <f>VLOOKUP(B729,'Planning TB 2024'!$B$14:$Q$888,16,FALSE)</f>
        <v>174125.27331349999</v>
      </c>
      <c r="E729" s="178">
        <f>VLOOKUP(B729,'Planning TB 2025'!$B$14:$Q$574,16,FALSE)</f>
        <v>174262.14831349999</v>
      </c>
      <c r="F729" s="191">
        <f t="shared" si="23"/>
        <v>136.875</v>
      </c>
      <c r="G729" s="206">
        <f t="shared" si="24"/>
        <v>7.8607198940940895E-4</v>
      </c>
    </row>
    <row r="730" spans="1:7" hidden="1" x14ac:dyDescent="0.3">
      <c r="A730" s="154" t="s">
        <v>162</v>
      </c>
      <c r="B730" s="154" t="s">
        <v>3034</v>
      </c>
      <c r="C730" s="154" t="s">
        <v>3035</v>
      </c>
      <c r="D730" s="178">
        <f>VLOOKUP(B730,'Planning TB 2024'!$B$14:$Q$888,16,FALSE)</f>
        <v>74424.666618499992</v>
      </c>
      <c r="E730" s="178">
        <f>VLOOKUP(B730,'Planning TB 2025'!$B$14:$Q$574,16,FALSE)</f>
        <v>74424.666618499992</v>
      </c>
      <c r="F730" s="191">
        <f t="shared" si="23"/>
        <v>0</v>
      </c>
      <c r="G730" s="206">
        <f t="shared" si="24"/>
        <v>0</v>
      </c>
    </row>
    <row r="731" spans="1:7" hidden="1" x14ac:dyDescent="0.3">
      <c r="A731" s="154" t="s">
        <v>162</v>
      </c>
      <c r="B731" s="154" t="s">
        <v>3036</v>
      </c>
      <c r="C731" s="154" t="s">
        <v>3037</v>
      </c>
      <c r="D731" s="178">
        <f>VLOOKUP(B731,'Planning TB 2024'!$B$14:$Q$888,16,FALSE)</f>
        <v>636763.92148730019</v>
      </c>
      <c r="E731" s="178">
        <f>VLOOKUP(B731,'Planning TB 2025'!$B$14:$Q$574,16,FALSE)</f>
        <v>637191.42148729996</v>
      </c>
      <c r="F731" s="191">
        <f t="shared" si="23"/>
        <v>427.49999999976717</v>
      </c>
      <c r="G731" s="206">
        <f t="shared" si="24"/>
        <v>6.713634136199932E-4</v>
      </c>
    </row>
    <row r="732" spans="1:7" hidden="1" x14ac:dyDescent="0.3">
      <c r="A732" s="154" t="s">
        <v>162</v>
      </c>
      <c r="B732" s="154" t="s">
        <v>3038</v>
      </c>
      <c r="C732" s="154" t="s">
        <v>3039</v>
      </c>
      <c r="D732" s="178">
        <f>VLOOKUP(B732,'Planning TB 2024'!$B$14:$Q$888,16,FALSE)</f>
        <v>1079120.0885936001</v>
      </c>
      <c r="E732" s="178">
        <f>VLOOKUP(B732,'Planning TB 2025'!$B$14:$Q$574,16,FALSE)</f>
        <v>1080210.4010936001</v>
      </c>
      <c r="F732" s="191">
        <f t="shared" si="23"/>
        <v>1090.3125</v>
      </c>
      <c r="G732" s="206">
        <f t="shared" si="24"/>
        <v>1.0103717941355227E-3</v>
      </c>
    </row>
    <row r="733" spans="1:7" hidden="1" x14ac:dyDescent="0.3">
      <c r="A733" s="154" t="s">
        <v>162</v>
      </c>
      <c r="B733" s="154" t="s">
        <v>3040</v>
      </c>
      <c r="C733" s="154" t="s">
        <v>3041</v>
      </c>
      <c r="D733" s="178">
        <f>VLOOKUP(B733,'Planning TB 2024'!$B$14:$Q$888,16,FALSE)</f>
        <v>159449.27983370001</v>
      </c>
      <c r="E733" s="178">
        <f>VLOOKUP(B733,'Planning TB 2025'!$B$14:$Q$574,16,FALSE)</f>
        <v>159449.27983370001</v>
      </c>
      <c r="F733" s="191">
        <f t="shared" si="23"/>
        <v>0</v>
      </c>
      <c r="G733" s="206">
        <f t="shared" si="24"/>
        <v>0</v>
      </c>
    </row>
    <row r="734" spans="1:7" hidden="1" x14ac:dyDescent="0.3">
      <c r="A734" s="154" t="s">
        <v>162</v>
      </c>
      <c r="B734" s="154" t="s">
        <v>3042</v>
      </c>
      <c r="C734" s="154" t="s">
        <v>3043</v>
      </c>
      <c r="D734" s="178">
        <f>VLOOKUP(B734,'Planning TB 2024'!$B$14:$Q$888,16,FALSE)</f>
        <v>1779114.4041440999</v>
      </c>
      <c r="E734" s="178">
        <f>VLOOKUP(B734,'Planning TB 2025'!$B$14:$Q$574,16,FALSE)</f>
        <v>1781723.4041444999</v>
      </c>
      <c r="F734" s="191">
        <f t="shared" si="23"/>
        <v>2609.000000400003</v>
      </c>
      <c r="G734" s="206">
        <f t="shared" si="24"/>
        <v>1.4664599389015381E-3</v>
      </c>
    </row>
    <row r="735" spans="1:7" hidden="1" x14ac:dyDescent="0.3">
      <c r="A735" s="154" t="s">
        <v>162</v>
      </c>
      <c r="B735" s="154" t="s">
        <v>3044</v>
      </c>
      <c r="C735" s="154" t="s">
        <v>3045</v>
      </c>
      <c r="D735" s="178">
        <f>VLOOKUP(B735,'Planning TB 2024'!$B$14:$Q$888,16,FALSE)</f>
        <v>14160</v>
      </c>
      <c r="E735" s="178">
        <f>VLOOKUP(B735,'Planning TB 2025'!$B$14:$Q$574,16,FALSE)</f>
        <v>18000</v>
      </c>
      <c r="F735" s="191">
        <f t="shared" si="23"/>
        <v>3840</v>
      </c>
      <c r="G735" s="206">
        <f t="shared" si="24"/>
        <v>0.2711864406779661</v>
      </c>
    </row>
    <row r="736" spans="1:7" hidden="1" x14ac:dyDescent="0.3">
      <c r="A736" s="154" t="s">
        <v>162</v>
      </c>
      <c r="B736" s="154" t="s">
        <v>3046</v>
      </c>
      <c r="C736" s="154" t="s">
        <v>3047</v>
      </c>
      <c r="D736" s="178">
        <f>VLOOKUP(B736,'Planning TB 2024'!$B$14:$Q$888,16,FALSE)</f>
        <v>960107.17999999982</v>
      </c>
      <c r="E736" s="178">
        <f>VLOOKUP(B736,'Planning TB 2025'!$B$14:$Q$574,16,FALSE)</f>
        <v>2131439.3896586001</v>
      </c>
      <c r="F736" s="191">
        <f t="shared" si="23"/>
        <v>1171332.2096586004</v>
      </c>
      <c r="G736" s="206">
        <f t="shared" si="24"/>
        <v>1.2200015103090893</v>
      </c>
    </row>
    <row r="737" spans="1:7" hidden="1" x14ac:dyDescent="0.3">
      <c r="A737" s="154" t="s">
        <v>162</v>
      </c>
      <c r="B737" s="154" t="s">
        <v>3048</v>
      </c>
      <c r="C737" s="154" t="s">
        <v>3049</v>
      </c>
      <c r="D737" s="178">
        <f>VLOOKUP(B737,'Planning TB 2024'!$B$14:$Q$888,16,FALSE)</f>
        <v>1039999.9999999</v>
      </c>
      <c r="E737" s="178">
        <f>VLOOKUP(B737,'Planning TB 2025'!$B$14:$Q$574,16,FALSE)</f>
        <v>1125999.9999998999</v>
      </c>
      <c r="F737" s="191">
        <f t="shared" si="23"/>
        <v>85999.999999999884</v>
      </c>
      <c r="G737" s="206">
        <f t="shared" si="24"/>
        <v>8.2692307692315531E-2</v>
      </c>
    </row>
    <row r="738" spans="1:7" hidden="1" x14ac:dyDescent="0.3">
      <c r="A738" s="154" t="s">
        <v>162</v>
      </c>
      <c r="B738" s="154" t="s">
        <v>3050</v>
      </c>
      <c r="C738" s="154" t="s">
        <v>3051</v>
      </c>
      <c r="D738" s="178">
        <f>VLOOKUP(B738,'Planning TB 2024'!$B$14:$Q$888,16,FALSE)</f>
        <v>4770.2898448999986</v>
      </c>
      <c r="E738" s="178">
        <f>VLOOKUP(B738,'Planning TB 2025'!$B$14:$Q$574,16,FALSE)</f>
        <v>4770.2898448999986</v>
      </c>
      <c r="F738" s="191">
        <f t="shared" si="23"/>
        <v>0</v>
      </c>
      <c r="G738" s="206">
        <f t="shared" si="24"/>
        <v>0</v>
      </c>
    </row>
    <row r="739" spans="1:7" hidden="1" x14ac:dyDescent="0.3">
      <c r="A739" s="154" t="s">
        <v>162</v>
      </c>
      <c r="B739" s="154" t="s">
        <v>3052</v>
      </c>
      <c r="C739" s="154" t="s">
        <v>3053</v>
      </c>
      <c r="D739" s="178">
        <f>VLOOKUP(B739,'Planning TB 2024'!$B$14:$Q$888,16,FALSE)</f>
        <v>244867.36</v>
      </c>
      <c r="E739" s="178">
        <f>VLOOKUP(B739,'Planning TB 2025'!$B$14:$Q$574,16,FALSE)</f>
        <v>244867.36</v>
      </c>
      <c r="F739" s="191">
        <f t="shared" si="23"/>
        <v>0</v>
      </c>
      <c r="G739" s="206">
        <f t="shared" si="24"/>
        <v>0</v>
      </c>
    </row>
    <row r="740" spans="1:7" hidden="1" x14ac:dyDescent="0.3">
      <c r="A740" s="154" t="s">
        <v>162</v>
      </c>
      <c r="B740" s="154" t="s">
        <v>3054</v>
      </c>
      <c r="C740" s="154" t="s">
        <v>3055</v>
      </c>
      <c r="D740" s="178">
        <f>VLOOKUP(B740,'Planning TB 2024'!$B$14:$Q$888,16,FALSE)</f>
        <v>1735400.0399995996</v>
      </c>
      <c r="E740" s="178">
        <f>VLOOKUP(B740,'Planning TB 2025'!$B$14:$Q$574,16,FALSE)</f>
        <v>1684449.2899995996</v>
      </c>
      <c r="F740" s="191">
        <f t="shared" si="23"/>
        <v>-50950.75</v>
      </c>
      <c r="G740" s="206">
        <f t="shared" si="24"/>
        <v>-2.9359657039083484E-2</v>
      </c>
    </row>
    <row r="741" spans="1:7" hidden="1" x14ac:dyDescent="0.3">
      <c r="A741" s="154" t="s">
        <v>162</v>
      </c>
      <c r="B741" s="154" t="s">
        <v>3056</v>
      </c>
      <c r="C741" s="154" t="s">
        <v>3057</v>
      </c>
      <c r="D741" s="178">
        <f>VLOOKUP(B741,'Planning TB 2024'!$B$14:$Q$888,16,FALSE)</f>
        <v>2579496.0066673998</v>
      </c>
      <c r="E741" s="178">
        <f>VLOOKUP(B741,'Planning TB 2025'!$B$14:$Q$574,16,FALSE)</f>
        <v>2623131.0069174003</v>
      </c>
      <c r="F741" s="191">
        <f t="shared" si="23"/>
        <v>43635.000250000507</v>
      </c>
      <c r="G741" s="206">
        <f t="shared" si="24"/>
        <v>1.6916095290403294E-2</v>
      </c>
    </row>
    <row r="742" spans="1:7" hidden="1" x14ac:dyDescent="0.3">
      <c r="A742" s="154" t="s">
        <v>162</v>
      </c>
      <c r="B742" s="154" t="s">
        <v>3058</v>
      </c>
      <c r="C742" s="154" t="s">
        <v>3059</v>
      </c>
      <c r="D742" s="178">
        <f>VLOOKUP(B742,'Planning TB 2024'!$B$14:$Q$888,16,FALSE)</f>
        <v>3549445.3599995994</v>
      </c>
      <c r="E742" s="178">
        <f>VLOOKUP(B742,'Planning TB 2025'!$B$14:$Q$574,16,FALSE)</f>
        <v>4314241.0474378001</v>
      </c>
      <c r="F742" s="191">
        <f t="shared" si="23"/>
        <v>764795.68743820069</v>
      </c>
      <c r="G742" s="206">
        <f t="shared" si="24"/>
        <v>0.21546906907119906</v>
      </c>
    </row>
    <row r="743" spans="1:7" hidden="1" x14ac:dyDescent="0.3">
      <c r="A743" s="154" t="s">
        <v>162</v>
      </c>
      <c r="B743" s="154" t="s">
        <v>3060</v>
      </c>
      <c r="C743" s="154" t="s">
        <v>3061</v>
      </c>
      <c r="D743" s="178">
        <f>VLOOKUP(B743,'Planning TB 2024'!$B$14:$Q$888,16,FALSE)</f>
        <v>347000</v>
      </c>
      <c r="E743" s="178">
        <f>VLOOKUP(B743,'Planning TB 2025'!$B$14:$Q$574,16,FALSE)</f>
        <v>280000</v>
      </c>
      <c r="F743" s="191">
        <f t="shared" si="23"/>
        <v>-67000</v>
      </c>
      <c r="G743" s="206">
        <f t="shared" si="24"/>
        <v>-0.1930835734870317</v>
      </c>
    </row>
    <row r="744" spans="1:7" hidden="1" x14ac:dyDescent="0.3">
      <c r="A744" s="154" t="s">
        <v>162</v>
      </c>
      <c r="B744" s="154" t="s">
        <v>3062</v>
      </c>
      <c r="C744" s="154" t="s">
        <v>3063</v>
      </c>
      <c r="D744" s="178">
        <f>VLOOKUP(B744,'Planning TB 2024'!$B$14:$Q$888,16,FALSE)</f>
        <v>75593524.229086086</v>
      </c>
      <c r="E744" s="178">
        <f>VLOOKUP(B744,'Planning TB 2025'!$B$14:$Q$574,16,FALSE)</f>
        <v>87467354.310758412</v>
      </c>
      <c r="F744" s="191">
        <f t="shared" si="23"/>
        <v>11873830.081672326</v>
      </c>
      <c r="G744" s="206">
        <f t="shared" si="24"/>
        <v>0.15707469922540848</v>
      </c>
    </row>
    <row r="745" spans="1:7" hidden="1" x14ac:dyDescent="0.3">
      <c r="A745" s="154" t="s">
        <v>162</v>
      </c>
      <c r="B745" s="154" t="s">
        <v>3064</v>
      </c>
      <c r="C745" s="154" t="s">
        <v>3065</v>
      </c>
      <c r="D745" s="178">
        <f>VLOOKUP(B745,'Planning TB 2024'!$B$14:$Q$888,16,FALSE)</f>
        <v>8147</v>
      </c>
      <c r="E745" s="178">
        <f>VLOOKUP(B745,'Planning TB 2025'!$B$14:$Q$574,16,FALSE)</f>
        <v>8147</v>
      </c>
      <c r="F745" s="191">
        <f t="shared" si="23"/>
        <v>0</v>
      </c>
      <c r="G745" s="206">
        <f t="shared" si="24"/>
        <v>0</v>
      </c>
    </row>
    <row r="746" spans="1:7" hidden="1" x14ac:dyDescent="0.3">
      <c r="A746" s="154" t="s">
        <v>162</v>
      </c>
      <c r="B746" s="154" t="s">
        <v>3066</v>
      </c>
      <c r="C746" s="154" t="s">
        <v>3067</v>
      </c>
      <c r="D746" s="178">
        <f>VLOOKUP(B746,'Planning TB 2024'!$B$14:$Q$888,16,FALSE)</f>
        <v>27334698.237999998</v>
      </c>
      <c r="E746" s="178">
        <f>VLOOKUP(B746,'Planning TB 2025'!$B$14:$Q$574,16,FALSE)</f>
        <v>28652228.477999996</v>
      </c>
      <c r="F746" s="191">
        <f t="shared" si="23"/>
        <v>1317530.2399999984</v>
      </c>
      <c r="G746" s="206">
        <f t="shared" si="24"/>
        <v>4.8199918964841597E-2</v>
      </c>
    </row>
    <row r="747" spans="1:7" hidden="1" x14ac:dyDescent="0.3">
      <c r="A747" s="154" t="s">
        <v>162</v>
      </c>
      <c r="B747" s="154" t="s">
        <v>3068</v>
      </c>
      <c r="C747" s="154" t="s">
        <v>3069</v>
      </c>
      <c r="D747" s="178">
        <f>VLOOKUP(B747,'Planning TB 2024'!$B$14:$Q$888,16,FALSE)</f>
        <v>17151.946555800001</v>
      </c>
      <c r="E747" s="178">
        <f>VLOOKUP(B747,'Planning TB 2025'!$B$14:$Q$574,16,FALSE)</f>
        <v>17151.946555800001</v>
      </c>
      <c r="F747" s="191">
        <f t="shared" si="23"/>
        <v>0</v>
      </c>
      <c r="G747" s="206">
        <f t="shared" si="24"/>
        <v>0</v>
      </c>
    </row>
    <row r="748" spans="1:7" hidden="1" x14ac:dyDescent="0.3">
      <c r="A748" s="154" t="s">
        <v>162</v>
      </c>
      <c r="B748" s="154" t="s">
        <v>3070</v>
      </c>
      <c r="C748" s="154" t="s">
        <v>3071</v>
      </c>
      <c r="D748" s="178">
        <f>VLOOKUP(B748,'Planning TB 2024'!$B$14:$Q$888,16,FALSE)</f>
        <v>4200000</v>
      </c>
      <c r="E748" s="178">
        <f>VLOOKUP(B748,'Planning TB 2025'!$B$14:$Q$574,16,FALSE)</f>
        <v>4200000</v>
      </c>
      <c r="F748" s="191">
        <f t="shared" si="23"/>
        <v>0</v>
      </c>
      <c r="G748" s="206">
        <f t="shared" si="24"/>
        <v>0</v>
      </c>
    </row>
    <row r="749" spans="1:7" hidden="1" x14ac:dyDescent="0.3">
      <c r="A749" s="154" t="s">
        <v>162</v>
      </c>
      <c r="B749" s="154" t="s">
        <v>3072</v>
      </c>
      <c r="C749" s="154" t="s">
        <v>3073</v>
      </c>
      <c r="D749" s="178">
        <f>VLOOKUP(B749,'Planning TB 2024'!$B$14:$Q$888,16,FALSE)</f>
        <v>3000</v>
      </c>
      <c r="E749" s="178">
        <f>VLOOKUP(B749,'Planning TB 2025'!$B$14:$Q$574,16,FALSE)</f>
        <v>3000</v>
      </c>
      <c r="F749" s="191">
        <f t="shared" si="23"/>
        <v>0</v>
      </c>
      <c r="G749" s="206">
        <f t="shared" si="24"/>
        <v>0</v>
      </c>
    </row>
    <row r="750" spans="1:7" hidden="1" x14ac:dyDescent="0.3">
      <c r="A750" s="154" t="s">
        <v>162</v>
      </c>
      <c r="B750" s="154" t="s">
        <v>3074</v>
      </c>
      <c r="C750" s="154" t="s">
        <v>3075</v>
      </c>
      <c r="D750" s="178">
        <f>VLOOKUP(B750,'Planning TB 2024'!$B$14:$Q$888,16,FALSE)</f>
        <v>182345.82634270005</v>
      </c>
      <c r="E750" s="178">
        <f>VLOOKUP(B750,'Planning TB 2025'!$B$14:$Q$574,16,FALSE)</f>
        <v>182345.82634270005</v>
      </c>
      <c r="F750" s="191">
        <f t="shared" si="23"/>
        <v>0</v>
      </c>
      <c r="G750" s="206">
        <f t="shared" si="24"/>
        <v>0</v>
      </c>
    </row>
    <row r="751" spans="1:7" hidden="1" x14ac:dyDescent="0.3">
      <c r="A751" s="154" t="s">
        <v>162</v>
      </c>
      <c r="B751" s="154" t="s">
        <v>3076</v>
      </c>
      <c r="C751" s="154" t="s">
        <v>3077</v>
      </c>
      <c r="D751" s="178">
        <f>VLOOKUP(B751,'Planning TB 2024'!$B$14:$Q$888,16,FALSE)</f>
        <v>16839613.7658001</v>
      </c>
      <c r="E751" s="178">
        <f>VLOOKUP(B751,'Planning TB 2025'!$B$14:$Q$574,16,FALSE)</f>
        <v>18690706.067600105</v>
      </c>
      <c r="F751" s="191">
        <f t="shared" si="23"/>
        <v>1851092.3018000051</v>
      </c>
      <c r="G751" s="206">
        <f t="shared" si="24"/>
        <v>0.10992486689685393</v>
      </c>
    </row>
    <row r="752" spans="1:7" hidden="1" x14ac:dyDescent="0.3">
      <c r="A752" s="154" t="s">
        <v>162</v>
      </c>
      <c r="B752" s="154" t="s">
        <v>3078</v>
      </c>
      <c r="C752" s="154" t="s">
        <v>3079</v>
      </c>
      <c r="D752" s="178">
        <f>VLOOKUP(B752,'Planning TB 2024'!$B$14:$Q$888,16,FALSE)</f>
        <v>54600</v>
      </c>
      <c r="E752" s="178">
        <f>VLOOKUP(B752,'Planning TB 2025'!$B$14:$Q$574,16,FALSE)</f>
        <v>54600</v>
      </c>
      <c r="F752" s="191">
        <f t="shared" si="23"/>
        <v>0</v>
      </c>
      <c r="G752" s="206">
        <f t="shared" si="24"/>
        <v>0</v>
      </c>
    </row>
    <row r="753" spans="1:7" hidden="1" x14ac:dyDescent="0.3">
      <c r="A753" s="154" t="s">
        <v>162</v>
      </c>
      <c r="B753" s="154" t="s">
        <v>3080</v>
      </c>
      <c r="C753" s="154" t="s">
        <v>3081</v>
      </c>
      <c r="D753" s="178">
        <f>VLOOKUP(B753,'Planning TB 2024'!$B$14:$Q$888,16,FALSE)</f>
        <v>2698241.9531604</v>
      </c>
      <c r="E753" s="178">
        <f>VLOOKUP(B753,'Planning TB 2025'!$B$14:$Q$574,16,FALSE)</f>
        <v>2439639.0048936005</v>
      </c>
      <c r="F753" s="191">
        <f t="shared" si="23"/>
        <v>-258602.94826679956</v>
      </c>
      <c r="G753" s="206">
        <f t="shared" si="24"/>
        <v>-9.5841274709965424E-2</v>
      </c>
    </row>
    <row r="754" spans="1:7" hidden="1" x14ac:dyDescent="0.3">
      <c r="A754" s="154" t="s">
        <v>162</v>
      </c>
      <c r="B754" s="154" t="s">
        <v>3082</v>
      </c>
      <c r="C754" s="154" t="s">
        <v>3083</v>
      </c>
      <c r="D754" s="178">
        <f>VLOOKUP(B754,'Planning TB 2024'!$B$14:$Q$888,16,FALSE)</f>
        <v>18186974</v>
      </c>
      <c r="E754" s="178">
        <f>VLOOKUP(B754,'Planning TB 2025'!$B$14:$Q$574,16,FALSE)</f>
        <v>14926928</v>
      </c>
      <c r="F754" s="191">
        <f t="shared" si="23"/>
        <v>-3260046</v>
      </c>
      <c r="G754" s="206">
        <f t="shared" si="24"/>
        <v>-0.17925169959554568</v>
      </c>
    </row>
    <row r="755" spans="1:7" hidden="1" x14ac:dyDescent="0.3">
      <c r="A755" s="154" t="s">
        <v>162</v>
      </c>
      <c r="B755" s="154" t="s">
        <v>3084</v>
      </c>
      <c r="C755" s="154" t="s">
        <v>3085</v>
      </c>
      <c r="D755" s="178">
        <f>VLOOKUP(B755,'Planning TB 2024'!$B$14:$Q$888,16,FALSE)</f>
        <v>618502065</v>
      </c>
      <c r="E755" s="178">
        <f>VLOOKUP(B755,'Planning TB 2025'!$B$14:$Q$574,16,FALSE)</f>
        <v>669819122</v>
      </c>
      <c r="F755" s="191">
        <f t="shared" si="23"/>
        <v>51317057</v>
      </c>
      <c r="G755" s="206">
        <f t="shared" si="24"/>
        <v>8.2969904069762485E-2</v>
      </c>
    </row>
    <row r="756" spans="1:7" hidden="1" x14ac:dyDescent="0.3">
      <c r="A756" s="154" t="s">
        <v>162</v>
      </c>
      <c r="B756" s="154" t="s">
        <v>3086</v>
      </c>
      <c r="C756" s="154" t="s">
        <v>3087</v>
      </c>
      <c r="D756" s="178">
        <f>VLOOKUP(B756,'Planning TB 2024'!$B$14:$Q$888,16,FALSE)</f>
        <v>807084</v>
      </c>
      <c r="E756" s="178">
        <f>VLOOKUP(B756,'Planning TB 2025'!$B$14:$Q$574,16,FALSE)</f>
        <v>722083.66666629992</v>
      </c>
      <c r="F756" s="191">
        <f t="shared" si="23"/>
        <v>-85000.33333370008</v>
      </c>
      <c r="G756" s="206">
        <f t="shared" si="24"/>
        <v>-0.10531782730632756</v>
      </c>
    </row>
    <row r="757" spans="1:7" hidden="1" x14ac:dyDescent="0.3">
      <c r="A757" s="154" t="s">
        <v>162</v>
      </c>
      <c r="B757" s="154" t="s">
        <v>3088</v>
      </c>
      <c r="C757" s="154" t="s">
        <v>3089</v>
      </c>
      <c r="D757" s="178">
        <f>VLOOKUP(B757,'Planning TB 2024'!$B$14:$Q$888,16,FALSE)</f>
        <v>-21</v>
      </c>
      <c r="E757" s="178">
        <f>VLOOKUP(B757,'Planning TB 2025'!$B$14:$Q$574,16,FALSE)</f>
        <v>-20</v>
      </c>
      <c r="F757" s="191">
        <f t="shared" si="23"/>
        <v>1</v>
      </c>
      <c r="G757" s="206">
        <f t="shared" si="24"/>
        <v>-4.7619047619047616E-2</v>
      </c>
    </row>
    <row r="758" spans="1:7" hidden="1" x14ac:dyDescent="0.3">
      <c r="A758" s="154" t="s">
        <v>162</v>
      </c>
      <c r="B758" s="154" t="s">
        <v>3090</v>
      </c>
      <c r="C758" s="154" t="s">
        <v>3091</v>
      </c>
      <c r="D758" s="178">
        <f>VLOOKUP(B758,'Planning TB 2024'!$B$14:$Q$888,16,FALSE)</f>
        <v>21028651.428460799</v>
      </c>
      <c r="E758" s="178">
        <f>VLOOKUP(B758,'Planning TB 2025'!$B$14:$Q$574,16,FALSE)</f>
        <v>16783255.023564801</v>
      </c>
      <c r="F758" s="191">
        <f t="shared" si="23"/>
        <v>-4245396.4048959985</v>
      </c>
      <c r="G758" s="206">
        <f t="shared" si="24"/>
        <v>-0.20188628925343988</v>
      </c>
    </row>
    <row r="759" spans="1:7" hidden="1" x14ac:dyDescent="0.3">
      <c r="A759" s="154" t="s">
        <v>162</v>
      </c>
      <c r="B759" s="154" t="s">
        <v>3092</v>
      </c>
      <c r="C759" s="154" t="s">
        <v>3093</v>
      </c>
      <c r="D759" s="178">
        <f>VLOOKUP(B759,'Planning TB 2024'!$B$14:$Q$888,16,FALSE)</f>
        <v>17187.5</v>
      </c>
      <c r="E759" s="178">
        <f>VLOOKUP(B759,'Planning TB 2025'!$B$14:$Q$574,16,FALSE)</f>
        <v>17569.531249999996</v>
      </c>
      <c r="F759" s="191">
        <f t="shared" si="23"/>
        <v>382.03124999999636</v>
      </c>
      <c r="G759" s="206">
        <f t="shared" si="24"/>
        <v>2.2227272727272516E-2</v>
      </c>
    </row>
    <row r="760" spans="1:7" hidden="1" x14ac:dyDescent="0.3">
      <c r="A760" s="154" t="s">
        <v>162</v>
      </c>
      <c r="B760" s="154" t="s">
        <v>3094</v>
      </c>
      <c r="C760" s="154" t="s">
        <v>3095</v>
      </c>
      <c r="D760" s="178">
        <f>VLOOKUP(B760,'Planning TB 2024'!$B$14:$Q$888,16,FALSE)</f>
        <v>289070.39837389998</v>
      </c>
      <c r="E760" s="178">
        <f>VLOOKUP(B760,'Planning TB 2025'!$B$14:$Q$574,16,FALSE)</f>
        <v>287870.39837389998</v>
      </c>
      <c r="F760" s="191">
        <f t="shared" si="23"/>
        <v>-1200</v>
      </c>
      <c r="G760" s="206">
        <f t="shared" si="24"/>
        <v>-4.151237922493372E-3</v>
      </c>
    </row>
    <row r="761" spans="1:7" hidden="1" x14ac:dyDescent="0.3">
      <c r="A761" s="154" t="s">
        <v>162</v>
      </c>
      <c r="B761" s="154" t="s">
        <v>3096</v>
      </c>
      <c r="C761" s="154" t="s">
        <v>3097</v>
      </c>
      <c r="D761" s="178">
        <f>VLOOKUP(B761,'Planning TB 2024'!$B$14:$Q$888,16,FALSE)</f>
        <v>988542.58488290012</v>
      </c>
      <c r="E761" s="178">
        <f>VLOOKUP(B761,'Planning TB 2025'!$B$14:$Q$574,16,FALSE)</f>
        <v>988542.58488290012</v>
      </c>
      <c r="F761" s="191">
        <f t="shared" si="23"/>
        <v>0</v>
      </c>
      <c r="G761" s="206">
        <f t="shared" si="24"/>
        <v>0</v>
      </c>
    </row>
    <row r="762" spans="1:7" hidden="1" x14ac:dyDescent="0.3">
      <c r="A762" s="154" t="s">
        <v>162</v>
      </c>
      <c r="B762" s="154" t="s">
        <v>3098</v>
      </c>
      <c r="C762" s="154" t="s">
        <v>3099</v>
      </c>
      <c r="D762" s="178">
        <f>VLOOKUP(B762,'Planning TB 2024'!$B$14:$Q$888,16,FALSE)</f>
        <v>5457049.7203149013</v>
      </c>
      <c r="E762" s="178">
        <f>VLOOKUP(B762,'Planning TB 2025'!$B$14:$Q$574,16,FALSE)</f>
        <v>5457049.7203149013</v>
      </c>
      <c r="F762" s="191">
        <f t="shared" si="23"/>
        <v>0</v>
      </c>
      <c r="G762" s="206">
        <f t="shared" si="24"/>
        <v>0</v>
      </c>
    </row>
    <row r="763" spans="1:7" hidden="1" x14ac:dyDescent="0.3">
      <c r="A763" s="154" t="s">
        <v>162</v>
      </c>
      <c r="B763" s="154" t="s">
        <v>3100</v>
      </c>
      <c r="C763" s="154" t="s">
        <v>3101</v>
      </c>
      <c r="D763" s="178">
        <f>VLOOKUP(B763,'Planning TB 2024'!$B$14:$Q$888,16,FALSE)</f>
        <v>289326.56699389999</v>
      </c>
      <c r="E763" s="178">
        <f>VLOOKUP(B763,'Planning TB 2025'!$B$14:$Q$574,16,FALSE)</f>
        <v>289326.56699389999</v>
      </c>
      <c r="F763" s="191">
        <f t="shared" si="23"/>
        <v>0</v>
      </c>
      <c r="G763" s="206">
        <f t="shared" si="24"/>
        <v>0</v>
      </c>
    </row>
    <row r="764" spans="1:7" hidden="1" x14ac:dyDescent="0.3">
      <c r="A764" s="154" t="s">
        <v>162</v>
      </c>
      <c r="B764" s="154" t="s">
        <v>3102</v>
      </c>
      <c r="C764" s="154" t="s">
        <v>3103</v>
      </c>
      <c r="D764" s="178">
        <f>VLOOKUP(B764,'Planning TB 2024'!$B$14:$Q$888,16,FALSE)</f>
        <v>24000</v>
      </c>
      <c r="E764" s="178">
        <f>VLOOKUP(B764,'Planning TB 2025'!$B$14:$Q$574,16,FALSE)</f>
        <v>24000</v>
      </c>
      <c r="F764" s="191">
        <f t="shared" si="23"/>
        <v>0</v>
      </c>
      <c r="G764" s="206">
        <f t="shared" si="24"/>
        <v>0</v>
      </c>
    </row>
    <row r="765" spans="1:7" hidden="1" x14ac:dyDescent="0.3">
      <c r="A765" s="154" t="s">
        <v>162</v>
      </c>
      <c r="B765" s="154" t="s">
        <v>3104</v>
      </c>
      <c r="C765" s="154" t="s">
        <v>3105</v>
      </c>
      <c r="D765" s="178">
        <f>VLOOKUP(B765,'Planning TB 2024'!$B$14:$Q$888,16,FALSE)</f>
        <v>748333.04219619988</v>
      </c>
      <c r="E765" s="178">
        <f>VLOOKUP(B765,'Planning TB 2025'!$B$14:$Q$574,16,FALSE)</f>
        <v>748333.04219619988</v>
      </c>
      <c r="F765" s="191">
        <f t="shared" si="23"/>
        <v>0</v>
      </c>
      <c r="G765" s="206">
        <f t="shared" si="24"/>
        <v>0</v>
      </c>
    </row>
    <row r="766" spans="1:7" hidden="1" x14ac:dyDescent="0.3">
      <c r="A766" s="154" t="s">
        <v>162</v>
      </c>
      <c r="B766" s="154" t="s">
        <v>3106</v>
      </c>
      <c r="C766" s="154" t="s">
        <v>3107</v>
      </c>
      <c r="D766" s="178">
        <f>VLOOKUP(B766,'Planning TB 2024'!$B$14:$Q$888,16,FALSE)</f>
        <v>92554.317852500011</v>
      </c>
      <c r="E766" s="178">
        <f>VLOOKUP(B766,'Planning TB 2025'!$B$14:$Q$574,16,FALSE)</f>
        <v>92554.317852500011</v>
      </c>
      <c r="F766" s="191">
        <f t="shared" si="23"/>
        <v>0</v>
      </c>
      <c r="G766" s="206">
        <f t="shared" si="24"/>
        <v>0</v>
      </c>
    </row>
    <row r="767" spans="1:7" hidden="1" x14ac:dyDescent="0.3">
      <c r="A767" s="154" t="s">
        <v>162</v>
      </c>
      <c r="B767" s="154" t="s">
        <v>3108</v>
      </c>
      <c r="C767" s="154" t="s">
        <v>3109</v>
      </c>
      <c r="D767" s="178">
        <f>VLOOKUP(B767,'Planning TB 2024'!$B$14:$Q$888,16,FALSE)</f>
        <v>508.86794270000001</v>
      </c>
      <c r="E767" s="178">
        <f>VLOOKUP(B767,'Planning TB 2025'!$B$14:$Q$574,16,FALSE)</f>
        <v>508.86794270000001</v>
      </c>
      <c r="F767" s="191">
        <f t="shared" si="23"/>
        <v>0</v>
      </c>
      <c r="G767" s="206">
        <f t="shared" si="24"/>
        <v>0</v>
      </c>
    </row>
    <row r="768" spans="1:7" hidden="1" x14ac:dyDescent="0.3">
      <c r="A768" s="154" t="s">
        <v>162</v>
      </c>
      <c r="B768" s="154" t="s">
        <v>3110</v>
      </c>
      <c r="C768" s="154" t="s">
        <v>3111</v>
      </c>
      <c r="D768" s="178">
        <f>VLOOKUP(B768,'Planning TB 2024'!$B$14:$Q$888,16,FALSE)</f>
        <v>11702744.017670499</v>
      </c>
      <c r="E768" s="178">
        <f>VLOOKUP(B768,'Planning TB 2025'!$B$14:$Q$574,16,FALSE)</f>
        <v>12117120.113547301</v>
      </c>
      <c r="F768" s="191">
        <f t="shared" si="23"/>
        <v>414376.09587680176</v>
      </c>
      <c r="G768" s="206">
        <f t="shared" si="24"/>
        <v>3.5408455935728979E-2</v>
      </c>
    </row>
    <row r="769" spans="1:7" hidden="1" x14ac:dyDescent="0.3">
      <c r="A769" s="154" t="s">
        <v>162</v>
      </c>
      <c r="B769" s="154" t="s">
        <v>3112</v>
      </c>
      <c r="C769" s="154" t="s">
        <v>3113</v>
      </c>
      <c r="D769" s="178">
        <f>VLOOKUP(B769,'Planning TB 2024'!$B$14:$Q$888,16,FALSE)</f>
        <v>44496</v>
      </c>
      <c r="E769" s="178">
        <f>VLOOKUP(B769,'Planning TB 2025'!$B$14:$Q$574,16,FALSE)</f>
        <v>44496</v>
      </c>
      <c r="F769" s="191">
        <f t="shared" si="23"/>
        <v>0</v>
      </c>
      <c r="G769" s="206">
        <f t="shared" si="24"/>
        <v>0</v>
      </c>
    </row>
    <row r="770" spans="1:7" hidden="1" x14ac:dyDescent="0.3">
      <c r="A770" s="154" t="s">
        <v>162</v>
      </c>
      <c r="B770" s="154" t="s">
        <v>3114</v>
      </c>
      <c r="C770" s="154" t="s">
        <v>3115</v>
      </c>
      <c r="D770" s="178">
        <f>VLOOKUP(B770,'Planning TB 2024'!$B$14:$Q$888,16,FALSE)</f>
        <v>257679.51428590002</v>
      </c>
      <c r="E770" s="178">
        <f>VLOOKUP(B770,'Planning TB 2025'!$B$14:$Q$574,16,FALSE)</f>
        <v>257679.51428590002</v>
      </c>
      <c r="F770" s="191">
        <f t="shared" si="23"/>
        <v>0</v>
      </c>
      <c r="G770" s="206">
        <f t="shared" si="24"/>
        <v>0</v>
      </c>
    </row>
    <row r="771" spans="1:7" hidden="1" x14ac:dyDescent="0.3">
      <c r="A771" s="154" t="s">
        <v>162</v>
      </c>
      <c r="B771" s="154" t="s">
        <v>3116</v>
      </c>
      <c r="C771" s="154" t="s">
        <v>3117</v>
      </c>
      <c r="D771" s="178">
        <f>VLOOKUP(B771,'Planning TB 2024'!$B$14:$Q$888,16,FALSE)</f>
        <v>168589.52063320004</v>
      </c>
      <c r="E771" s="178">
        <f>VLOOKUP(B771,'Planning TB 2025'!$B$14:$Q$574,16,FALSE)</f>
        <v>168589.52063680007</v>
      </c>
      <c r="F771" s="191">
        <f t="shared" si="23"/>
        <v>3.6000274121761322E-6</v>
      </c>
      <c r="G771" s="206">
        <f t="shared" si="24"/>
        <v>2.1353803004213449E-11</v>
      </c>
    </row>
    <row r="772" spans="1:7" hidden="1" x14ac:dyDescent="0.3">
      <c r="A772" s="154" t="s">
        <v>162</v>
      </c>
      <c r="B772" s="154" t="s">
        <v>3118</v>
      </c>
      <c r="C772" s="154" t="s">
        <v>3119</v>
      </c>
      <c r="D772" s="178">
        <f>VLOOKUP(B772,'Planning TB 2024'!$B$14:$Q$888,16,FALSE)</f>
        <v>-1613126</v>
      </c>
      <c r="E772" s="178">
        <f>VLOOKUP(B772,'Planning TB 2025'!$B$14:$Q$574,16,FALSE)</f>
        <v>-235845.11016250003</v>
      </c>
      <c r="F772" s="191">
        <f t="shared" ref="F772:F835" si="25">E772-D772</f>
        <v>1377280.8898374999</v>
      </c>
      <c r="G772" s="206">
        <f t="shared" ref="G772:G835" si="26">F772/D772</f>
        <v>-0.85379622536460265</v>
      </c>
    </row>
    <row r="773" spans="1:7" hidden="1" x14ac:dyDescent="0.3">
      <c r="A773" s="154" t="s">
        <v>162</v>
      </c>
      <c r="B773" s="154" t="s">
        <v>3120</v>
      </c>
      <c r="C773" s="154" t="s">
        <v>3121</v>
      </c>
      <c r="D773" s="178">
        <f>VLOOKUP(B773,'Planning TB 2024'!$B$14:$Q$888,16,FALSE)</f>
        <v>4359916.3050965006</v>
      </c>
      <c r="E773" s="178">
        <f>VLOOKUP(B773,'Planning TB 2025'!$B$14:$Q$574,16,FALSE)</f>
        <v>4030433.9228039011</v>
      </c>
      <c r="F773" s="191">
        <f t="shared" si="25"/>
        <v>-329482.38229259942</v>
      </c>
      <c r="G773" s="206">
        <f t="shared" si="26"/>
        <v>-7.5570804399949787E-2</v>
      </c>
    </row>
    <row r="774" spans="1:7" hidden="1" x14ac:dyDescent="0.3">
      <c r="A774" s="154" t="s">
        <v>162</v>
      </c>
      <c r="B774" s="154" t="s">
        <v>3122</v>
      </c>
      <c r="C774" s="154" t="s">
        <v>3123</v>
      </c>
      <c r="D774" s="178">
        <f>VLOOKUP(B774,'Planning TB 2024'!$B$14:$Q$888,16,FALSE)</f>
        <v>270000.03999999986</v>
      </c>
      <c r="E774" s="178">
        <f>VLOOKUP(B774,'Planning TB 2025'!$B$14:$Q$574,16,FALSE)</f>
        <v>270000.03999999986</v>
      </c>
      <c r="F774" s="191">
        <f t="shared" si="25"/>
        <v>0</v>
      </c>
      <c r="G774" s="206">
        <f t="shared" si="26"/>
        <v>0</v>
      </c>
    </row>
    <row r="775" spans="1:7" hidden="1" x14ac:dyDescent="0.3">
      <c r="A775" s="154" t="s">
        <v>162</v>
      </c>
      <c r="B775" s="154" t="s">
        <v>3124</v>
      </c>
      <c r="C775" s="154" t="s">
        <v>3125</v>
      </c>
      <c r="D775" s="178">
        <f>VLOOKUP(B775,'Planning TB 2024'!$B$14:$Q$888,16,FALSE)</f>
        <v>-21824109.280885596</v>
      </c>
      <c r="E775" s="178">
        <f>VLOOKUP(B775,'Planning TB 2025'!$B$14:$Q$574,16,FALSE)</f>
        <v>-20920803.296463203</v>
      </c>
      <c r="F775" s="191">
        <f t="shared" si="25"/>
        <v>903305.98442239314</v>
      </c>
      <c r="G775" s="206">
        <f t="shared" si="26"/>
        <v>-4.139027956634838E-2</v>
      </c>
    </row>
    <row r="776" spans="1:7" hidden="1" x14ac:dyDescent="0.3">
      <c r="A776" s="154" t="s">
        <v>162</v>
      </c>
      <c r="B776" s="154" t="s">
        <v>3126</v>
      </c>
      <c r="C776" s="154" t="s">
        <v>3127</v>
      </c>
      <c r="D776" s="178">
        <f>VLOOKUP(B776,'Planning TB 2024'!$B$14:$Q$888,16,FALSE)</f>
        <v>28543977.420000002</v>
      </c>
      <c r="E776" s="178" t="e">
        <f>VLOOKUP(B776,'Planning TB 2025'!$B$14:$Q$574,16,FALSE)</f>
        <v>#N/A</v>
      </c>
      <c r="F776" s="191" t="e">
        <f t="shared" si="25"/>
        <v>#N/A</v>
      </c>
      <c r="G776" s="206" t="e">
        <f t="shared" si="26"/>
        <v>#N/A</v>
      </c>
    </row>
    <row r="777" spans="1:7" hidden="1" x14ac:dyDescent="0.3">
      <c r="A777" s="154" t="s">
        <v>162</v>
      </c>
      <c r="B777" s="154" t="s">
        <v>3128</v>
      </c>
      <c r="C777" s="154" t="s">
        <v>3129</v>
      </c>
      <c r="D777" s="178">
        <f>VLOOKUP(B777,'Planning TB 2024'!$B$14:$Q$888,16,FALSE)</f>
        <v>609148.4048586</v>
      </c>
      <c r="E777" s="178">
        <f>VLOOKUP(B777,'Planning TB 2025'!$B$14:$Q$574,16,FALSE)</f>
        <v>626921.64185040002</v>
      </c>
      <c r="F777" s="191">
        <f t="shared" si="25"/>
        <v>17773.236991800019</v>
      </c>
      <c r="G777" s="206">
        <f t="shared" si="26"/>
        <v>2.9177187119000456E-2</v>
      </c>
    </row>
    <row r="778" spans="1:7" hidden="1" x14ac:dyDescent="0.3">
      <c r="A778" s="154" t="s">
        <v>162</v>
      </c>
      <c r="B778" s="154" t="s">
        <v>3130</v>
      </c>
      <c r="C778" s="154" t="s">
        <v>3131</v>
      </c>
      <c r="D778" s="178">
        <f>VLOOKUP(B778,'Planning TB 2024'!$B$14:$Q$888,16,FALSE)</f>
        <v>45739.80000000001</v>
      </c>
      <c r="E778" s="178">
        <f>VLOOKUP(B778,'Planning TB 2025'!$B$14:$Q$574,16,FALSE)</f>
        <v>45996.413296199993</v>
      </c>
      <c r="F778" s="191">
        <f t="shared" si="25"/>
        <v>256.61329619998287</v>
      </c>
      <c r="G778" s="206">
        <f t="shared" si="26"/>
        <v>5.6102846142742826E-3</v>
      </c>
    </row>
    <row r="779" spans="1:7" hidden="1" x14ac:dyDescent="0.3">
      <c r="A779" s="154" t="s">
        <v>162</v>
      </c>
      <c r="B779" s="154" t="s">
        <v>3132</v>
      </c>
      <c r="C779" s="154" t="s">
        <v>3133</v>
      </c>
      <c r="D779" s="178">
        <f>VLOOKUP(B779,'Planning TB 2024'!$B$14:$Q$888,16,FALSE)</f>
        <v>302640.29764150002</v>
      </c>
      <c r="E779" s="178">
        <f>VLOOKUP(B779,'Planning TB 2025'!$B$14:$Q$574,16,FALSE)</f>
        <v>302640.29764150002</v>
      </c>
      <c r="F779" s="191">
        <f t="shared" si="25"/>
        <v>0</v>
      </c>
      <c r="G779" s="206">
        <f t="shared" si="26"/>
        <v>0</v>
      </c>
    </row>
    <row r="780" spans="1:7" hidden="1" x14ac:dyDescent="0.3">
      <c r="A780" s="154" t="s">
        <v>162</v>
      </c>
      <c r="B780" s="154" t="s">
        <v>3134</v>
      </c>
      <c r="C780" s="154" t="s">
        <v>3135</v>
      </c>
      <c r="D780" s="178">
        <f>VLOOKUP(B780,'Planning TB 2024'!$B$14:$Q$888,16,FALSE)</f>
        <v>55073.55000000001</v>
      </c>
      <c r="E780" s="178">
        <f>VLOOKUP(B780,'Planning TB 2025'!$B$14:$Q$574,16,FALSE)</f>
        <v>60580.87999999999</v>
      </c>
      <c r="F780" s="191">
        <f t="shared" si="25"/>
        <v>5507.3299999999799</v>
      </c>
      <c r="G780" s="206">
        <f t="shared" si="26"/>
        <v>9.9999546061584538E-2</v>
      </c>
    </row>
    <row r="781" spans="1:7" hidden="1" x14ac:dyDescent="0.3">
      <c r="A781" s="154" t="s">
        <v>162</v>
      </c>
      <c r="B781" s="154" t="s">
        <v>3136</v>
      </c>
      <c r="C781" s="154" t="s">
        <v>3137</v>
      </c>
      <c r="D781" s="178">
        <f>VLOOKUP(B781,'Planning TB 2024'!$B$14:$Q$888,16,FALSE)</f>
        <v>15941989.35</v>
      </c>
      <c r="E781" s="178">
        <f>VLOOKUP(B781,'Planning TB 2025'!$B$14:$Q$574,16,FALSE)</f>
        <v>17288747.095356099</v>
      </c>
      <c r="F781" s="191">
        <f t="shared" si="25"/>
        <v>1346757.7453560997</v>
      </c>
      <c r="G781" s="206">
        <f t="shared" si="26"/>
        <v>8.4478650423643623E-2</v>
      </c>
    </row>
    <row r="782" spans="1:7" hidden="1" x14ac:dyDescent="0.3">
      <c r="A782" s="154" t="s">
        <v>162</v>
      </c>
      <c r="B782" s="154" t="s">
        <v>3138</v>
      </c>
      <c r="C782" s="154" t="s">
        <v>3139</v>
      </c>
      <c r="D782" s="178">
        <f>VLOOKUP(B782,'Planning TB 2024'!$B$14:$Q$888,16,FALSE)</f>
        <v>64719.732514899995</v>
      </c>
      <c r="E782" s="178">
        <f>VLOOKUP(B782,'Planning TB 2025'!$B$14:$Q$574,16,FALSE)</f>
        <v>74427.692392099998</v>
      </c>
      <c r="F782" s="191">
        <f t="shared" si="25"/>
        <v>9707.9598772000027</v>
      </c>
      <c r="G782" s="206">
        <f t="shared" si="26"/>
        <v>0.14999999999945926</v>
      </c>
    </row>
    <row r="783" spans="1:7" hidden="1" x14ac:dyDescent="0.3">
      <c r="A783" s="154" t="s">
        <v>162</v>
      </c>
      <c r="B783" s="154" t="s">
        <v>3140</v>
      </c>
      <c r="C783" s="154" t="s">
        <v>3141</v>
      </c>
      <c r="D783" s="178">
        <f>VLOOKUP(B783,'Planning TB 2024'!$B$14:$Q$888,16,FALSE)</f>
        <v>3738803.8577052006</v>
      </c>
      <c r="E783" s="178">
        <f>VLOOKUP(B783,'Planning TB 2025'!$B$14:$Q$574,16,FALSE)</f>
        <v>3738803.8577052006</v>
      </c>
      <c r="F783" s="191">
        <f t="shared" si="25"/>
        <v>0</v>
      </c>
      <c r="G783" s="206">
        <f t="shared" si="26"/>
        <v>0</v>
      </c>
    </row>
    <row r="784" spans="1:7" hidden="1" x14ac:dyDescent="0.3">
      <c r="A784" s="154" t="s">
        <v>162</v>
      </c>
      <c r="B784" s="154" t="s">
        <v>3142</v>
      </c>
      <c r="C784" s="154" t="s">
        <v>3143</v>
      </c>
      <c r="D784" s="178">
        <f>VLOOKUP(B784,'Planning TB 2024'!$B$14:$Q$888,16,FALSE)</f>
        <v>68693.290000000008</v>
      </c>
      <c r="E784" s="178">
        <f>VLOOKUP(B784,'Planning TB 2025'!$B$14:$Q$574,16,FALSE)</f>
        <v>71268</v>
      </c>
      <c r="F784" s="191">
        <f t="shared" si="25"/>
        <v>2574.7099999999919</v>
      </c>
      <c r="G784" s="206">
        <f t="shared" si="26"/>
        <v>3.7481244529123464E-2</v>
      </c>
    </row>
    <row r="785" spans="1:7" hidden="1" x14ac:dyDescent="0.3">
      <c r="A785" s="154" t="s">
        <v>162</v>
      </c>
      <c r="B785" s="154" t="s">
        <v>3144</v>
      </c>
      <c r="C785" s="154" t="s">
        <v>3145</v>
      </c>
      <c r="D785" s="178">
        <f>VLOOKUP(B785,'Planning TB 2024'!$B$14:$Q$888,16,FALSE)</f>
        <v>12910794.198652402</v>
      </c>
      <c r="E785" s="178">
        <f>VLOOKUP(B785,'Planning TB 2025'!$B$14:$Q$574,16,FALSE)</f>
        <v>15085129.179999996</v>
      </c>
      <c r="F785" s="191">
        <f t="shared" si="25"/>
        <v>2174334.9813475944</v>
      </c>
      <c r="G785" s="206">
        <f t="shared" si="26"/>
        <v>0.16841217882433185</v>
      </c>
    </row>
    <row r="786" spans="1:7" hidden="1" x14ac:dyDescent="0.3">
      <c r="A786" s="154" t="s">
        <v>162</v>
      </c>
      <c r="B786" s="154" t="s">
        <v>3146</v>
      </c>
      <c r="C786" s="154" t="s">
        <v>3147</v>
      </c>
      <c r="D786" s="178">
        <f>VLOOKUP(B786,'Planning TB 2024'!$B$14:$Q$888,16,FALSE)</f>
        <v>191074.00770720004</v>
      </c>
      <c r="E786" s="178">
        <f>VLOOKUP(B786,'Planning TB 2025'!$B$14:$Q$574,16,FALSE)</f>
        <v>209264.56770719995</v>
      </c>
      <c r="F786" s="191">
        <f t="shared" si="25"/>
        <v>18190.55999999991</v>
      </c>
      <c r="G786" s="206">
        <f t="shared" si="26"/>
        <v>9.5201645782585706E-2</v>
      </c>
    </row>
    <row r="787" spans="1:7" hidden="1" x14ac:dyDescent="0.3">
      <c r="A787" s="154" t="s">
        <v>162</v>
      </c>
      <c r="B787" s="154" t="s">
        <v>3148</v>
      </c>
      <c r="C787" s="154" t="s">
        <v>3149</v>
      </c>
      <c r="D787" s="178">
        <f>VLOOKUP(B787,'Planning TB 2024'!$B$14:$Q$888,16,FALSE)</f>
        <v>4565.0092308000003</v>
      </c>
      <c r="E787" s="178">
        <f>VLOOKUP(B787,'Planning TB 2025'!$B$14:$Q$574,16,FALSE)</f>
        <v>4953.8541537999999</v>
      </c>
      <c r="F787" s="191">
        <f t="shared" si="25"/>
        <v>388.84492299999965</v>
      </c>
      <c r="G787" s="206">
        <f t="shared" si="26"/>
        <v>8.5179438494115828E-2</v>
      </c>
    </row>
    <row r="788" spans="1:7" hidden="1" x14ac:dyDescent="0.3">
      <c r="A788" s="154" t="s">
        <v>162</v>
      </c>
      <c r="B788" s="154" t="s">
        <v>3150</v>
      </c>
      <c r="C788" s="154" t="s">
        <v>3151</v>
      </c>
      <c r="D788" s="178">
        <f>VLOOKUP(B788,'Planning TB 2024'!$B$14:$Q$888,16,FALSE)</f>
        <v>1260</v>
      </c>
      <c r="E788" s="178">
        <f>VLOOKUP(B788,'Planning TB 2025'!$B$14:$Q$574,16,FALSE)</f>
        <v>1323</v>
      </c>
      <c r="F788" s="191">
        <f t="shared" si="25"/>
        <v>63</v>
      </c>
      <c r="G788" s="206">
        <f t="shared" si="26"/>
        <v>0.05</v>
      </c>
    </row>
    <row r="789" spans="1:7" hidden="1" x14ac:dyDescent="0.3">
      <c r="A789" s="154" t="s">
        <v>162</v>
      </c>
      <c r="B789" s="154" t="s">
        <v>3152</v>
      </c>
      <c r="C789" s="154" t="s">
        <v>3153</v>
      </c>
      <c r="D789" s="178">
        <f>VLOOKUP(B789,'Planning TB 2024'!$B$14:$Q$888,16,FALSE)</f>
        <v>1280.6400000000001</v>
      </c>
      <c r="E789" s="178">
        <f>VLOOKUP(B789,'Planning TB 2025'!$B$14:$Q$574,16,FALSE)</f>
        <v>1280.6400000000001</v>
      </c>
      <c r="F789" s="191">
        <f t="shared" si="25"/>
        <v>0</v>
      </c>
      <c r="G789" s="206">
        <f t="shared" si="26"/>
        <v>0</v>
      </c>
    </row>
    <row r="790" spans="1:7" hidden="1" x14ac:dyDescent="0.3">
      <c r="A790" s="154" t="s">
        <v>162</v>
      </c>
      <c r="B790" s="154" t="s">
        <v>3154</v>
      </c>
      <c r="C790" s="154" t="s">
        <v>3155</v>
      </c>
      <c r="D790" s="178">
        <f>VLOOKUP(B790,'Planning TB 2024'!$B$14:$Q$888,16,FALSE)</f>
        <v>560638.04499999993</v>
      </c>
      <c r="E790" s="178">
        <f>VLOOKUP(B790,'Planning TB 2025'!$B$14:$Q$574,16,FALSE)</f>
        <v>581665</v>
      </c>
      <c r="F790" s="191">
        <f t="shared" si="25"/>
        <v>21026.955000000075</v>
      </c>
      <c r="G790" s="206">
        <f t="shared" si="26"/>
        <v>3.7505401546554115E-2</v>
      </c>
    </row>
    <row r="791" spans="1:7" hidden="1" x14ac:dyDescent="0.3">
      <c r="A791" s="154" t="s">
        <v>162</v>
      </c>
      <c r="B791" s="154" t="s">
        <v>3156</v>
      </c>
      <c r="C791" s="154" t="s">
        <v>3157</v>
      </c>
      <c r="D791" s="178">
        <f>VLOOKUP(B791,'Planning TB 2024'!$B$14:$Q$888,16,FALSE)</f>
        <v>3734840.4601214994</v>
      </c>
      <c r="E791" s="178">
        <f>VLOOKUP(B791,'Planning TB 2025'!$B$14:$Q$574,16,FALSE)</f>
        <v>4480445.34</v>
      </c>
      <c r="F791" s="191">
        <f t="shared" si="25"/>
        <v>745604.87987850048</v>
      </c>
      <c r="G791" s="206">
        <f t="shared" si="26"/>
        <v>0.19963500123757494</v>
      </c>
    </row>
    <row r="792" spans="1:7" hidden="1" x14ac:dyDescent="0.3">
      <c r="A792" s="154" t="s">
        <v>162</v>
      </c>
      <c r="B792" s="154" t="s">
        <v>3158</v>
      </c>
      <c r="C792" s="154" t="s">
        <v>3159</v>
      </c>
      <c r="D792" s="178">
        <f>VLOOKUP(B792,'Planning TB 2024'!$B$14:$Q$888,16,FALSE)</f>
        <v>667491.23507930001</v>
      </c>
      <c r="E792" s="178">
        <f>VLOOKUP(B792,'Planning TB 2025'!$B$14:$Q$574,16,FALSE)</f>
        <v>733228.24015830015</v>
      </c>
      <c r="F792" s="191">
        <f t="shared" si="25"/>
        <v>65737.005079000141</v>
      </c>
      <c r="G792" s="206">
        <f t="shared" si="26"/>
        <v>9.848369779895369E-2</v>
      </c>
    </row>
    <row r="793" spans="1:7" hidden="1" x14ac:dyDescent="0.3">
      <c r="A793" s="154" t="s">
        <v>162</v>
      </c>
      <c r="B793" s="154" t="s">
        <v>3160</v>
      </c>
      <c r="C793" s="154" t="s">
        <v>3161</v>
      </c>
      <c r="D793" s="178">
        <f>VLOOKUP(B793,'Planning TB 2024'!$B$14:$Q$888,16,FALSE)</f>
        <v>39733.999999599997</v>
      </c>
      <c r="E793" s="178">
        <f>VLOOKUP(B793,'Planning TB 2025'!$B$14:$Q$574,16,FALSE)</f>
        <v>39733.999999599997</v>
      </c>
      <c r="F793" s="191">
        <f t="shared" si="25"/>
        <v>0</v>
      </c>
      <c r="G793" s="206">
        <f t="shared" si="26"/>
        <v>0</v>
      </c>
    </row>
    <row r="794" spans="1:7" hidden="1" x14ac:dyDescent="0.3">
      <c r="A794" s="154" t="s">
        <v>162</v>
      </c>
      <c r="B794" s="154" t="s">
        <v>3162</v>
      </c>
      <c r="C794" s="154" t="s">
        <v>3163</v>
      </c>
      <c r="D794" s="178">
        <f>VLOOKUP(B794,'Planning TB 2024'!$B$14:$Q$888,16,FALSE)</f>
        <v>76200</v>
      </c>
      <c r="E794" s="178">
        <f>VLOOKUP(B794,'Planning TB 2025'!$B$14:$Q$574,16,FALSE)</f>
        <v>77134.87950000001</v>
      </c>
      <c r="F794" s="191">
        <f t="shared" si="25"/>
        <v>934.87950000001001</v>
      </c>
      <c r="G794" s="206">
        <f t="shared" si="26"/>
        <v>1.2268759842519817E-2</v>
      </c>
    </row>
    <row r="795" spans="1:7" hidden="1" x14ac:dyDescent="0.3">
      <c r="A795" s="154" t="s">
        <v>162</v>
      </c>
      <c r="B795" s="154" t="s">
        <v>3164</v>
      </c>
      <c r="C795" s="154" t="s">
        <v>3165</v>
      </c>
      <c r="D795" s="178">
        <f>VLOOKUP(B795,'Planning TB 2024'!$B$14:$Q$888,16,FALSE)</f>
        <v>6454</v>
      </c>
      <c r="E795" s="178">
        <f>VLOOKUP(B795,'Planning TB 2025'!$B$14:$Q$574,16,FALSE)</f>
        <v>6454</v>
      </c>
      <c r="F795" s="191">
        <f t="shared" si="25"/>
        <v>0</v>
      </c>
      <c r="G795" s="206">
        <f t="shared" si="26"/>
        <v>0</v>
      </c>
    </row>
    <row r="796" spans="1:7" hidden="1" x14ac:dyDescent="0.3">
      <c r="A796" s="154" t="s">
        <v>162</v>
      </c>
      <c r="B796" s="154" t="s">
        <v>3166</v>
      </c>
      <c r="C796" s="154" t="s">
        <v>3167</v>
      </c>
      <c r="D796" s="178">
        <f>VLOOKUP(B796,'Planning TB 2024'!$B$14:$Q$888,16,FALSE)</f>
        <v>398696</v>
      </c>
      <c r="E796" s="178">
        <f>VLOOKUP(B796,'Planning TB 2025'!$B$14:$Q$574,16,FALSE)</f>
        <v>398696</v>
      </c>
      <c r="F796" s="191">
        <f t="shared" si="25"/>
        <v>0</v>
      </c>
      <c r="G796" s="206">
        <f t="shared" si="26"/>
        <v>0</v>
      </c>
    </row>
    <row r="797" spans="1:7" hidden="1" x14ac:dyDescent="0.3">
      <c r="A797" s="154" t="s">
        <v>162</v>
      </c>
      <c r="B797" s="154" t="s">
        <v>3168</v>
      </c>
      <c r="C797" s="154" t="s">
        <v>3169</v>
      </c>
      <c r="D797" s="178">
        <f>VLOOKUP(B797,'Planning TB 2024'!$B$14:$Q$888,16,FALSE)</f>
        <v>1406500</v>
      </c>
      <c r="E797" s="178">
        <f>VLOOKUP(B797,'Planning TB 2025'!$B$14:$Q$574,16,FALSE)</f>
        <v>1406500</v>
      </c>
      <c r="F797" s="191">
        <f t="shared" si="25"/>
        <v>0</v>
      </c>
      <c r="G797" s="206">
        <f t="shared" si="26"/>
        <v>0</v>
      </c>
    </row>
    <row r="798" spans="1:7" hidden="1" x14ac:dyDescent="0.3">
      <c r="A798" s="154" t="s">
        <v>162</v>
      </c>
      <c r="B798" s="154" t="s">
        <v>3170</v>
      </c>
      <c r="C798" s="154" t="s">
        <v>3171</v>
      </c>
      <c r="D798" s="178">
        <f>VLOOKUP(B798,'Planning TB 2024'!$B$14:$Q$888,16,FALSE)</f>
        <v>1473827.1599999995</v>
      </c>
      <c r="E798" s="178">
        <f>VLOOKUP(B798,'Planning TB 2025'!$B$14:$Q$574,16,FALSE)</f>
        <v>1474203.0585000003</v>
      </c>
      <c r="F798" s="191">
        <f t="shared" si="25"/>
        <v>375.89850000082515</v>
      </c>
      <c r="G798" s="206">
        <f t="shared" si="26"/>
        <v>2.5504924200258684E-4</v>
      </c>
    </row>
    <row r="799" spans="1:7" hidden="1" x14ac:dyDescent="0.3">
      <c r="A799" s="154" t="s">
        <v>162</v>
      </c>
      <c r="B799" s="154" t="s">
        <v>3172</v>
      </c>
      <c r="C799" s="154" t="s">
        <v>3173</v>
      </c>
      <c r="D799" s="178">
        <f>VLOOKUP(B799,'Planning TB 2024'!$B$14:$Q$888,16,FALSE)</f>
        <v>169880.15999999997</v>
      </c>
      <c r="E799" s="178">
        <f>VLOOKUP(B799,'Planning TB 2025'!$B$14:$Q$574,16,FALSE)</f>
        <v>169910.28750000001</v>
      </c>
      <c r="F799" s="191">
        <f t="shared" si="25"/>
        <v>30.127500000031432</v>
      </c>
      <c r="G799" s="206">
        <f t="shared" si="26"/>
        <v>1.7734560645593598E-4</v>
      </c>
    </row>
    <row r="800" spans="1:7" hidden="1" x14ac:dyDescent="0.3">
      <c r="A800" s="154" t="s">
        <v>162</v>
      </c>
      <c r="B800" s="154" t="s">
        <v>3174</v>
      </c>
      <c r="C800" s="154" t="s">
        <v>3175</v>
      </c>
      <c r="D800" s="178">
        <f>VLOOKUP(B800,'Planning TB 2024'!$B$14:$Q$888,16,FALSE)</f>
        <v>218910.7</v>
      </c>
      <c r="E800" s="178">
        <f>VLOOKUP(B800,'Planning TB 2025'!$B$14:$Q$574,16,FALSE)</f>
        <v>218910.7</v>
      </c>
      <c r="F800" s="191">
        <f t="shared" si="25"/>
        <v>0</v>
      </c>
      <c r="G800" s="206">
        <f t="shared" si="26"/>
        <v>0</v>
      </c>
    </row>
    <row r="801" spans="1:7" hidden="1" x14ac:dyDescent="0.3">
      <c r="A801" s="154" t="s">
        <v>162</v>
      </c>
      <c r="B801" s="154" t="s">
        <v>3176</v>
      </c>
      <c r="C801" s="154" t="s">
        <v>3177</v>
      </c>
      <c r="D801" s="178">
        <f>VLOOKUP(B801,'Planning TB 2024'!$B$14:$Q$888,16,FALSE)</f>
        <v>54000</v>
      </c>
      <c r="E801" s="178">
        <f>VLOOKUP(B801,'Planning TB 2025'!$B$14:$Q$574,16,FALSE)</f>
        <v>54000</v>
      </c>
      <c r="F801" s="191">
        <f t="shared" si="25"/>
        <v>0</v>
      </c>
      <c r="G801" s="206">
        <f t="shared" si="26"/>
        <v>0</v>
      </c>
    </row>
    <row r="802" spans="1:7" hidden="1" x14ac:dyDescent="0.3">
      <c r="A802" s="154" t="s">
        <v>162</v>
      </c>
      <c r="B802" s="154" t="s">
        <v>3178</v>
      </c>
      <c r="C802" s="154" t="s">
        <v>3179</v>
      </c>
      <c r="D802" s="178">
        <f>VLOOKUP(B802,'Planning TB 2024'!$B$14:$Q$888,16,FALSE)</f>
        <v>3186048.4185680002</v>
      </c>
      <c r="E802" s="178">
        <f>VLOOKUP(B802,'Planning TB 2025'!$B$14:$Q$574,16,FALSE)</f>
        <v>3183186.4185680002</v>
      </c>
      <c r="F802" s="191">
        <f t="shared" si="25"/>
        <v>-2862</v>
      </c>
      <c r="G802" s="206">
        <f t="shared" si="26"/>
        <v>-8.9829143314976774E-4</v>
      </c>
    </row>
    <row r="803" spans="1:7" hidden="1" x14ac:dyDescent="0.3">
      <c r="A803" s="154" t="s">
        <v>162</v>
      </c>
      <c r="B803" s="154" t="s">
        <v>3180</v>
      </c>
      <c r="C803" s="154" t="s">
        <v>3181</v>
      </c>
      <c r="D803" s="178">
        <f>VLOOKUP(B803,'Planning TB 2024'!$B$14:$Q$888,16,FALSE)</f>
        <v>90000</v>
      </c>
      <c r="E803" s="178">
        <f>VLOOKUP(B803,'Planning TB 2025'!$B$14:$Q$574,16,FALSE)</f>
        <v>90000</v>
      </c>
      <c r="F803" s="191">
        <f t="shared" si="25"/>
        <v>0</v>
      </c>
      <c r="G803" s="206">
        <f t="shared" si="26"/>
        <v>0</v>
      </c>
    </row>
    <row r="804" spans="1:7" hidden="1" x14ac:dyDescent="0.3">
      <c r="A804" s="154" t="s">
        <v>162</v>
      </c>
      <c r="B804" s="154" t="s">
        <v>3182</v>
      </c>
      <c r="C804" s="154" t="s">
        <v>3183</v>
      </c>
      <c r="D804" s="178">
        <f>VLOOKUP(B804,'Planning TB 2024'!$B$14:$Q$888,16,FALSE)</f>
        <v>2034190.2925141</v>
      </c>
      <c r="E804" s="178">
        <f>VLOOKUP(B804,'Planning TB 2025'!$B$14:$Q$574,16,FALSE)</f>
        <v>2034190.2925141</v>
      </c>
      <c r="F804" s="191">
        <f t="shared" si="25"/>
        <v>0</v>
      </c>
      <c r="G804" s="206">
        <f t="shared" si="26"/>
        <v>0</v>
      </c>
    </row>
    <row r="805" spans="1:7" hidden="1" x14ac:dyDescent="0.3">
      <c r="A805" s="154" t="s">
        <v>162</v>
      </c>
      <c r="B805" s="154" t="s">
        <v>3184</v>
      </c>
      <c r="C805" s="154" t="s">
        <v>3185</v>
      </c>
      <c r="D805" s="178">
        <f>VLOOKUP(B805,'Planning TB 2024'!$B$14:$Q$888,16,FALSE)</f>
        <v>107104.00000039999</v>
      </c>
      <c r="E805" s="178">
        <f>VLOOKUP(B805,'Planning TB 2025'!$B$14:$Q$574,16,FALSE)</f>
        <v>107291.5000004</v>
      </c>
      <c r="F805" s="191">
        <f t="shared" si="25"/>
        <v>187.50000000001455</v>
      </c>
      <c r="G805" s="206">
        <f t="shared" si="26"/>
        <v>1.7506348969162152E-3</v>
      </c>
    </row>
    <row r="806" spans="1:7" hidden="1" x14ac:dyDescent="0.3">
      <c r="A806" s="154" t="s">
        <v>162</v>
      </c>
      <c r="B806" s="154" t="s">
        <v>3186</v>
      </c>
      <c r="C806" s="154" t="s">
        <v>3187</v>
      </c>
      <c r="D806" s="178">
        <f>VLOOKUP(B806,'Planning TB 2024'!$B$14:$Q$888,16,FALSE)</f>
        <v>-392628</v>
      </c>
      <c r="E806" s="178">
        <f>VLOOKUP(B806,'Planning TB 2025'!$B$14:$Q$574,16,FALSE)</f>
        <v>-392628</v>
      </c>
      <c r="F806" s="191">
        <f t="shared" si="25"/>
        <v>0</v>
      </c>
      <c r="G806" s="206">
        <f t="shared" si="26"/>
        <v>0</v>
      </c>
    </row>
    <row r="807" spans="1:7" hidden="1" x14ac:dyDescent="0.3">
      <c r="A807" s="154" t="s">
        <v>162</v>
      </c>
      <c r="B807" s="154" t="s">
        <v>3188</v>
      </c>
      <c r="C807" s="154" t="s">
        <v>3189</v>
      </c>
      <c r="D807" s="178">
        <f>VLOOKUP(B807,'Planning TB 2024'!$B$14:$Q$888,16,FALSE)</f>
        <v>-100360</v>
      </c>
      <c r="E807" s="178">
        <f>VLOOKUP(B807,'Planning TB 2025'!$B$14:$Q$574,16,FALSE)</f>
        <v>-939814</v>
      </c>
      <c r="F807" s="191">
        <f t="shared" si="25"/>
        <v>-839454</v>
      </c>
      <c r="G807" s="206">
        <f t="shared" si="26"/>
        <v>8.3644280589876452</v>
      </c>
    </row>
    <row r="808" spans="1:7" hidden="1" x14ac:dyDescent="0.3">
      <c r="A808" s="154" t="s">
        <v>162</v>
      </c>
      <c r="B808" s="154" t="s">
        <v>3190</v>
      </c>
      <c r="C808" s="154" t="s">
        <v>3191</v>
      </c>
      <c r="D808" s="178">
        <f>VLOOKUP(B808,'Planning TB 2024'!$B$14:$Q$888,16,FALSE)</f>
        <v>1875</v>
      </c>
      <c r="E808" s="178">
        <f>VLOOKUP(B808,'Planning TB 2025'!$B$14:$Q$574,16,FALSE)</f>
        <v>1945.3125</v>
      </c>
      <c r="F808" s="191">
        <f t="shared" si="25"/>
        <v>70.3125</v>
      </c>
      <c r="G808" s="206">
        <f t="shared" si="26"/>
        <v>3.7499999999999999E-2</v>
      </c>
    </row>
    <row r="809" spans="1:7" hidden="1" x14ac:dyDescent="0.3">
      <c r="A809" s="154" t="s">
        <v>162</v>
      </c>
      <c r="B809" s="154" t="s">
        <v>3192</v>
      </c>
      <c r="C809" s="154" t="s">
        <v>3193</v>
      </c>
      <c r="D809" s="178">
        <f>VLOOKUP(B809,'Planning TB 2024'!$B$14:$Q$888,16,FALSE)</f>
        <v>6082183.067214001</v>
      </c>
      <c r="E809" s="178">
        <f>VLOOKUP(B809,'Planning TB 2025'!$B$14:$Q$574,16,FALSE)</f>
        <v>5796780.4260914996</v>
      </c>
      <c r="F809" s="191">
        <f t="shared" si="25"/>
        <v>-285402.64112250134</v>
      </c>
      <c r="G809" s="206">
        <f t="shared" si="26"/>
        <v>-4.6924375338349131E-2</v>
      </c>
    </row>
    <row r="810" spans="1:7" hidden="1" x14ac:dyDescent="0.3">
      <c r="A810" s="154" t="s">
        <v>162</v>
      </c>
      <c r="B810" s="154" t="s">
        <v>3194</v>
      </c>
      <c r="C810" s="154" t="s">
        <v>3195</v>
      </c>
      <c r="D810" s="178">
        <f>VLOOKUP(B810,'Planning TB 2024'!$B$14:$Q$888,16,FALSE)</f>
        <v>700000</v>
      </c>
      <c r="E810" s="178">
        <f>VLOOKUP(B810,'Planning TB 2025'!$B$14:$Q$574,16,FALSE)</f>
        <v>700000</v>
      </c>
      <c r="F810" s="191">
        <f t="shared" si="25"/>
        <v>0</v>
      </c>
      <c r="G810" s="206">
        <f t="shared" si="26"/>
        <v>0</v>
      </c>
    </row>
    <row r="811" spans="1:7" hidden="1" x14ac:dyDescent="0.3">
      <c r="A811" s="154" t="s">
        <v>162</v>
      </c>
      <c r="B811" s="154" t="s">
        <v>3196</v>
      </c>
      <c r="C811" s="154" t="s">
        <v>3197</v>
      </c>
      <c r="D811" s="178">
        <f>VLOOKUP(B811,'Planning TB 2024'!$B$14:$Q$888,16,FALSE)</f>
        <v>343040.29850759997</v>
      </c>
      <c r="E811" s="178">
        <f>VLOOKUP(B811,'Planning TB 2025'!$B$14:$Q$574,16,FALSE)</f>
        <v>401408.20895519998</v>
      </c>
      <c r="F811" s="191">
        <f t="shared" si="25"/>
        <v>58367.910447600007</v>
      </c>
      <c r="G811" s="206">
        <f t="shared" si="26"/>
        <v>0.17014884461542901</v>
      </c>
    </row>
    <row r="812" spans="1:7" hidden="1" x14ac:dyDescent="0.3">
      <c r="A812" s="154" t="s">
        <v>162</v>
      </c>
      <c r="B812" s="154" t="s">
        <v>3198</v>
      </c>
      <c r="C812" s="154" t="s">
        <v>3199</v>
      </c>
      <c r="D812" s="178">
        <f>VLOOKUP(B812,'Planning TB 2024'!$B$14:$Q$888,16,FALSE)</f>
        <v>335002</v>
      </c>
      <c r="E812" s="178">
        <f>VLOOKUP(B812,'Planning TB 2025'!$B$14:$Q$574,16,FALSE)</f>
        <v>335002</v>
      </c>
      <c r="F812" s="191">
        <f t="shared" si="25"/>
        <v>0</v>
      </c>
      <c r="G812" s="206">
        <f t="shared" si="26"/>
        <v>0</v>
      </c>
    </row>
    <row r="813" spans="1:7" hidden="1" x14ac:dyDescent="0.3">
      <c r="A813" s="154" t="s">
        <v>162</v>
      </c>
      <c r="B813" s="154" t="s">
        <v>3200</v>
      </c>
      <c r="C813" s="154" t="s">
        <v>3201</v>
      </c>
      <c r="D813" s="178">
        <f>VLOOKUP(B813,'Planning TB 2024'!$B$14:$Q$888,16,FALSE)</f>
        <v>3463783.5686348001</v>
      </c>
      <c r="E813" s="178">
        <f>VLOOKUP(B813,'Planning TB 2025'!$B$14:$Q$574,16,FALSE)</f>
        <v>3463783.5686348001</v>
      </c>
      <c r="F813" s="191">
        <f t="shared" si="25"/>
        <v>0</v>
      </c>
      <c r="G813" s="206">
        <f t="shared" si="26"/>
        <v>0</v>
      </c>
    </row>
    <row r="814" spans="1:7" hidden="1" x14ac:dyDescent="0.3">
      <c r="A814" s="154" t="s">
        <v>162</v>
      </c>
      <c r="B814" s="154" t="s">
        <v>3202</v>
      </c>
      <c r="C814" s="154" t="s">
        <v>3203</v>
      </c>
      <c r="D814" s="178">
        <f>VLOOKUP(B814,'Planning TB 2024'!$B$14:$Q$888,16,FALSE)</f>
        <v>3158034</v>
      </c>
      <c r="E814" s="178">
        <f>VLOOKUP(B814,'Planning TB 2025'!$B$14:$Q$574,16,FALSE)</f>
        <v>2613034</v>
      </c>
      <c r="F814" s="191">
        <f t="shared" si="25"/>
        <v>-545000</v>
      </c>
      <c r="G814" s="206">
        <f t="shared" si="26"/>
        <v>-0.17257572274396032</v>
      </c>
    </row>
    <row r="815" spans="1:7" hidden="1" x14ac:dyDescent="0.3">
      <c r="A815" s="154" t="s">
        <v>162</v>
      </c>
      <c r="B815" s="154" t="s">
        <v>3204</v>
      </c>
      <c r="C815" s="154" t="s">
        <v>3205</v>
      </c>
      <c r="D815" s="178">
        <f>VLOOKUP(B815,'Planning TB 2024'!$B$14:$Q$888,16,FALSE)</f>
        <v>369996</v>
      </c>
      <c r="E815" s="178">
        <f>VLOOKUP(B815,'Planning TB 2025'!$B$14:$Q$574,16,FALSE)</f>
        <v>369996</v>
      </c>
      <c r="F815" s="191">
        <f t="shared" si="25"/>
        <v>0</v>
      </c>
      <c r="G815" s="206">
        <f t="shared" si="26"/>
        <v>0</v>
      </c>
    </row>
    <row r="816" spans="1:7" hidden="1" x14ac:dyDescent="0.3">
      <c r="A816" s="154" t="s">
        <v>162</v>
      </c>
      <c r="B816" s="154" t="s">
        <v>3206</v>
      </c>
      <c r="C816" s="154" t="s">
        <v>3207</v>
      </c>
      <c r="D816" s="178">
        <f>VLOOKUP(B816,'Planning TB 2024'!$B$14:$Q$888,16,FALSE)</f>
        <v>72000</v>
      </c>
      <c r="E816" s="178">
        <f>VLOOKUP(B816,'Planning TB 2025'!$B$14:$Q$574,16,FALSE)</f>
        <v>72000</v>
      </c>
      <c r="F816" s="191">
        <f t="shared" si="25"/>
        <v>0</v>
      </c>
      <c r="G816" s="206">
        <f t="shared" si="26"/>
        <v>0</v>
      </c>
    </row>
    <row r="817" spans="1:7" hidden="1" x14ac:dyDescent="0.3">
      <c r="A817" s="154" t="s">
        <v>162</v>
      </c>
      <c r="B817" s="154" t="s">
        <v>3208</v>
      </c>
      <c r="C817" s="154" t="s">
        <v>3209</v>
      </c>
      <c r="D817" s="178">
        <f>VLOOKUP(B817,'Planning TB 2024'!$B$14:$Q$888,16,FALSE)</f>
        <v>1366515.8399999999</v>
      </c>
      <c r="E817" s="178">
        <f>VLOOKUP(B817,'Planning TB 2025'!$B$14:$Q$574,16,FALSE)</f>
        <v>1366515.8399999999</v>
      </c>
      <c r="F817" s="191">
        <f t="shared" si="25"/>
        <v>0</v>
      </c>
      <c r="G817" s="206">
        <f t="shared" si="26"/>
        <v>0</v>
      </c>
    </row>
    <row r="818" spans="1:7" hidden="1" x14ac:dyDescent="0.3">
      <c r="A818" s="154" t="s">
        <v>162</v>
      </c>
      <c r="B818" s="154" t="s">
        <v>3210</v>
      </c>
      <c r="C818" s="154" t="s">
        <v>3211</v>
      </c>
      <c r="D818" s="178">
        <f>VLOOKUP(B818,'Planning TB 2024'!$B$14:$Q$888,16,FALSE)</f>
        <v>17237.5</v>
      </c>
      <c r="E818" s="178">
        <f>VLOOKUP(B818,'Planning TB 2025'!$B$14:$Q$574,16,FALSE)</f>
        <v>17237.5</v>
      </c>
      <c r="F818" s="191">
        <f t="shared" si="25"/>
        <v>0</v>
      </c>
      <c r="G818" s="206">
        <f t="shared" si="26"/>
        <v>0</v>
      </c>
    </row>
    <row r="819" spans="1:7" hidden="1" x14ac:dyDescent="0.3">
      <c r="A819" s="154" t="s">
        <v>162</v>
      </c>
      <c r="B819" s="154" t="s">
        <v>3212</v>
      </c>
      <c r="C819" s="154" t="s">
        <v>3213</v>
      </c>
      <c r="D819" s="178">
        <f>VLOOKUP(B819,'Planning TB 2024'!$B$14:$Q$888,16,FALSE)</f>
        <v>11931.25</v>
      </c>
      <c r="E819" s="178">
        <f>VLOOKUP(B819,'Planning TB 2025'!$B$14:$Q$574,16,FALSE)</f>
        <v>11931.25</v>
      </c>
      <c r="F819" s="191">
        <f t="shared" si="25"/>
        <v>0</v>
      </c>
      <c r="G819" s="206">
        <f t="shared" si="26"/>
        <v>0</v>
      </c>
    </row>
    <row r="820" spans="1:7" hidden="1" x14ac:dyDescent="0.3">
      <c r="A820" s="154" t="s">
        <v>162</v>
      </c>
      <c r="B820" s="154" t="s">
        <v>3214</v>
      </c>
      <c r="C820" s="154" t="s">
        <v>3215</v>
      </c>
      <c r="D820" s="178">
        <f>VLOOKUP(B820,'Planning TB 2024'!$B$14:$Q$888,16,FALSE)</f>
        <v>306601.97000000003</v>
      </c>
      <c r="E820" s="178">
        <f>VLOOKUP(B820,'Planning TB 2025'!$B$14:$Q$574,16,FALSE)</f>
        <v>305401.97000000003</v>
      </c>
      <c r="F820" s="191">
        <f t="shared" si="25"/>
        <v>-1200</v>
      </c>
      <c r="G820" s="206">
        <f t="shared" si="26"/>
        <v>-3.9138691770310543E-3</v>
      </c>
    </row>
    <row r="821" spans="1:7" hidden="1" x14ac:dyDescent="0.3">
      <c r="A821" s="154" t="s">
        <v>162</v>
      </c>
      <c r="B821" s="154" t="s">
        <v>3216</v>
      </c>
      <c r="C821" s="154" t="s">
        <v>3217</v>
      </c>
      <c r="D821" s="178">
        <f>VLOOKUP(B821,'Planning TB 2024'!$B$14:$Q$888,16,FALSE)</f>
        <v>75000</v>
      </c>
      <c r="E821" s="178">
        <f>VLOOKUP(B821,'Planning TB 2025'!$B$14:$Q$574,16,FALSE)</f>
        <v>75000</v>
      </c>
      <c r="F821" s="191">
        <f t="shared" si="25"/>
        <v>0</v>
      </c>
      <c r="G821" s="206">
        <f t="shared" si="26"/>
        <v>0</v>
      </c>
    </row>
    <row r="822" spans="1:7" hidden="1" x14ac:dyDescent="0.3">
      <c r="A822" s="154" t="s">
        <v>162</v>
      </c>
      <c r="B822" s="154" t="s">
        <v>3218</v>
      </c>
      <c r="C822" s="154" t="s">
        <v>3219</v>
      </c>
      <c r="D822" s="178">
        <f>VLOOKUP(B822,'Planning TB 2024'!$B$14:$Q$888,16,FALSE)</f>
        <v>143863.7200004</v>
      </c>
      <c r="E822" s="178">
        <f>VLOOKUP(B822,'Planning TB 2025'!$B$14:$Q$574,16,FALSE)</f>
        <v>194003.72</v>
      </c>
      <c r="F822" s="191">
        <f t="shared" si="25"/>
        <v>50139.999999599997</v>
      </c>
      <c r="G822" s="206">
        <f t="shared" si="26"/>
        <v>0.34852428395053725</v>
      </c>
    </row>
    <row r="823" spans="1:7" hidden="1" x14ac:dyDescent="0.3">
      <c r="A823" s="154" t="s">
        <v>162</v>
      </c>
      <c r="B823" s="154" t="s">
        <v>3220</v>
      </c>
      <c r="C823" s="154" t="s">
        <v>3221</v>
      </c>
      <c r="D823" s="178">
        <f>VLOOKUP(B823,'Planning TB 2024'!$B$14:$Q$888,16,FALSE)</f>
        <v>123485</v>
      </c>
      <c r="E823" s="178">
        <f>VLOOKUP(B823,'Planning TB 2025'!$B$14:$Q$574,16,FALSE)</f>
        <v>123485</v>
      </c>
      <c r="F823" s="191">
        <f t="shared" si="25"/>
        <v>0</v>
      </c>
      <c r="G823" s="206">
        <f t="shared" si="26"/>
        <v>0</v>
      </c>
    </row>
    <row r="824" spans="1:7" hidden="1" x14ac:dyDescent="0.3">
      <c r="A824" s="154" t="s">
        <v>162</v>
      </c>
      <c r="B824" s="154" t="s">
        <v>3222</v>
      </c>
      <c r="C824" s="154" t="s">
        <v>3223</v>
      </c>
      <c r="D824" s="178">
        <f>VLOOKUP(B824,'Planning TB 2024'!$B$14:$Q$888,16,FALSE)</f>
        <v>1844507.1455987999</v>
      </c>
      <c r="E824" s="178">
        <f>VLOOKUP(B824,'Planning TB 2025'!$B$14:$Q$574,16,FALSE)</f>
        <v>1645306.5105983999</v>
      </c>
      <c r="F824" s="191">
        <f t="shared" si="25"/>
        <v>-199200.63500040001</v>
      </c>
      <c r="G824" s="206">
        <f t="shared" si="26"/>
        <v>-0.10799667297343628</v>
      </c>
    </row>
    <row r="825" spans="1:7" hidden="1" x14ac:dyDescent="0.3">
      <c r="A825" s="154" t="s">
        <v>162</v>
      </c>
      <c r="B825" s="154" t="s">
        <v>3224</v>
      </c>
      <c r="C825" s="154" t="s">
        <v>3225</v>
      </c>
      <c r="D825" s="178">
        <f>VLOOKUP(B825,'Planning TB 2024'!$B$14:$Q$888,16,FALSE)</f>
        <v>34943101.999600008</v>
      </c>
      <c r="E825" s="178">
        <f>VLOOKUP(B825,'Planning TB 2025'!$B$14:$Q$574,16,FALSE)</f>
        <v>51346743.233603001</v>
      </c>
      <c r="F825" s="191">
        <f t="shared" si="25"/>
        <v>16403641.234002993</v>
      </c>
      <c r="G825" s="206">
        <f t="shared" si="26"/>
        <v>0.46943861006360466</v>
      </c>
    </row>
    <row r="826" spans="1:7" hidden="1" x14ac:dyDescent="0.3">
      <c r="A826" s="154" t="s">
        <v>162</v>
      </c>
      <c r="B826" s="154" t="s">
        <v>3226</v>
      </c>
      <c r="C826" s="154" t="s">
        <v>3227</v>
      </c>
      <c r="D826" s="178">
        <f>VLOOKUP(B826,'Planning TB 2024'!$B$14:$Q$888,16,FALSE)</f>
        <v>-35000000.00000041</v>
      </c>
      <c r="E826" s="178">
        <f>VLOOKUP(B826,'Planning TB 2025'!$B$14:$Q$574,16,FALSE)</f>
        <v>-35000000.00000041</v>
      </c>
      <c r="F826" s="191">
        <f t="shared" si="25"/>
        <v>0</v>
      </c>
      <c r="G826" s="206">
        <f t="shared" si="26"/>
        <v>0</v>
      </c>
    </row>
    <row r="827" spans="1:7" hidden="1" x14ac:dyDescent="0.3">
      <c r="A827" s="154" t="s">
        <v>162</v>
      </c>
      <c r="B827" s="154" t="s">
        <v>3228</v>
      </c>
      <c r="C827" s="154" t="s">
        <v>3229</v>
      </c>
      <c r="D827" s="178">
        <f>VLOOKUP(B827,'Planning TB 2024'!$B$14:$Q$888,16,FALSE)</f>
        <v>1028500.3464000002</v>
      </c>
      <c r="E827" s="178">
        <f>VLOOKUP(B827,'Planning TB 2025'!$B$14:$Q$574,16,FALSE)</f>
        <v>1028500.3464000002</v>
      </c>
      <c r="F827" s="191">
        <f t="shared" si="25"/>
        <v>0</v>
      </c>
      <c r="G827" s="206">
        <f t="shared" si="26"/>
        <v>0</v>
      </c>
    </row>
    <row r="828" spans="1:7" hidden="1" x14ac:dyDescent="0.3">
      <c r="A828" s="154" t="s">
        <v>162</v>
      </c>
      <c r="B828" s="154" t="s">
        <v>3230</v>
      </c>
      <c r="C828" s="154" t="s">
        <v>3231</v>
      </c>
      <c r="D828" s="178">
        <f>VLOOKUP(B828,'Planning TB 2024'!$B$14:$Q$888,16,FALSE)</f>
        <v>1608428.9752145996</v>
      </c>
      <c r="E828" s="178">
        <f>VLOOKUP(B828,'Planning TB 2025'!$B$14:$Q$574,16,FALSE)</f>
        <v>1608428.9752145996</v>
      </c>
      <c r="F828" s="191">
        <f t="shared" si="25"/>
        <v>0</v>
      </c>
      <c r="G828" s="206">
        <f t="shared" si="26"/>
        <v>0</v>
      </c>
    </row>
    <row r="829" spans="1:7" hidden="1" x14ac:dyDescent="0.3">
      <c r="A829" s="154" t="s">
        <v>162</v>
      </c>
      <c r="B829" s="154" t="s">
        <v>3232</v>
      </c>
      <c r="C829" s="154" t="s">
        <v>3233</v>
      </c>
      <c r="D829" s="178">
        <f>VLOOKUP(B829,'Planning TB 2024'!$B$14:$Q$888,16,FALSE)</f>
        <v>1340908.2641145</v>
      </c>
      <c r="E829" s="178">
        <f>VLOOKUP(B829,'Planning TB 2025'!$B$14:$Q$574,16,FALSE)</f>
        <v>1340908.2641145</v>
      </c>
      <c r="F829" s="191">
        <f t="shared" si="25"/>
        <v>0</v>
      </c>
      <c r="G829" s="206">
        <f t="shared" si="26"/>
        <v>0</v>
      </c>
    </row>
    <row r="830" spans="1:7" hidden="1" x14ac:dyDescent="0.3">
      <c r="A830" s="154" t="s">
        <v>162</v>
      </c>
      <c r="B830" s="154" t="s">
        <v>3234</v>
      </c>
      <c r="C830" s="154" t="s">
        <v>3235</v>
      </c>
      <c r="D830" s="178">
        <f>VLOOKUP(B830,'Planning TB 2024'!$B$14:$Q$888,16,FALSE)</f>
        <v>421517.00000009994</v>
      </c>
      <c r="E830" s="178">
        <f>VLOOKUP(B830,'Planning TB 2025'!$B$14:$Q$574,16,FALSE)</f>
        <v>421517.00000009994</v>
      </c>
      <c r="F830" s="191">
        <f t="shared" si="25"/>
        <v>0</v>
      </c>
      <c r="G830" s="206">
        <f t="shared" si="26"/>
        <v>0</v>
      </c>
    </row>
    <row r="831" spans="1:7" hidden="1" x14ac:dyDescent="0.3">
      <c r="A831" s="154" t="s">
        <v>162</v>
      </c>
      <c r="B831" s="154" t="s">
        <v>3236</v>
      </c>
      <c r="C831" s="154" t="s">
        <v>3237</v>
      </c>
      <c r="D831" s="178">
        <f>VLOOKUP(B831,'Planning TB 2024'!$B$14:$Q$888,16,FALSE)</f>
        <v>133614.93599999996</v>
      </c>
      <c r="E831" s="178">
        <f>VLOOKUP(B831,'Planning TB 2025'!$B$14:$Q$574,16,FALSE)</f>
        <v>133614.93599999996</v>
      </c>
      <c r="F831" s="191">
        <f t="shared" si="25"/>
        <v>0</v>
      </c>
      <c r="G831" s="206">
        <f t="shared" si="26"/>
        <v>0</v>
      </c>
    </row>
    <row r="832" spans="1:7" hidden="1" x14ac:dyDescent="0.3">
      <c r="A832" s="154" t="s">
        <v>162</v>
      </c>
      <c r="B832" s="154" t="s">
        <v>3238</v>
      </c>
      <c r="C832" s="154" t="s">
        <v>3239</v>
      </c>
      <c r="D832" s="178">
        <f>VLOOKUP(B832,'Planning TB 2024'!$B$14:$Q$888,16,FALSE)</f>
        <v>12092688.368937202</v>
      </c>
      <c r="E832" s="178">
        <f>VLOOKUP(B832,'Planning TB 2025'!$B$14:$Q$574,16,FALSE)</f>
        <v>11757637.623347998</v>
      </c>
      <c r="F832" s="191">
        <f t="shared" si="25"/>
        <v>-335050.74558920413</v>
      </c>
      <c r="G832" s="206">
        <f t="shared" si="26"/>
        <v>-2.7706886621659543E-2</v>
      </c>
    </row>
    <row r="833" spans="1:7" hidden="1" x14ac:dyDescent="0.3">
      <c r="A833" s="154" t="s">
        <v>162</v>
      </c>
      <c r="B833" s="154" t="s">
        <v>3240</v>
      </c>
      <c r="C833" s="154" t="s">
        <v>3241</v>
      </c>
      <c r="D833" s="178">
        <f>VLOOKUP(B833,'Planning TB 2024'!$B$14:$Q$888,16,FALSE)</f>
        <v>100</v>
      </c>
      <c r="E833" s="178">
        <f>VLOOKUP(B833,'Planning TB 2025'!$B$14:$Q$574,16,FALSE)</f>
        <v>103.75</v>
      </c>
      <c r="F833" s="191">
        <f t="shared" si="25"/>
        <v>3.75</v>
      </c>
      <c r="G833" s="206">
        <f t="shared" si="26"/>
        <v>3.7499999999999999E-2</v>
      </c>
    </row>
    <row r="834" spans="1:7" hidden="1" x14ac:dyDescent="0.3">
      <c r="A834" s="154" t="s">
        <v>162</v>
      </c>
      <c r="B834" s="154" t="s">
        <v>3242</v>
      </c>
      <c r="C834" s="154" t="s">
        <v>3243</v>
      </c>
      <c r="D834" s="178">
        <f>VLOOKUP(B834,'Planning TB 2024'!$B$14:$Q$888,16,FALSE)</f>
        <v>913867.76231479994</v>
      </c>
      <c r="E834" s="178">
        <f>VLOOKUP(B834,'Planning TB 2025'!$B$14:$Q$574,16,FALSE)</f>
        <v>2009332.6630587999</v>
      </c>
      <c r="F834" s="191">
        <f t="shared" si="25"/>
        <v>1095464.900744</v>
      </c>
      <c r="G834" s="206">
        <f t="shared" si="26"/>
        <v>1.1987127086847007</v>
      </c>
    </row>
    <row r="835" spans="1:7" hidden="1" x14ac:dyDescent="0.3">
      <c r="A835" s="154" t="s">
        <v>162</v>
      </c>
      <c r="B835" s="154" t="s">
        <v>3244</v>
      </c>
      <c r="C835" s="154" t="s">
        <v>3245</v>
      </c>
      <c r="D835" s="178">
        <f>VLOOKUP(B835,'Planning TB 2024'!$B$14:$Q$888,16,FALSE)</f>
        <v>460116</v>
      </c>
      <c r="E835" s="178">
        <f>VLOOKUP(B835,'Planning TB 2025'!$B$14:$Q$574,16,FALSE)</f>
        <v>1142652.6666671999</v>
      </c>
      <c r="F835" s="191">
        <f t="shared" si="25"/>
        <v>682536.66666719993</v>
      </c>
      <c r="G835" s="206">
        <f t="shared" si="26"/>
        <v>1.4834012872127897</v>
      </c>
    </row>
    <row r="836" spans="1:7" hidden="1" x14ac:dyDescent="0.3">
      <c r="A836" s="154" t="s">
        <v>162</v>
      </c>
      <c r="B836" s="154" t="s">
        <v>3246</v>
      </c>
      <c r="C836" s="154" t="s">
        <v>3247</v>
      </c>
      <c r="D836" s="178">
        <f>VLOOKUP(B836,'Planning TB 2024'!$B$14:$Q$888,16,FALSE)</f>
        <v>-594795.3983128001</v>
      </c>
      <c r="E836" s="178">
        <f>VLOOKUP(B836,'Planning TB 2025'!$B$14:$Q$574,16,FALSE)</f>
        <v>-6131402.4239991996</v>
      </c>
      <c r="F836" s="191">
        <f t="shared" ref="F836:F877" si="27">E836-D836</f>
        <v>-5536607.0256864</v>
      </c>
      <c r="G836" s="206">
        <f t="shared" ref="G836:G877" si="28">F836/D836</f>
        <v>9.3084227641833976</v>
      </c>
    </row>
    <row r="837" spans="1:7" hidden="1" x14ac:dyDescent="0.3">
      <c r="A837" s="154" t="s">
        <v>162</v>
      </c>
      <c r="B837" s="154" t="s">
        <v>3248</v>
      </c>
      <c r="C837" s="154" t="s">
        <v>3249</v>
      </c>
      <c r="D837" s="178">
        <f>VLOOKUP(B837,'Planning TB 2024'!$B$14:$Q$888,16,FALSE)</f>
        <v>453915.91697880015</v>
      </c>
      <c r="E837" s="178">
        <f>VLOOKUP(B837,'Planning TB 2025'!$B$14:$Q$574,16,FALSE)</f>
        <v>453915.91697880015</v>
      </c>
      <c r="F837" s="191">
        <f t="shared" si="27"/>
        <v>0</v>
      </c>
      <c r="G837" s="206">
        <f t="shared" si="28"/>
        <v>0</v>
      </c>
    </row>
    <row r="838" spans="1:7" hidden="1" x14ac:dyDescent="0.3">
      <c r="A838" s="154" t="s">
        <v>162</v>
      </c>
      <c r="B838" s="154" t="s">
        <v>3250</v>
      </c>
      <c r="C838" s="154" t="s">
        <v>3251</v>
      </c>
      <c r="D838" s="178">
        <f>VLOOKUP(B838,'Planning TB 2024'!$B$14:$Q$888,16,FALSE)</f>
        <v>244212</v>
      </c>
      <c r="E838" s="178">
        <f>VLOOKUP(B838,'Planning TB 2025'!$B$14:$Q$574,16,FALSE)</f>
        <v>244212</v>
      </c>
      <c r="F838" s="191">
        <f t="shared" si="27"/>
        <v>0</v>
      </c>
      <c r="G838" s="206">
        <f t="shared" si="28"/>
        <v>0</v>
      </c>
    </row>
    <row r="839" spans="1:7" hidden="1" x14ac:dyDescent="0.3">
      <c r="A839" s="154" t="s">
        <v>162</v>
      </c>
      <c r="B839" s="154" t="s">
        <v>3252</v>
      </c>
      <c r="C839" s="154" t="s">
        <v>3253</v>
      </c>
      <c r="D839" s="178">
        <f>VLOOKUP(B839,'Planning TB 2024'!$B$14:$Q$888,16,FALSE)</f>
        <v>1020316.5599999999</v>
      </c>
      <c r="E839" s="178">
        <f>VLOOKUP(B839,'Planning TB 2025'!$B$14:$Q$574,16,FALSE)</f>
        <v>1094525.1800000002</v>
      </c>
      <c r="F839" s="191">
        <f t="shared" si="27"/>
        <v>74208.620000000228</v>
      </c>
      <c r="G839" s="206">
        <f t="shared" si="28"/>
        <v>7.2730976747059986E-2</v>
      </c>
    </row>
    <row r="840" spans="1:7" hidden="1" x14ac:dyDescent="0.3">
      <c r="A840" s="154" t="s">
        <v>162</v>
      </c>
      <c r="B840" s="154" t="s">
        <v>3254</v>
      </c>
      <c r="C840" s="154" t="s">
        <v>3255</v>
      </c>
      <c r="D840" s="178">
        <f>VLOOKUP(B840,'Planning TB 2024'!$B$14:$Q$888,16,FALSE)</f>
        <v>8791283</v>
      </c>
      <c r="E840" s="178">
        <f>VLOOKUP(B840,'Planning TB 2025'!$B$14:$Q$574,16,FALSE)</f>
        <v>11493010.83</v>
      </c>
      <c r="F840" s="191">
        <f t="shared" si="27"/>
        <v>2701727.83</v>
      </c>
      <c r="G840" s="206">
        <f t="shared" si="28"/>
        <v>0.30731894650644281</v>
      </c>
    </row>
    <row r="841" spans="1:7" hidden="1" x14ac:dyDescent="0.3">
      <c r="A841" s="154" t="s">
        <v>162</v>
      </c>
      <c r="B841" s="154" t="s">
        <v>3256</v>
      </c>
      <c r="C841" s="154" t="s">
        <v>3257</v>
      </c>
      <c r="D841" s="178">
        <f>VLOOKUP(B841,'Planning TB 2024'!$B$14:$Q$888,16,FALSE)</f>
        <v>8438886.8375917003</v>
      </c>
      <c r="E841" s="178">
        <f>VLOOKUP(B841,'Planning TB 2025'!$B$14:$Q$574,16,FALSE)</f>
        <v>18558289.116660997</v>
      </c>
      <c r="F841" s="191">
        <f t="shared" si="27"/>
        <v>10119402.279069297</v>
      </c>
      <c r="G841" s="206">
        <f t="shared" si="28"/>
        <v>1.199139468726089</v>
      </c>
    </row>
    <row r="842" spans="1:7" hidden="1" x14ac:dyDescent="0.3">
      <c r="A842" s="154" t="s">
        <v>162</v>
      </c>
      <c r="B842" s="154" t="s">
        <v>3258</v>
      </c>
      <c r="C842" s="154" t="s">
        <v>3259</v>
      </c>
      <c r="D842" s="178">
        <f>VLOOKUP(B842,'Planning TB 2024'!$B$14:$Q$888,16,FALSE)</f>
        <v>837708</v>
      </c>
      <c r="E842" s="178">
        <f>VLOOKUP(B842,'Planning TB 2025'!$B$14:$Q$574,16,FALSE)</f>
        <v>837708</v>
      </c>
      <c r="F842" s="191">
        <f t="shared" si="27"/>
        <v>0</v>
      </c>
      <c r="G842" s="206">
        <f t="shared" si="28"/>
        <v>0</v>
      </c>
    </row>
    <row r="843" spans="1:7" hidden="1" x14ac:dyDescent="0.3">
      <c r="A843" s="154" t="s">
        <v>162</v>
      </c>
      <c r="B843" s="154" t="s">
        <v>3260</v>
      </c>
      <c r="C843" s="154" t="s">
        <v>3261</v>
      </c>
      <c r="D843" s="178">
        <f>VLOOKUP(B843,'Planning TB 2024'!$B$14:$Q$888,16,FALSE)</f>
        <v>59679326.173773602</v>
      </c>
      <c r="E843" s="178">
        <f>VLOOKUP(B843,'Planning TB 2025'!$B$14:$Q$574,16,FALSE)</f>
        <v>58262811.206628002</v>
      </c>
      <c r="F843" s="191">
        <f t="shared" si="27"/>
        <v>-1416514.9671455994</v>
      </c>
      <c r="G843" s="206">
        <f t="shared" si="28"/>
        <v>-2.3735438349638982E-2</v>
      </c>
    </row>
    <row r="844" spans="1:7" hidden="1" x14ac:dyDescent="0.3">
      <c r="A844" s="154" t="s">
        <v>162</v>
      </c>
      <c r="B844" s="154" t="s">
        <v>3262</v>
      </c>
      <c r="C844" s="154" t="s">
        <v>3263</v>
      </c>
      <c r="D844" s="178">
        <f>VLOOKUP(B844,'Planning TB 2024'!$B$14:$Q$888,16,FALSE)</f>
        <v>62905309.73049999</v>
      </c>
      <c r="E844" s="178">
        <f>VLOOKUP(B844,'Planning TB 2025'!$B$14:$Q$574,16,FALSE)</f>
        <v>61357035.122499995</v>
      </c>
      <c r="F844" s="191">
        <f t="shared" si="27"/>
        <v>-1548274.6079999954</v>
      </c>
      <c r="G844" s="206">
        <f t="shared" si="28"/>
        <v>-2.4612780934282655E-2</v>
      </c>
    </row>
    <row r="845" spans="1:7" hidden="1" x14ac:dyDescent="0.3">
      <c r="A845" s="154" t="s">
        <v>162</v>
      </c>
      <c r="B845" s="154" t="s">
        <v>3264</v>
      </c>
      <c r="C845" s="154" t="s">
        <v>3265</v>
      </c>
      <c r="D845" s="178">
        <f>VLOOKUP(B845,'Planning TB 2024'!$B$14:$Q$888,16,FALSE)</f>
        <v>14723465.5956129</v>
      </c>
      <c r="E845" s="178">
        <f>VLOOKUP(B845,'Planning TB 2025'!$B$14:$Q$574,16,FALSE)</f>
        <v>14735988.113584699</v>
      </c>
      <c r="F845" s="191">
        <f t="shared" si="27"/>
        <v>12522.517971798778</v>
      </c>
      <c r="G845" s="206">
        <f t="shared" si="28"/>
        <v>8.5051429573279732E-4</v>
      </c>
    </row>
    <row r="846" spans="1:7" hidden="1" x14ac:dyDescent="0.3">
      <c r="A846" s="154" t="s">
        <v>162</v>
      </c>
      <c r="B846" s="154" t="s">
        <v>3266</v>
      </c>
      <c r="C846" s="154" t="s">
        <v>3267</v>
      </c>
      <c r="D846" s="178">
        <f>VLOOKUP(B846,'Planning TB 2024'!$B$14:$Q$888,16,FALSE)</f>
        <v>2660512</v>
      </c>
      <c r="E846" s="178">
        <f>VLOOKUP(B846,'Planning TB 2025'!$B$14:$Q$574,16,FALSE)</f>
        <v>2802536</v>
      </c>
      <c r="F846" s="191">
        <f t="shared" si="27"/>
        <v>142024</v>
      </c>
      <c r="G846" s="206">
        <f t="shared" si="28"/>
        <v>5.3382206131752083E-2</v>
      </c>
    </row>
    <row r="847" spans="1:7" hidden="1" x14ac:dyDescent="0.3">
      <c r="A847" s="154" t="s">
        <v>162</v>
      </c>
      <c r="B847" s="154" t="s">
        <v>3268</v>
      </c>
      <c r="C847" s="154" t="s">
        <v>3269</v>
      </c>
      <c r="D847" s="178">
        <f>VLOOKUP(B847,'Planning TB 2024'!$B$14:$Q$888,16,FALSE)</f>
        <v>-1385068.6941840001</v>
      </c>
      <c r="E847" s="178">
        <f>VLOOKUP(B847,'Planning TB 2025'!$B$14:$Q$574,16,FALSE)</f>
        <v>-1518549.6566433001</v>
      </c>
      <c r="F847" s="191">
        <f t="shared" si="27"/>
        <v>-133480.96245929995</v>
      </c>
      <c r="G847" s="206">
        <f t="shared" si="28"/>
        <v>9.6371366286593443E-2</v>
      </c>
    </row>
    <row r="848" spans="1:7" hidden="1" x14ac:dyDescent="0.3">
      <c r="A848" s="154" t="s">
        <v>162</v>
      </c>
      <c r="B848" s="154" t="s">
        <v>3270</v>
      </c>
      <c r="C848" s="154" t="s">
        <v>3271</v>
      </c>
      <c r="D848" s="178">
        <f>VLOOKUP(B848,'Planning TB 2024'!$B$14:$Q$888,16,FALSE)</f>
        <v>88383000</v>
      </c>
      <c r="E848" s="178">
        <f>VLOOKUP(B848,'Planning TB 2025'!$B$14:$Q$574,16,FALSE)</f>
        <v>90686844</v>
      </c>
      <c r="F848" s="191">
        <f t="shared" si="27"/>
        <v>2303844</v>
      </c>
      <c r="G848" s="206">
        <f t="shared" si="28"/>
        <v>2.6066596517429822E-2</v>
      </c>
    </row>
    <row r="849" spans="1:7" hidden="1" x14ac:dyDescent="0.3">
      <c r="A849" s="154" t="s">
        <v>162</v>
      </c>
      <c r="B849" s="154" t="s">
        <v>3272</v>
      </c>
      <c r="C849" s="154" t="s">
        <v>3273</v>
      </c>
      <c r="D849" s="178">
        <f>VLOOKUP(B849,'Planning TB 2024'!$B$14:$Q$888,16,FALSE)</f>
        <v>120000</v>
      </c>
      <c r="E849" s="178">
        <f>VLOOKUP(B849,'Planning TB 2025'!$B$14:$Q$574,16,FALSE)</f>
        <v>120000</v>
      </c>
      <c r="F849" s="191">
        <f t="shared" si="27"/>
        <v>0</v>
      </c>
      <c r="G849" s="206">
        <f t="shared" si="28"/>
        <v>0</v>
      </c>
    </row>
    <row r="850" spans="1:7" hidden="1" x14ac:dyDescent="0.3">
      <c r="A850" s="154" t="s">
        <v>162</v>
      </c>
      <c r="B850" s="154" t="s">
        <v>3274</v>
      </c>
      <c r="C850" s="154" t="s">
        <v>3275</v>
      </c>
      <c r="D850" s="178">
        <f>VLOOKUP(B850,'Planning TB 2024'!$B$14:$Q$888,16,FALSE)</f>
        <v>1868099.4820800002</v>
      </c>
      <c r="E850" s="178">
        <f>VLOOKUP(B850,'Planning TB 2025'!$B$14:$Q$574,16,FALSE)</f>
        <v>1825545.9990743999</v>
      </c>
      <c r="F850" s="191">
        <f t="shared" si="27"/>
        <v>-42553.483005600283</v>
      </c>
      <c r="G850" s="206">
        <f t="shared" si="28"/>
        <v>-2.2779024036889035E-2</v>
      </c>
    </row>
    <row r="851" spans="1:7" hidden="1" x14ac:dyDescent="0.3">
      <c r="A851" s="154" t="s">
        <v>162</v>
      </c>
      <c r="B851" s="154" t="s">
        <v>3276</v>
      </c>
      <c r="C851" s="154" t="s">
        <v>3277</v>
      </c>
      <c r="D851" s="178">
        <f>VLOOKUP(B851,'Planning TB 2024'!$B$14:$Q$888,16,FALSE)</f>
        <v>204000</v>
      </c>
      <c r="E851" s="178">
        <f>VLOOKUP(B851,'Planning TB 2025'!$B$14:$Q$574,16,FALSE)</f>
        <v>204000</v>
      </c>
      <c r="F851" s="191">
        <f t="shared" si="27"/>
        <v>0</v>
      </c>
      <c r="G851" s="206">
        <f t="shared" si="28"/>
        <v>0</v>
      </c>
    </row>
    <row r="852" spans="1:7" hidden="1" x14ac:dyDescent="0.3">
      <c r="A852" s="154" t="s">
        <v>162</v>
      </c>
      <c r="B852" s="154" t="s">
        <v>3278</v>
      </c>
      <c r="C852" s="154" t="s">
        <v>3279</v>
      </c>
      <c r="D852" s="178">
        <f>VLOOKUP(B852,'Planning TB 2024'!$B$14:$Q$888,16,FALSE)</f>
        <v>2000</v>
      </c>
      <c r="E852" s="178">
        <f>VLOOKUP(B852,'Planning TB 2025'!$B$14:$Q$574,16,FALSE)</f>
        <v>2000</v>
      </c>
      <c r="F852" s="191">
        <f t="shared" si="27"/>
        <v>0</v>
      </c>
      <c r="G852" s="206">
        <f t="shared" si="28"/>
        <v>0</v>
      </c>
    </row>
    <row r="853" spans="1:7" hidden="1" x14ac:dyDescent="0.3">
      <c r="A853" s="154" t="s">
        <v>162</v>
      </c>
      <c r="B853" s="154" t="s">
        <v>3280</v>
      </c>
      <c r="C853" s="154" t="s">
        <v>3281</v>
      </c>
      <c r="D853" s="178">
        <f>VLOOKUP(B853,'Planning TB 2024'!$B$14:$Q$888,16,FALSE)</f>
        <v>51000</v>
      </c>
      <c r="E853" s="178">
        <f>VLOOKUP(B853,'Planning TB 2025'!$B$14:$Q$574,16,FALSE)</f>
        <v>51000</v>
      </c>
      <c r="F853" s="191">
        <f t="shared" si="27"/>
        <v>0</v>
      </c>
      <c r="G853" s="206">
        <f t="shared" si="28"/>
        <v>0</v>
      </c>
    </row>
    <row r="854" spans="1:7" hidden="1" x14ac:dyDescent="0.3">
      <c r="A854" s="154" t="s">
        <v>162</v>
      </c>
      <c r="B854" s="154" t="s">
        <v>3282</v>
      </c>
      <c r="C854" s="154" t="s">
        <v>3283</v>
      </c>
      <c r="D854" s="178">
        <f>VLOOKUP(B854,'Planning TB 2024'!$B$14:$Q$888,16,FALSE)</f>
        <v>12000</v>
      </c>
      <c r="E854" s="178">
        <f>VLOOKUP(B854,'Planning TB 2025'!$B$14:$Q$574,16,FALSE)</f>
        <v>12000</v>
      </c>
      <c r="F854" s="191">
        <f t="shared" si="27"/>
        <v>0</v>
      </c>
      <c r="G854" s="206">
        <f t="shared" si="28"/>
        <v>0</v>
      </c>
    </row>
    <row r="855" spans="1:7" hidden="1" x14ac:dyDescent="0.3">
      <c r="A855" s="154" t="s">
        <v>162</v>
      </c>
      <c r="B855" s="154" t="s">
        <v>3284</v>
      </c>
      <c r="C855" s="154" t="s">
        <v>3285</v>
      </c>
      <c r="D855" s="178">
        <f>VLOOKUP(B855,'Planning TB 2024'!$B$14:$Q$888,16,FALSE)</f>
        <v>1689130</v>
      </c>
      <c r="E855" s="178" t="e">
        <f>VLOOKUP(B855,'Planning TB 2025'!$B$14:$Q$574,16,FALSE)</f>
        <v>#N/A</v>
      </c>
      <c r="F855" s="191" t="e">
        <f t="shared" si="27"/>
        <v>#N/A</v>
      </c>
      <c r="G855" s="206" t="e">
        <f t="shared" si="28"/>
        <v>#N/A</v>
      </c>
    </row>
    <row r="856" spans="1:7" hidden="1" x14ac:dyDescent="0.3">
      <c r="A856" s="154" t="s">
        <v>162</v>
      </c>
      <c r="B856" s="154" t="s">
        <v>3286</v>
      </c>
      <c r="C856" s="154" t="s">
        <v>3287</v>
      </c>
      <c r="D856" s="178">
        <f>VLOOKUP(B856,'Planning TB 2024'!$B$14:$Q$888,16,FALSE)</f>
        <v>365288</v>
      </c>
      <c r="E856" s="178">
        <f>VLOOKUP(B856,'Planning TB 2025'!$B$14:$Q$574,16,FALSE)</f>
        <v>170010</v>
      </c>
      <c r="F856" s="191">
        <f t="shared" si="27"/>
        <v>-195278</v>
      </c>
      <c r="G856" s="206">
        <f t="shared" si="28"/>
        <v>-0.53458640853244566</v>
      </c>
    </row>
    <row r="857" spans="1:7" hidden="1" x14ac:dyDescent="0.3">
      <c r="A857" s="154" t="s">
        <v>162</v>
      </c>
      <c r="B857" s="154" t="s">
        <v>3288</v>
      </c>
      <c r="C857" s="154" t="s">
        <v>3289</v>
      </c>
      <c r="D857" s="178">
        <f>VLOOKUP(B857,'Planning TB 2024'!$B$14:$Q$888,16,FALSE)</f>
        <v>55108</v>
      </c>
      <c r="E857" s="178">
        <f>VLOOKUP(B857,'Planning TB 2025'!$B$14:$Q$574,16,FALSE)</f>
        <v>116427</v>
      </c>
      <c r="F857" s="191">
        <f t="shared" si="27"/>
        <v>61319</v>
      </c>
      <c r="G857" s="206">
        <f t="shared" si="28"/>
        <v>1.1127059592073747</v>
      </c>
    </row>
    <row r="858" spans="1:7" hidden="1" x14ac:dyDescent="0.3">
      <c r="A858" s="154" t="s">
        <v>162</v>
      </c>
      <c r="B858" s="154" t="s">
        <v>3290</v>
      </c>
      <c r="C858" s="154" t="s">
        <v>3291</v>
      </c>
      <c r="D858" s="178">
        <f>VLOOKUP(B858,'Planning TB 2024'!$B$14:$Q$888,16,FALSE)</f>
        <v>4761759.370000001</v>
      </c>
      <c r="E858" s="178">
        <f>VLOOKUP(B858,'Planning TB 2025'!$B$14:$Q$574,16,FALSE)</f>
        <v>5724938</v>
      </c>
      <c r="F858" s="191">
        <f t="shared" si="27"/>
        <v>963178.62999999896</v>
      </c>
      <c r="G858" s="206">
        <f t="shared" si="28"/>
        <v>0.20227368818092939</v>
      </c>
    </row>
    <row r="859" spans="1:7" hidden="1" x14ac:dyDescent="0.3">
      <c r="A859" s="154" t="s">
        <v>162</v>
      </c>
      <c r="B859" s="154" t="s">
        <v>3292</v>
      </c>
      <c r="C859" s="154" t="s">
        <v>3293</v>
      </c>
      <c r="D859" s="178">
        <f>VLOOKUP(B859,'Planning TB 2024'!$B$14:$Q$888,16,FALSE)</f>
        <v>1211749.9999997998</v>
      </c>
      <c r="E859" s="178" t="e">
        <f>VLOOKUP(B859,'Planning TB 2025'!$B$14:$Q$574,16,FALSE)</f>
        <v>#N/A</v>
      </c>
      <c r="F859" s="191" t="e">
        <f t="shared" si="27"/>
        <v>#N/A</v>
      </c>
      <c r="G859" s="206" t="e">
        <f t="shared" si="28"/>
        <v>#N/A</v>
      </c>
    </row>
    <row r="860" spans="1:7" hidden="1" x14ac:dyDescent="0.3">
      <c r="A860" s="154" t="s">
        <v>162</v>
      </c>
      <c r="B860" s="154" t="s">
        <v>3294</v>
      </c>
      <c r="C860" s="154" t="s">
        <v>3295</v>
      </c>
      <c r="D860" s="178">
        <f>VLOOKUP(B860,'Planning TB 2024'!$B$14:$Q$888,16,FALSE)</f>
        <v>2002946.6000000006</v>
      </c>
      <c r="E860" s="178" t="e">
        <f>VLOOKUP(B860,'Planning TB 2025'!$B$14:$Q$574,16,FALSE)</f>
        <v>#N/A</v>
      </c>
      <c r="F860" s="191" t="e">
        <f t="shared" si="27"/>
        <v>#N/A</v>
      </c>
      <c r="G860" s="206" t="e">
        <f t="shared" si="28"/>
        <v>#N/A</v>
      </c>
    </row>
    <row r="861" spans="1:7" hidden="1" x14ac:dyDescent="0.3">
      <c r="A861" s="154" t="s">
        <v>162</v>
      </c>
      <c r="B861" s="154" t="s">
        <v>3296</v>
      </c>
      <c r="C861" s="154" t="s">
        <v>3297</v>
      </c>
      <c r="D861" s="178">
        <f>VLOOKUP(B861,'Planning TB 2024'!$B$14:$Q$888,16,FALSE)</f>
        <v>733051.78636099992</v>
      </c>
      <c r="E861" s="178">
        <f>VLOOKUP(B861,'Planning TB 2025'!$B$14:$Q$574,16,FALSE)</f>
        <v>733051.78636099992</v>
      </c>
      <c r="F861" s="191">
        <f t="shared" si="27"/>
        <v>0</v>
      </c>
      <c r="G861" s="206">
        <f t="shared" si="28"/>
        <v>0</v>
      </c>
    </row>
    <row r="862" spans="1:7" hidden="1" x14ac:dyDescent="0.3">
      <c r="A862" s="154" t="s">
        <v>162</v>
      </c>
      <c r="B862" s="154" t="s">
        <v>3298</v>
      </c>
      <c r="C862" s="154" t="s">
        <v>3299</v>
      </c>
      <c r="D862" s="178">
        <f>VLOOKUP(B862,'Planning TB 2024'!$B$14:$Q$888,16,FALSE)</f>
        <v>4500000</v>
      </c>
      <c r="E862" s="178">
        <f>VLOOKUP(B862,'Planning TB 2025'!$B$14:$Q$574,16,FALSE)</f>
        <v>4500000</v>
      </c>
      <c r="F862" s="191">
        <f t="shared" si="27"/>
        <v>0</v>
      </c>
      <c r="G862" s="206">
        <f t="shared" si="28"/>
        <v>0</v>
      </c>
    </row>
    <row r="863" spans="1:7" hidden="1" x14ac:dyDescent="0.3">
      <c r="A863" s="154" t="s">
        <v>162</v>
      </c>
      <c r="B863" s="154" t="s">
        <v>3300</v>
      </c>
      <c r="C863" s="154" t="s">
        <v>3301</v>
      </c>
      <c r="D863" s="178">
        <f>VLOOKUP(B863,'Planning TB 2024'!$B$14:$Q$888,16,FALSE)</f>
        <v>5478348.2136390004</v>
      </c>
      <c r="E863" s="178">
        <f>VLOOKUP(B863,'Planning TB 2025'!$B$14:$Q$574,16,FALSE)</f>
        <v>5478348.2136390004</v>
      </c>
      <c r="F863" s="191">
        <f t="shared" si="27"/>
        <v>0</v>
      </c>
      <c r="G863" s="206">
        <f t="shared" si="28"/>
        <v>0</v>
      </c>
    </row>
    <row r="864" spans="1:7" hidden="1" x14ac:dyDescent="0.3">
      <c r="A864" s="154" t="s">
        <v>162</v>
      </c>
      <c r="B864" s="154" t="s">
        <v>3302</v>
      </c>
      <c r="C864" s="154" t="s">
        <v>3303</v>
      </c>
      <c r="D864" s="178">
        <f>VLOOKUP(B864,'Planning TB 2024'!$B$14:$Q$888,16,FALSE)</f>
        <v>382158.84</v>
      </c>
      <c r="E864" s="178">
        <f>VLOOKUP(B864,'Planning TB 2025'!$B$14:$Q$574,16,FALSE)</f>
        <v>382158.84</v>
      </c>
      <c r="F864" s="191">
        <f t="shared" si="27"/>
        <v>0</v>
      </c>
      <c r="G864" s="206">
        <f t="shared" si="28"/>
        <v>0</v>
      </c>
    </row>
    <row r="865" spans="1:7" hidden="1" x14ac:dyDescent="0.3">
      <c r="A865" s="154" t="s">
        <v>162</v>
      </c>
      <c r="B865" s="154" t="s">
        <v>3304</v>
      </c>
      <c r="C865" s="154" t="s">
        <v>3305</v>
      </c>
      <c r="D865" s="178">
        <f>VLOOKUP(B865,'Planning TB 2024'!$B$14:$Q$888,16,FALSE)</f>
        <v>2915295.3821965</v>
      </c>
      <c r="E865" s="178">
        <f>VLOOKUP(B865,'Planning TB 2025'!$B$14:$Q$574,16,FALSE)</f>
        <v>2929905.3099722001</v>
      </c>
      <c r="F865" s="191">
        <f t="shared" si="27"/>
        <v>14609.927775700111</v>
      </c>
      <c r="G865" s="206">
        <f t="shared" si="28"/>
        <v>5.0114742625813813E-3</v>
      </c>
    </row>
    <row r="866" spans="1:7" hidden="1" x14ac:dyDescent="0.3">
      <c r="A866" s="154" t="s">
        <v>162</v>
      </c>
      <c r="B866" s="154" t="s">
        <v>3306</v>
      </c>
      <c r="C866" s="154" t="s">
        <v>3307</v>
      </c>
      <c r="D866" s="178">
        <f>VLOOKUP(B866,'Planning TB 2024'!$B$14:$Q$888,16,FALSE)</f>
        <v>56932.167145200001</v>
      </c>
      <c r="E866" s="178">
        <f>VLOOKUP(B866,'Planning TB 2025'!$B$14:$Q$574,16,FALSE)</f>
        <v>56932.167145200001</v>
      </c>
      <c r="F866" s="191">
        <f t="shared" si="27"/>
        <v>0</v>
      </c>
      <c r="G866" s="206">
        <f t="shared" si="28"/>
        <v>0</v>
      </c>
    </row>
    <row r="867" spans="1:7" hidden="1" x14ac:dyDescent="0.3">
      <c r="A867" s="154" t="s">
        <v>162</v>
      </c>
      <c r="B867" s="154" t="s">
        <v>3308</v>
      </c>
      <c r="C867" s="154" t="s">
        <v>3309</v>
      </c>
      <c r="D867" s="178">
        <f>VLOOKUP(B867,'Planning TB 2024'!$B$14:$Q$888,16,FALSE)</f>
        <v>705148.44000000006</v>
      </c>
      <c r="E867" s="178">
        <f>VLOOKUP(B867,'Planning TB 2025'!$B$14:$Q$574,16,FALSE)</f>
        <v>705148.44000000006</v>
      </c>
      <c r="F867" s="191">
        <f t="shared" si="27"/>
        <v>0</v>
      </c>
      <c r="G867" s="206">
        <f t="shared" si="28"/>
        <v>0</v>
      </c>
    </row>
    <row r="868" spans="1:7" hidden="1" x14ac:dyDescent="0.3">
      <c r="A868" s="154" t="s">
        <v>162</v>
      </c>
      <c r="B868" s="154" t="s">
        <v>3310</v>
      </c>
      <c r="C868" s="154" t="s">
        <v>3311</v>
      </c>
      <c r="D868" s="178">
        <f>VLOOKUP(B868,'Planning TB 2024'!$B$14:$Q$888,16,FALSE)</f>
        <v>130257.65</v>
      </c>
      <c r="E868" s="178">
        <f>VLOOKUP(B868,'Planning TB 2025'!$B$14:$Q$574,16,FALSE)</f>
        <v>130257.65</v>
      </c>
      <c r="F868" s="191">
        <f t="shared" si="27"/>
        <v>0</v>
      </c>
      <c r="G868" s="206">
        <f t="shared" si="28"/>
        <v>0</v>
      </c>
    </row>
    <row r="869" spans="1:7" hidden="1" x14ac:dyDescent="0.3">
      <c r="A869" s="154" t="s">
        <v>162</v>
      </c>
      <c r="B869" s="154" t="s">
        <v>3312</v>
      </c>
      <c r="C869" s="154" t="s">
        <v>3313</v>
      </c>
      <c r="D869" s="178">
        <f>VLOOKUP(B869,'Planning TB 2024'!$B$14:$Q$888,16,FALSE)</f>
        <v>177406944.33333367</v>
      </c>
      <c r="E869" s="178">
        <f>VLOOKUP(B869,'Planning TB 2025'!$B$14:$Q$574,16,FALSE)</f>
        <v>191487565.99999985</v>
      </c>
      <c r="F869" s="191">
        <f t="shared" si="27"/>
        <v>14080621.66666618</v>
      </c>
      <c r="G869" s="206">
        <f t="shared" si="28"/>
        <v>7.9369055814465753E-2</v>
      </c>
    </row>
    <row r="870" spans="1:7" hidden="1" x14ac:dyDescent="0.3">
      <c r="A870" s="154" t="s">
        <v>162</v>
      </c>
      <c r="B870" s="154" t="s">
        <v>3314</v>
      </c>
      <c r="C870" s="154" t="s">
        <v>3315</v>
      </c>
      <c r="D870" s="178">
        <f>VLOOKUP(B870,'Planning TB 2024'!$B$14:$Q$888,16,FALSE)</f>
        <v>1144265.8600000001</v>
      </c>
      <c r="E870" s="178">
        <f>VLOOKUP(B870,'Planning TB 2025'!$B$14:$Q$574,16,FALSE)</f>
        <v>1353168.36</v>
      </c>
      <c r="F870" s="191">
        <f t="shared" si="27"/>
        <v>208902.5</v>
      </c>
      <c r="G870" s="206">
        <f t="shared" si="28"/>
        <v>0.18256465328782945</v>
      </c>
    </row>
    <row r="871" spans="1:7" hidden="1" x14ac:dyDescent="0.3">
      <c r="A871" s="154" t="s">
        <v>162</v>
      </c>
      <c r="B871" s="154" t="s">
        <v>3316</v>
      </c>
      <c r="C871" s="154" t="s">
        <v>3317</v>
      </c>
      <c r="D871" s="178">
        <f>VLOOKUP(B871,'Planning TB 2024'!$B$14:$Q$888,16,FALSE)</f>
        <v>2423568.0299999998</v>
      </c>
      <c r="E871" s="178">
        <f>VLOOKUP(B871,'Planning TB 2025'!$B$14:$Q$574,16,FALSE)</f>
        <v>2201438.64</v>
      </c>
      <c r="F871" s="191">
        <f t="shared" si="27"/>
        <v>-222129.38999999966</v>
      </c>
      <c r="G871" s="206">
        <f t="shared" si="28"/>
        <v>-9.1653870347513905E-2</v>
      </c>
    </row>
    <row r="872" spans="1:7" hidden="1" x14ac:dyDescent="0.3">
      <c r="A872" s="154" t="s">
        <v>162</v>
      </c>
      <c r="B872" s="154" t="s">
        <v>3318</v>
      </c>
      <c r="C872" s="154" t="s">
        <v>3319</v>
      </c>
      <c r="D872" s="178">
        <f>VLOOKUP(B872,'Planning TB 2024'!$B$14:$Q$888,16,FALSE)</f>
        <v>-283625</v>
      </c>
      <c r="E872" s="178">
        <f>VLOOKUP(B872,'Planning TB 2025'!$B$14:$Q$574,16,FALSE)</f>
        <v>-977922</v>
      </c>
      <c r="F872" s="191">
        <f t="shared" si="27"/>
        <v>-694297</v>
      </c>
      <c r="G872" s="206">
        <f t="shared" si="28"/>
        <v>2.4479400617011899</v>
      </c>
    </row>
    <row r="873" spans="1:7" hidden="1" x14ac:dyDescent="0.3">
      <c r="A873" s="154" t="s">
        <v>162</v>
      </c>
      <c r="B873" s="154" t="s">
        <v>3320</v>
      </c>
      <c r="C873" s="154" t="s">
        <v>3321</v>
      </c>
      <c r="D873" s="178">
        <f>VLOOKUP(B873,'Planning TB 2024'!$B$14:$Q$888,16,FALSE)</f>
        <v>-200368</v>
      </c>
      <c r="E873" s="178">
        <f>VLOOKUP(B873,'Planning TB 2025'!$B$14:$Q$574,16,FALSE)</f>
        <v>-23174</v>
      </c>
      <c r="F873" s="191">
        <f t="shared" si="27"/>
        <v>177194</v>
      </c>
      <c r="G873" s="206">
        <f t="shared" si="28"/>
        <v>-0.88434280923101494</v>
      </c>
    </row>
    <row r="874" spans="1:7" hidden="1" x14ac:dyDescent="0.3">
      <c r="A874" s="154" t="s">
        <v>162</v>
      </c>
      <c r="B874" s="154" t="s">
        <v>3322</v>
      </c>
      <c r="C874" s="154" t="s">
        <v>3323</v>
      </c>
      <c r="D874" s="178">
        <f>VLOOKUP(B874,'Planning TB 2024'!$B$14:$Q$888,16,FALSE)</f>
        <v>-426469</v>
      </c>
      <c r="E874" s="178">
        <f>VLOOKUP(B874,'Planning TB 2025'!$B$14:$Q$574,16,FALSE)</f>
        <v>-182013</v>
      </c>
      <c r="F874" s="191">
        <f t="shared" si="27"/>
        <v>244456</v>
      </c>
      <c r="G874" s="206">
        <f t="shared" si="28"/>
        <v>-0.57320930712431617</v>
      </c>
    </row>
    <row r="875" spans="1:7" hidden="1" x14ac:dyDescent="0.3">
      <c r="A875" s="154" t="s">
        <v>162</v>
      </c>
      <c r="B875" s="154" t="s">
        <v>3324</v>
      </c>
      <c r="C875" s="154" t="s">
        <v>3325</v>
      </c>
      <c r="D875" s="178">
        <f>VLOOKUP(B875,'Planning TB 2024'!$B$14:$Q$888,16,FALSE)</f>
        <v>-48207</v>
      </c>
      <c r="E875" s="178" t="e">
        <f>VLOOKUP(B875,'Planning TB 2025'!$B$14:$Q$574,16,FALSE)</f>
        <v>#N/A</v>
      </c>
      <c r="F875" s="191" t="e">
        <f t="shared" si="27"/>
        <v>#N/A</v>
      </c>
      <c r="G875" s="206" t="e">
        <f t="shared" si="28"/>
        <v>#N/A</v>
      </c>
    </row>
    <row r="876" spans="1:7" hidden="1" x14ac:dyDescent="0.3">
      <c r="A876" s="154" t="s">
        <v>162</v>
      </c>
      <c r="B876" s="154" t="s">
        <v>3326</v>
      </c>
      <c r="C876" s="154" t="s">
        <v>3327</v>
      </c>
      <c r="D876" s="178">
        <f>VLOOKUP(B876,'Planning TB 2024'!$B$14:$Q$888,16,FALSE)</f>
        <v>-220172.76</v>
      </c>
      <c r="E876" s="178">
        <f>VLOOKUP(B876,'Planning TB 2025'!$B$14:$Q$574,16,FALSE)</f>
        <v>-186526.68</v>
      </c>
      <c r="F876" s="191">
        <f t="shared" si="27"/>
        <v>33646.080000000016</v>
      </c>
      <c r="G876" s="206">
        <f t="shared" si="28"/>
        <v>-0.15281672446673247</v>
      </c>
    </row>
    <row r="877" spans="1:7" hidden="1" x14ac:dyDescent="0.3">
      <c r="A877" s="154" t="s">
        <v>162</v>
      </c>
      <c r="B877" s="154" t="s">
        <v>3328</v>
      </c>
      <c r="C877" s="154" t="s">
        <v>3329</v>
      </c>
      <c r="D877" s="178">
        <f>VLOOKUP(B877,'Planning TB 2024'!$B$14:$Q$888,16,FALSE)</f>
        <v>100000</v>
      </c>
      <c r="E877" s="178">
        <f>VLOOKUP(B877,'Planning TB 2025'!$B$14:$Q$574,16,FALSE)</f>
        <v>100000</v>
      </c>
      <c r="F877" s="191">
        <f t="shared" si="27"/>
        <v>0</v>
      </c>
      <c r="G877" s="206">
        <f t="shared" si="28"/>
        <v>0</v>
      </c>
    </row>
  </sheetData>
  <autoFilter ref="A2:G877" xr:uid="{7EBE3AE4-6277-4660-BFBE-9290E0654030}">
    <filterColumn colId="1">
      <filters>
        <filter val="A_4073020"/>
        <filter val="A_4073021"/>
        <filter val="A_4073022"/>
        <filter val="A_4073031"/>
        <filter val="A_4073040"/>
        <filter val="A_4073090"/>
        <filter val="A_4073091"/>
        <filter val="A_4073212"/>
      </filters>
    </filterColumn>
    <filterColumn colId="5">
      <filters>
        <filter val="#N/A"/>
        <filter val="(109,702.23)"/>
        <filter val="(38,066.26)"/>
        <filter val="(6,349.29)"/>
        <filter val="(7,184.06)"/>
        <filter val="(7,405.40)"/>
        <filter val="1,496.07"/>
        <filter val="1,688.41"/>
        <filter val="1,893.59"/>
        <filter val="1,926.61"/>
        <filter val="2,741.66"/>
        <filter val="2,863.31"/>
        <filter val="3,006.80"/>
      </filters>
    </filterColumn>
    <filterColumn colId="6">
      <filters>
        <filter val="-100%"/>
        <filter val="-117%"/>
        <filter val="-12%"/>
        <filter val="-13%"/>
        <filter val="172%"/>
        <filter val="23%"/>
        <filter val="-45%"/>
        <filter val="-86%"/>
        <filter val="-97%"/>
      </filters>
    </filterColumn>
  </autoFilter>
  <pageMargins left="0.7" right="0.7" top="0.75" bottom="0.75" header="0.3" footer="0.3"/>
  <customProperties>
    <customPr name="_pios_id" r:id="rId1"/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6" ma:contentTypeDescription="Create a new document." ma:contentTypeScope="" ma:versionID="c410bab37c303177467c07dd821a813e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992d1cf030671a911d22a5604d084b24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5f9a743-18e3-40ef-b0a4-47096f190587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E790B5-5E07-4088-93DF-7B0CB5534E4F}"/>
</file>

<file path=customXml/itemProps2.xml><?xml version="1.0" encoding="utf-8"?>
<ds:datastoreItem xmlns:ds="http://schemas.openxmlformats.org/officeDocument/2006/customXml" ds:itemID="{B4A19082-6CF2-4340-B8F7-CFFEC62A6B12}">
  <ds:schemaRefs>
    <ds:schemaRef ds:uri="http://schemas.microsoft.com/office/2006/metadata/properties"/>
    <ds:schemaRef ds:uri="http://schemas.microsoft.com/office/infopath/2007/PartnerControls"/>
    <ds:schemaRef ds:uri="68f740ed-1bb5-4d6a-85fa-63caa26fe738"/>
  </ds:schemaRefs>
</ds:datastoreItem>
</file>

<file path=customXml/itemProps3.xml><?xml version="1.0" encoding="utf-8"?>
<ds:datastoreItem xmlns:ds="http://schemas.openxmlformats.org/officeDocument/2006/customXml" ds:itemID="{E87B0D2E-7809-4715-B906-75B6B3EA65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C-8 (Old)</vt:lpstr>
      <vt:lpstr>C-8 </vt:lpstr>
      <vt:lpstr>Support--&gt;</vt:lpstr>
      <vt:lpstr>FERC TB 2024</vt:lpstr>
      <vt:lpstr>FERC TB 2025</vt:lpstr>
      <vt:lpstr>Comparison</vt:lpstr>
      <vt:lpstr>Planning TB 2024</vt:lpstr>
      <vt:lpstr>Planning TB 2025</vt:lpstr>
      <vt:lpstr>Comparison </vt:lpstr>
      <vt:lpstr>C-4 (2021)</vt:lpstr>
      <vt:lpstr>C-4 (2025)</vt:lpstr>
      <vt:lpstr>C-8 (2013 Rate Case)</vt:lpstr>
      <vt:lpstr>'C-4 (2021)'!Print_Area</vt:lpstr>
      <vt:lpstr>'C-4 (2025)'!Print_Area</vt:lpstr>
      <vt:lpstr>'C-8 '!Print_Area</vt:lpstr>
      <vt:lpstr>'C-8 (Old)'!Print_Area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Canal, Justin A.</dc:creator>
  <cp:keywords/>
  <dc:description/>
  <cp:lastModifiedBy>Otero, Onixa</cp:lastModifiedBy>
  <cp:revision/>
  <dcterms:created xsi:type="dcterms:W3CDTF">2021-02-12T19:59:07Z</dcterms:created>
  <dcterms:modified xsi:type="dcterms:W3CDTF">2024-04-08T21:41:33Z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0x01010093961404F3F6B34988E14CCD792B016F</vt:lpwstr>
  </property>
  <property fmtid="{D5CDD505-2E9C-101B-9397-08002B2CF9AE}" pid="3" name="Order">
    <vt:r8>72600</vt:r8>
  </property>
  <property fmtid="{D5CDD505-2E9C-101B-9397-08002B2CF9AE}" pid="4" name="MSIP_Label_a83f872e-d8d7-43ac-9961-0f2ad31e50e5_Enabled">
    <vt:lpwstr>true</vt:lpwstr>
  </property>
  <property fmtid="{D5CDD505-2E9C-101B-9397-08002B2CF9AE}" pid="5" name="MSIP_Label_a83f872e-d8d7-43ac-9961-0f2ad31e50e5_SetDate">
    <vt:lpwstr>2023-02-20T20:11:57Z</vt:lpwstr>
  </property>
  <property fmtid="{D5CDD505-2E9C-101B-9397-08002B2CF9AE}" pid="6" name="MSIP_Label_a83f872e-d8d7-43ac-9961-0f2ad31e50e5_Method">
    <vt:lpwstr>Standard</vt:lpwstr>
  </property>
  <property fmtid="{D5CDD505-2E9C-101B-9397-08002B2CF9AE}" pid="7" name="MSIP_Label_a83f872e-d8d7-43ac-9961-0f2ad31e50e5_Name">
    <vt:lpwstr>a83f872e-d8d7-43ac-9961-0f2ad31e50e5</vt:lpwstr>
  </property>
  <property fmtid="{D5CDD505-2E9C-101B-9397-08002B2CF9AE}" pid="8" name="MSIP_Label_a83f872e-d8d7-43ac-9961-0f2ad31e50e5_SiteId">
    <vt:lpwstr>fa8c194a-f8e2-43c5-bc39-b637579e39e0</vt:lpwstr>
  </property>
  <property fmtid="{D5CDD505-2E9C-101B-9397-08002B2CF9AE}" pid="9" name="MSIP_Label_a83f872e-d8d7-43ac-9961-0f2ad31e50e5_ActionId">
    <vt:lpwstr>4a4e623e-adae-43c4-a63d-2ad4d0535034</vt:lpwstr>
  </property>
  <property fmtid="{D5CDD505-2E9C-101B-9397-08002B2CF9AE}" pid="10" name="MSIP_Label_a83f872e-d8d7-43ac-9961-0f2ad31e50e5_ContentBits">
    <vt:lpwstr>0</vt:lpwstr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