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4.bin" ContentType="application/vnd.openxmlformats-officedocument.spreadsheetml.customProperty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ustomProperty9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58EA1F2C-9D20-4A41-BD7D-6CD55C93AD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-11" sheetId="1" r:id="rId1"/>
    <sheet name="2024 - 2025 Support Data" sheetId="5" r:id="rId2"/>
    <sheet name="2023 Support Data" sheetId="11" r:id="rId3"/>
    <sheet name="Total Revenue 2025 RC Budget" sheetId="9" r:id="rId4"/>
    <sheet name="Total Revenue 2024B" sheetId="8" r:id="rId5"/>
    <sheet name="Total Revenue 2023 7+5F" sheetId="6" r:id="rId6"/>
    <sheet name="2023 Write-Off Actuals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" localSheetId="2">#REF!</definedName>
    <definedName name="\" localSheetId="3">#REF!</definedName>
    <definedName name="\">#REF!</definedName>
    <definedName name="_xlnm._FilterDatabase" localSheetId="2" hidden="1">#REF!</definedName>
    <definedName name="_xlnm._FilterDatabase" localSheetId="5" hidden="1">#REF!</definedName>
    <definedName name="_xlnm._FilterDatabase" localSheetId="4" hidden="1">#REF!</definedName>
    <definedName name="_xlnm._FilterDatabase" localSheetId="3" hidden="1">#REF!</definedName>
    <definedName name="_xlnm._FilterDatabase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hidden="1">#REF!</definedName>
    <definedName name="ACT_AMOUNT">[1]Actuals!$P:$P</definedName>
    <definedName name="ACT_MONTH_NUMBER">[1]Actuals!$B:$B</definedName>
    <definedName name="ACT_PROJECT_DESCRIPTION">[2]Actuals!$R:$R</definedName>
    <definedName name="ACT_SUMMARY_PROJECT_DESCRIPTION">[1]Actuals!$R:$R</definedName>
    <definedName name="_xlnm.Auto_Close" localSheetId="2">[3]!AdaytumSheetClose</definedName>
    <definedName name="_xlnm.Auto_Close" localSheetId="5">[3]!AdaytumSheetClose</definedName>
    <definedName name="_xlnm.Auto_Close" localSheetId="4">[3]!AdaytumSheetClose</definedName>
    <definedName name="_xlnm.Auto_Close" localSheetId="3">[3]!AdaytumSheetClose</definedName>
    <definedName name="_xlnm.Auto_Close">[3]!AdaytumSheetClose</definedName>
    <definedName name="Avail_Cap">'[4]Avail Cap'!$A$8:$N$40</definedName>
    <definedName name="Bdgt.ST.Calc" localSheetId="2">#REF!</definedName>
    <definedName name="Bdgt.ST.Calc" localSheetId="3">#REF!</definedName>
    <definedName name="Bdgt.ST.Calc">#REF!</definedName>
    <definedName name="Bdgt.ST.Paste" localSheetId="2">#REF!</definedName>
    <definedName name="Bdgt.ST.Paste" localSheetId="3">#REF!</definedName>
    <definedName name="Bdgt.ST.Paste">#REF!</definedName>
    <definedName name="BUD_APR">[1]Budget!$O:$O</definedName>
    <definedName name="BUD_AUG">[5]Budget!$S:$S</definedName>
    <definedName name="BUD_FEB">[1]Budget!$M:$M</definedName>
    <definedName name="BUD_JAN">[1]Budget!$L:$L</definedName>
    <definedName name="BUD_JUL">[2]Budget!$R:$R</definedName>
    <definedName name="BUD_JUN">[2]Budget!$Q:$Q</definedName>
    <definedName name="BUD_MAR">[1]Budget!$N:$N</definedName>
    <definedName name="BUD_MAY">[1]Budget!$P:$P</definedName>
    <definedName name="BUD_PROJECT_DESCRIPTION">[2]Budget!$Y:$Y</definedName>
    <definedName name="BUD_SUMMARY_PROJECT_DESCRIPTION">[1]Budget!$Y:$Y</definedName>
    <definedName name="Budget_Pres" localSheetId="2">#REF!</definedName>
    <definedName name="Budget_Pres" localSheetId="3">#REF!</definedName>
    <definedName name="Budget_Pres">#REF!</definedName>
    <definedName name="Calpine">'[4]IPP(Calpine)'!$A$8:$I$40</definedName>
    <definedName name="Cash_Flow_Bud" localSheetId="2">#REF!</definedName>
    <definedName name="Cash_Flow_Bud" localSheetId="3">#REF!</definedName>
    <definedName name="Cash_Flow_Bud">#REF!</definedName>
    <definedName name="cogen_wheeling">'[4]Cogen Wheeling'!$A$8:$N$40</definedName>
    <definedName name="DATA1" localSheetId="2">#REF!</definedName>
    <definedName name="DATA1" localSheetId="5">#REF!</definedName>
    <definedName name="DATA1" localSheetId="4">#REF!</definedName>
    <definedName name="DATA1" localSheetId="3">#REF!</definedName>
    <definedName name="DATA1">#REF!</definedName>
    <definedName name="DATA10" localSheetId="2">#REF!</definedName>
    <definedName name="DATA10" localSheetId="5">#REF!</definedName>
    <definedName name="DATA10" localSheetId="4">#REF!</definedName>
    <definedName name="DATA10" localSheetId="3">#REF!</definedName>
    <definedName name="DATA10">#REF!</definedName>
    <definedName name="DATA11" localSheetId="2">#REF!</definedName>
    <definedName name="DATA11" localSheetId="5">#REF!</definedName>
    <definedName name="DATA11" localSheetId="4">#REF!</definedName>
    <definedName name="DATA11" localSheetId="3">#REF!</definedName>
    <definedName name="DATA11">#REF!</definedName>
    <definedName name="DATA12" localSheetId="2">#REF!</definedName>
    <definedName name="DATA12" localSheetId="5">#REF!</definedName>
    <definedName name="DATA12" localSheetId="4">#REF!</definedName>
    <definedName name="DATA12" localSheetId="3">#REF!</definedName>
    <definedName name="DATA12">#REF!</definedName>
    <definedName name="DATA13" localSheetId="2">#REF!</definedName>
    <definedName name="DATA13" localSheetId="5">#REF!</definedName>
    <definedName name="DATA13" localSheetId="4">#REF!</definedName>
    <definedName name="DATA13" localSheetId="3">#REF!</definedName>
    <definedName name="DATA13">#REF!</definedName>
    <definedName name="DATA14" localSheetId="2">#REF!</definedName>
    <definedName name="DATA14" localSheetId="5">#REF!</definedName>
    <definedName name="DATA14" localSheetId="4">#REF!</definedName>
    <definedName name="DATA14" localSheetId="3">#REF!</definedName>
    <definedName name="DATA14">#REF!</definedName>
    <definedName name="DATA15" localSheetId="2">#REF!</definedName>
    <definedName name="DATA15" localSheetId="5">#REF!</definedName>
    <definedName name="DATA15" localSheetId="4">#REF!</definedName>
    <definedName name="DATA15" localSheetId="3">#REF!</definedName>
    <definedName name="DATA15">#REF!</definedName>
    <definedName name="DATA16" localSheetId="2">#REF!</definedName>
    <definedName name="DATA16" localSheetId="5">#REF!</definedName>
    <definedName name="DATA16" localSheetId="4">#REF!</definedName>
    <definedName name="DATA16" localSheetId="3">#REF!</definedName>
    <definedName name="DATA16">#REF!</definedName>
    <definedName name="DATA17" localSheetId="2">#REF!</definedName>
    <definedName name="DATA17" localSheetId="5">#REF!</definedName>
    <definedName name="DATA17" localSheetId="4">#REF!</definedName>
    <definedName name="DATA17" localSheetId="3">#REF!</definedName>
    <definedName name="DATA17">#REF!</definedName>
    <definedName name="DATA18" localSheetId="2">#REF!</definedName>
    <definedName name="DATA18" localSheetId="5">#REF!</definedName>
    <definedName name="DATA18" localSheetId="4">#REF!</definedName>
    <definedName name="DATA18" localSheetId="3">#REF!</definedName>
    <definedName name="DATA18">#REF!</definedName>
    <definedName name="DATA19" localSheetId="2">#REF!</definedName>
    <definedName name="DATA19" localSheetId="5">#REF!</definedName>
    <definedName name="DATA19" localSheetId="4">#REF!</definedName>
    <definedName name="DATA19" localSheetId="3">#REF!</definedName>
    <definedName name="DATA19">#REF!</definedName>
    <definedName name="DATA2" localSheetId="2">#REF!</definedName>
    <definedName name="DATA2" localSheetId="5">#REF!</definedName>
    <definedName name="DATA2" localSheetId="4">#REF!</definedName>
    <definedName name="DATA2" localSheetId="3">#REF!</definedName>
    <definedName name="DATA2">#REF!</definedName>
    <definedName name="DATA3" localSheetId="2">#REF!</definedName>
    <definedName name="DATA3" localSheetId="5">#REF!</definedName>
    <definedName name="DATA3" localSheetId="4">#REF!</definedName>
    <definedName name="DATA3" localSheetId="3">#REF!</definedName>
    <definedName name="DATA3">#REF!</definedName>
    <definedName name="DATA4" localSheetId="2">#REF!</definedName>
    <definedName name="DATA4" localSheetId="5">#REF!</definedName>
    <definedName name="DATA4" localSheetId="4">#REF!</definedName>
    <definedName name="DATA4" localSheetId="3">#REF!</definedName>
    <definedName name="DATA4">#REF!</definedName>
    <definedName name="DATA5" localSheetId="2">#REF!</definedName>
    <definedName name="DATA5" localSheetId="5">#REF!</definedName>
    <definedName name="DATA5" localSheetId="4">#REF!</definedName>
    <definedName name="DATA5" localSheetId="3">#REF!</definedName>
    <definedName name="DATA5">#REF!</definedName>
    <definedName name="DATA6" localSheetId="2">#REF!</definedName>
    <definedName name="DATA6" localSheetId="5">#REF!</definedName>
    <definedName name="DATA6" localSheetId="4">#REF!</definedName>
    <definedName name="DATA6" localSheetId="3">#REF!</definedName>
    <definedName name="DATA6">#REF!</definedName>
    <definedName name="DATA7" localSheetId="2">#REF!</definedName>
    <definedName name="DATA7" localSheetId="5">#REF!</definedName>
    <definedName name="DATA7" localSheetId="4">#REF!</definedName>
    <definedName name="DATA7" localSheetId="3">#REF!</definedName>
    <definedName name="DATA7">#REF!</definedName>
    <definedName name="DATA8" localSheetId="2">#REF!</definedName>
    <definedName name="DATA8" localSheetId="5">#REF!</definedName>
    <definedName name="DATA8" localSheetId="4">#REF!</definedName>
    <definedName name="DATA8" localSheetId="3">#REF!</definedName>
    <definedName name="DATA8">#REF!</definedName>
    <definedName name="DATA9" localSheetId="2">#REF!</definedName>
    <definedName name="DATA9" localSheetId="5">#REF!</definedName>
    <definedName name="DATA9" localSheetId="4">#REF!</definedName>
    <definedName name="DATA9" localSheetId="3">#REF!</definedName>
    <definedName name="DATA9">#REF!</definedName>
    <definedName name="DD_CURMO" localSheetId="3">[6]ES_DD_SUMMARY!#REF!</definedName>
    <definedName name="DD_CURMO">[6]ES_DD_SUMMARY!#REF!</definedName>
    <definedName name="EPMWorkbookOptions_1">"7icAAB+LCAAAAAAABADtWm2PokgQ/r7J/gfjdwUE3yaMGxZxh4uCQdy5y2RCGiiVLALb4Djz769FUVH01PUmakzGDFY/VV399NNF22n+2/vYzb0BDh3fe8wzRTqfA8/ybccbPuYn0aDAVPLfGl+/8M8+/mX6/i81iAg0zBE/L3x4D53H/CiKggeKmk6nxSlb9PGQKtE0Q/3dafesEYxRwfHCCHkW5Jde9n975UmvuRwv+p4H1qxP3RcnGIMX"</definedName>
    <definedName name="EPMWorkbookOptions_2" hidden="1">"/XRgGjemmpsoQgsrsStoDPPelj1FMA4m2Im76oeAuxgGQOJZUCQJ5RtGq9sxvndF5ZmhjZeFUwjugGDfHIKKwPLBAzz8KFr+mApRQJmBRb0aL7okqkZLVgRFlJKv3bagKLLyg3wfIDcE8j/CE3jlqVluq0yFIHAdC62xenDGSYx0lDXzgohGKqGNBOY0rpjNUTubnhzbBq/pjMEL43R3Q1ephikMQfVG/nQZQ/RdHzdmxPBURsM+13gUGZ5b"</definedName>
    <definedName name="EPMWorkbookOptions_3" hidden="1">"o1s4EqlE8B610JuPnYjkFU/L3HmrbcP/yRmOXPKJeuASuYH95ABG2Bo5qzh7MQfk03JwGK0NKLt9I9By1LsJPxS1jut7zu8JxEyKgi79ULV/eCqrdV+Q+RSSClKmGbbGrAXImtzYV8U24AbNU/OHzOhh4KKPLvYDwNFHgylXygMwB4VyxeYKXGlQL9TKAAUaQYmzzSpXNdlZz2mvjMBtFC5nrgNjk9TEDFha5ZkAApn7r9H0krD4WnzpCpqk"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quityTarget">[7]Capital!$S$1</definedName>
    <definedName name="EquityTolerance">[7]Capital!$S$2</definedName>
    <definedName name="EV__EVCOM_OPTIONS__" hidden="1">8</definedName>
    <definedName name="EV__EXPOPTIONS__" hidden="1">1</definedName>
    <definedName name="EV__LASTREFTIME__" hidden="1">"(GMT-05:00)8/11/2016 2:08:25 PM"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22</definedName>
    <definedName name="EV__WBVERSION__" hidden="1">0</definedName>
    <definedName name="Generation">[4]Generation!$A$8:$AT$40</definedName>
    <definedName name="Gross_New_WO_Average_Age_2017" localSheetId="2">'[8]Historical Grid WO Activity'!#REF!</definedName>
    <definedName name="Gross_New_WO_Average_Age_2017" localSheetId="5">'[9]Historical Grid WO Activity'!#REF!</definedName>
    <definedName name="Gross_New_WO_Average_Age_2017" localSheetId="4">'[9]Historical Grid WO Activity'!#REF!</definedName>
    <definedName name="Gross_New_WO_Average_Age_2017" localSheetId="3">'[9]Historical Grid WO Activity'!#REF!</definedName>
    <definedName name="Gross_New_WO_Average_Age_2017">'[8]Historical Grid WO Activity'!#REF!</definedName>
    <definedName name="Gross_New_WO_Average_Age_2018" localSheetId="2">'[8]Historical Grid WO Activity'!#REF!</definedName>
    <definedName name="Gross_New_WO_Average_Age_2018" localSheetId="5">'[9]Historical Grid WO Activity'!#REF!</definedName>
    <definedName name="Gross_New_WO_Average_Age_2018" localSheetId="4">'[9]Historical Grid WO Activity'!#REF!</definedName>
    <definedName name="Gross_New_WO_Average_Age_2018" localSheetId="3">'[9]Historical Grid WO Activity'!#REF!</definedName>
    <definedName name="Gross_New_WO_Average_Age_2018">'[8]Historical Grid WO Activity'!#REF!</definedName>
    <definedName name="Gross_New_WO_Count_Age_2017" localSheetId="2">'[8]Historical Grid WO Activity'!#REF!</definedName>
    <definedName name="Gross_New_WO_Count_Age_2017" localSheetId="5">'[9]Historical Grid WO Activity'!#REF!</definedName>
    <definedName name="Gross_New_WO_Count_Age_2017" localSheetId="4">'[9]Historical Grid WO Activity'!#REF!</definedName>
    <definedName name="Gross_New_WO_Count_Age_2017" localSheetId="3">'[9]Historical Grid WO Activity'!#REF!</definedName>
    <definedName name="Gross_New_WO_Count_Age_2017">'[8]Historical Grid WO Activity'!#REF!</definedName>
    <definedName name="Gross_New_WO_Count_Age_2018" localSheetId="2">'[8]Historical Grid WO Activity'!#REF!</definedName>
    <definedName name="Gross_New_WO_Count_Age_2018" localSheetId="5">'[9]Historical Grid WO Activity'!#REF!</definedName>
    <definedName name="Gross_New_WO_Count_Age_2018" localSheetId="4">'[9]Historical Grid WO Activity'!#REF!</definedName>
    <definedName name="Gross_New_WO_Count_Age_2018" localSheetId="3">'[9]Historical Grid WO Activity'!#REF!</definedName>
    <definedName name="Gross_New_WO_Count_Age_2018">'[8]Historical Grid WO Activity'!#REF!</definedName>
    <definedName name="Gross_New_WO_Dollar_Age_2017" localSheetId="2">'[8]Historical Grid WO Activity'!#REF!</definedName>
    <definedName name="Gross_New_WO_Dollar_Age_2017" localSheetId="5">'[9]Historical Grid WO Activity'!#REF!</definedName>
    <definedName name="Gross_New_WO_Dollar_Age_2017" localSheetId="4">'[9]Historical Grid WO Activity'!#REF!</definedName>
    <definedName name="Gross_New_WO_Dollar_Age_2017" localSheetId="3">'[9]Historical Grid WO Activity'!#REF!</definedName>
    <definedName name="Gross_New_WO_Dollar_Age_2017">'[8]Historical Grid WO Activity'!#REF!</definedName>
    <definedName name="Gross_New_WO_Dollar_Age_2018" localSheetId="2">'[8]Historical Grid WO Activity'!#REF!</definedName>
    <definedName name="Gross_New_WO_Dollar_Age_2018" localSheetId="5">'[9]Historical Grid WO Activity'!#REF!</definedName>
    <definedName name="Gross_New_WO_Dollar_Age_2018" localSheetId="4">'[9]Historical Grid WO Activity'!#REF!</definedName>
    <definedName name="Gross_New_WO_Dollar_Age_2018" localSheetId="3">'[9]Historical Grid WO Activity'!#REF!</definedName>
    <definedName name="Gross_New_WO_Dollar_Age_2018">'[8]Historical Grid WO Activity'!#REF!</definedName>
    <definedName name="Hills_Cty">'[4]HILLS CTY'!$A$8:$F$40</definedName>
    <definedName name="Inadv">'[4]Inadv Unadjust Retail NEL'!$A$10:$K$42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39314.6042013889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E_Upload" localSheetId="2">#REF!</definedName>
    <definedName name="JE_Upload" localSheetId="5">#REF!</definedName>
    <definedName name="JE_Upload" localSheetId="4">#REF!</definedName>
    <definedName name="JE_Upload" localSheetId="3">#REF!</definedName>
    <definedName name="JE_Upload">#REF!</definedName>
    <definedName name="jk" localSheetId="2" hidden="1">#REF!</definedName>
    <definedName name="jk" localSheetId="3" hidden="1">#REF!</definedName>
    <definedName name="jk" hidden="1">#REF!</definedName>
    <definedName name="Losses" localSheetId="2">#REF!</definedName>
    <definedName name="Losses" localSheetId="3">#REF!</definedName>
    <definedName name="Losses">#REF!</definedName>
    <definedName name="LowTolerance">[10]Check!$D$5</definedName>
    <definedName name="McKay_Bay">'[4]MCKAY BAY'!$A$8:$F$40</definedName>
    <definedName name="NSI">'[4]NSI &amp; Received-Delivered'!$A$8:$F$40</definedName>
    <definedName name="OMTOLERANCE">[11]Check!$D$4</definedName>
    <definedName name="Osprey">'[4]IPP (Osprey)'!$A$8:$I$40</definedName>
    <definedName name="Peak_Data">'[4]Peak Data'!$A$7:$L$37</definedName>
    <definedName name="Peak_MW">'[4]Peak MW'!$A$8:$N$40</definedName>
    <definedName name="Period">'[11]Drivers '!$D$11:$O$11</definedName>
    <definedName name="PKDH">[12]Lists!$A$2:$A$54</definedName>
    <definedName name="_xlnm.Print_Area" localSheetId="2">'2023 Support Data'!#REF!</definedName>
    <definedName name="_xlnm.Print_Area" localSheetId="1">'2024 - 2025 Support Data'!#REF!</definedName>
    <definedName name="_xlnm.Print_Area" localSheetId="0">'C-11'!$A$1:$S$51</definedName>
    <definedName name="_xlnm.Print_Area" localSheetId="5">'Total Revenue 2023 7+5F'!$L$20:$AA$212</definedName>
    <definedName name="_xlnm.Print_Area" localSheetId="4">'Total Revenue 2024B'!$L$20:$AA$151</definedName>
    <definedName name="_xlnm.Print_Area" localSheetId="3">'Total Revenue 2025 RC Budget'!$L$20:$AA$147</definedName>
    <definedName name="PrintRange" localSheetId="2">#REF!,#REF!</definedName>
    <definedName name="PrintRange" localSheetId="3">#REF!,#REF!</definedName>
    <definedName name="PrintRange">#REF!,#REF!</definedName>
    <definedName name="purchases">[4]Purchases!$A$9:$R$41</definedName>
    <definedName name="QAP" localSheetId="2">#REF!</definedName>
    <definedName name="QAP" localSheetId="3">#REF!</definedName>
    <definedName name="QAP">#REF!</definedName>
    <definedName name="sales">[4]Sales!$A$8:$N$40</definedName>
    <definedName name="SAPCrosstab1" localSheetId="2">#REF!</definedName>
    <definedName name="SAPCrosstab1" localSheetId="3">#REF!</definedName>
    <definedName name="SAPCrosstab1">#REF!</definedName>
    <definedName name="SAPCrosstab2" localSheetId="2">#REF!</definedName>
    <definedName name="SAPCrosstab2" localSheetId="3">#REF!</definedName>
    <definedName name="SAPCrosstab2">#REF!</definedName>
    <definedName name="solver_adj" localSheetId="2" hidden="1">'2023 Support Data'!#REF!</definedName>
    <definedName name="solver_adj" localSheetId="1" hidden="1">'2024 - 2025 Support Data'!#REF!</definedName>
    <definedName name="solver_cvg" localSheetId="2" hidden="1">0.0001</definedName>
    <definedName name="solver_cvg" localSheetId="1" hidden="1">0.0001</definedName>
    <definedName name="solver_drv" localSheetId="2" hidden="1">1</definedName>
    <definedName name="solver_drv" localSheetId="1" hidden="1">1</definedName>
    <definedName name="solver_eng" localSheetId="2" hidden="1">1</definedName>
    <definedName name="solver_eng" localSheetId="1" hidden="1">1</definedName>
    <definedName name="solver_est" localSheetId="2" hidden="1">1</definedName>
    <definedName name="solver_est" localSheetId="1" hidden="1">1</definedName>
    <definedName name="solver_itr" localSheetId="2" hidden="1">2147483647</definedName>
    <definedName name="solver_itr" localSheetId="1" hidden="1">2147483647</definedName>
    <definedName name="solver_mip" localSheetId="2" hidden="1">2147483647</definedName>
    <definedName name="solver_mip" localSheetId="1" hidden="1">2147483647</definedName>
    <definedName name="solver_mni" localSheetId="2" hidden="1">30</definedName>
    <definedName name="solver_mni" localSheetId="1" hidden="1">30</definedName>
    <definedName name="solver_mrt" localSheetId="2" hidden="1">0.075</definedName>
    <definedName name="solver_mrt" localSheetId="1" hidden="1">0.075</definedName>
    <definedName name="solver_msl" localSheetId="2" hidden="1">2</definedName>
    <definedName name="solver_msl" localSheetId="1" hidden="1">2</definedName>
    <definedName name="solver_neg" localSheetId="2" hidden="1">1</definedName>
    <definedName name="solver_neg" localSheetId="1" hidden="1">1</definedName>
    <definedName name="solver_nod" localSheetId="2" hidden="1">2147483647</definedName>
    <definedName name="solver_nod" localSheetId="1" hidden="1">2147483647</definedName>
    <definedName name="solver_num" localSheetId="2" hidden="1">0</definedName>
    <definedName name="solver_num" localSheetId="1" hidden="1">0</definedName>
    <definedName name="solver_nwt" localSheetId="2" hidden="1">1</definedName>
    <definedName name="solver_nwt" localSheetId="1" hidden="1">1</definedName>
    <definedName name="solver_opt" localSheetId="2" hidden="1">'2023 Support Data'!#REF!</definedName>
    <definedName name="solver_opt" localSheetId="1" hidden="1">'2024 - 2025 Support Data'!#REF!</definedName>
    <definedName name="solver_pre" localSheetId="2" hidden="1">0.000001</definedName>
    <definedName name="solver_pre" localSheetId="1" hidden="1">0.000001</definedName>
    <definedName name="solver_rbv" localSheetId="2" hidden="1">1</definedName>
    <definedName name="solver_rbv" localSheetId="1" hidden="1">1</definedName>
    <definedName name="solver_rlx" localSheetId="2" hidden="1">2</definedName>
    <definedName name="solver_rlx" localSheetId="1" hidden="1">2</definedName>
    <definedName name="solver_rsd" localSheetId="2" hidden="1">0</definedName>
    <definedName name="solver_rsd" localSheetId="1" hidden="1">0</definedName>
    <definedName name="solver_scl" localSheetId="2" hidden="1">1</definedName>
    <definedName name="solver_scl" localSheetId="1" hidden="1">1</definedName>
    <definedName name="solver_sho" localSheetId="2" hidden="1">2</definedName>
    <definedName name="solver_sho" localSheetId="1" hidden="1">2</definedName>
    <definedName name="solver_ssz" localSheetId="2" hidden="1">100</definedName>
    <definedName name="solver_ssz" localSheetId="1" hidden="1">100</definedName>
    <definedName name="solver_tim" localSheetId="2" hidden="1">2147483647</definedName>
    <definedName name="solver_tim" localSheetId="1" hidden="1">2147483647</definedName>
    <definedName name="solver_tol" localSheetId="2" hidden="1">0.01</definedName>
    <definedName name="solver_tol" localSheetId="1" hidden="1">0.01</definedName>
    <definedName name="solver_typ" localSheetId="2" hidden="1">3</definedName>
    <definedName name="solver_typ" localSheetId="1" hidden="1">3</definedName>
    <definedName name="solver_val" localSheetId="2" hidden="1">0</definedName>
    <definedName name="solver_val" localSheetId="1" hidden="1">0</definedName>
    <definedName name="solver_ver" localSheetId="2" hidden="1">3</definedName>
    <definedName name="solver_ver" localSheetId="1" hidden="1">3</definedName>
    <definedName name="Test" localSheetId="2" hidden="1">#REF!</definedName>
    <definedName name="Test" localSheetId="3" hidden="1">#REF!</definedName>
    <definedName name="Test" hidden="1">#REF!</definedName>
    <definedName name="TEST0" localSheetId="2">#REF!</definedName>
    <definedName name="TEST0" localSheetId="5">#REF!</definedName>
    <definedName name="TEST0" localSheetId="4">#REF!</definedName>
    <definedName name="TEST0" localSheetId="3">#REF!</definedName>
    <definedName name="TEST0">#REF!</definedName>
    <definedName name="TESTHKEY" localSheetId="2">#REF!</definedName>
    <definedName name="TESTHKEY" localSheetId="5">#REF!</definedName>
    <definedName name="TESTHKEY" localSheetId="4">#REF!</definedName>
    <definedName name="TESTHKEY" localSheetId="3">#REF!</definedName>
    <definedName name="TESTHKEY">#REF!</definedName>
    <definedName name="TESTKEYS" localSheetId="2">#REF!</definedName>
    <definedName name="TESTKEYS" localSheetId="5">#REF!</definedName>
    <definedName name="TESTKEYS" localSheetId="4">#REF!</definedName>
    <definedName name="TESTKEYS" localSheetId="3">#REF!</definedName>
    <definedName name="TESTKEYS">#REF!</definedName>
    <definedName name="TESTVKEY" localSheetId="2">#REF!</definedName>
    <definedName name="TESTVKEY" localSheetId="5">#REF!</definedName>
    <definedName name="TESTVKEY" localSheetId="4">#REF!</definedName>
    <definedName name="TESTVKEY" localSheetId="3">#REF!</definedName>
    <definedName name="TESTVKEY">#REF!</definedName>
    <definedName name="Tolerance">[11]Check!$D$3</definedName>
    <definedName name="Trans_Sched">'[4]Trans Sched'!$A$9:$G$41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B4" i="5" l="1"/>
  <c r="ED4" i="5"/>
  <c r="EE4" i="5"/>
  <c r="EA5" i="5"/>
  <c r="EA4" i="5" s="1"/>
  <c r="EB5" i="5"/>
  <c r="EC5" i="5"/>
  <c r="EC4" i="5" s="1"/>
  <c r="ED5" i="5"/>
  <c r="EE5" i="5"/>
  <c r="U20" i="1" l="1"/>
  <c r="J20" i="1"/>
  <c r="H20" i="1"/>
  <c r="CM57" i="11"/>
  <c r="CV57" i="11" s="1"/>
  <c r="CK57" i="11"/>
  <c r="CJ57" i="11"/>
  <c r="CU55" i="11"/>
  <c r="CT55" i="11"/>
  <c r="CS55" i="11"/>
  <c r="CR55" i="11"/>
  <c r="CQ55" i="11"/>
  <c r="CP55" i="11"/>
  <c r="CO55" i="11"/>
  <c r="CN55" i="11"/>
  <c r="CM55" i="11"/>
  <c r="CL55" i="11"/>
  <c r="CJ55" i="11"/>
  <c r="CP53" i="11"/>
  <c r="CN53" i="11"/>
  <c r="BW46" i="11"/>
  <c r="BV46" i="11"/>
  <c r="BU46" i="11"/>
  <c r="BT46" i="11"/>
  <c r="BS46" i="11"/>
  <c r="BR46" i="11"/>
  <c r="BQ46" i="11"/>
  <c r="BP46" i="11"/>
  <c r="BO46" i="11"/>
  <c r="BN46" i="11"/>
  <c r="BM46" i="11"/>
  <c r="BL46" i="11"/>
  <c r="BK46" i="11"/>
  <c r="BJ46" i="11"/>
  <c r="BI46" i="11"/>
  <c r="BH46" i="11"/>
  <c r="BG46" i="11"/>
  <c r="BF46" i="11"/>
  <c r="BE46" i="11"/>
  <c r="BD46" i="11"/>
  <c r="BC46" i="11"/>
  <c r="BB46" i="11"/>
  <c r="BA46" i="11"/>
  <c r="AZ46" i="11"/>
  <c r="ED38" i="11"/>
  <c r="EB38" i="11"/>
  <c r="DV38" i="11"/>
  <c r="DT38" i="11"/>
  <c r="DN38" i="11"/>
  <c r="DL38" i="11"/>
  <c r="DD38" i="11"/>
  <c r="CV38" i="11"/>
  <c r="CN38" i="11"/>
  <c r="CH38" i="11"/>
  <c r="CF38" i="11"/>
  <c r="BZ38" i="11"/>
  <c r="BX38" i="11"/>
  <c r="BR38" i="11"/>
  <c r="BP38" i="11"/>
  <c r="BJ38" i="11"/>
  <c r="BH38" i="11"/>
  <c r="BB38" i="11"/>
  <c r="AZ38" i="11"/>
  <c r="EE37" i="11"/>
  <c r="EE38" i="11" s="1"/>
  <c r="ED37" i="11"/>
  <c r="ED23" i="11" s="1"/>
  <c r="EC37" i="11"/>
  <c r="EB37" i="11"/>
  <c r="EA37" i="11"/>
  <c r="EA38" i="11" s="1"/>
  <c r="DZ37" i="11"/>
  <c r="DZ38" i="11" s="1"/>
  <c r="DY37" i="11"/>
  <c r="DY23" i="11" s="1"/>
  <c r="DY24" i="11" s="1"/>
  <c r="DX37" i="11"/>
  <c r="DX38" i="11" s="1"/>
  <c r="DW37" i="11"/>
  <c r="DW38" i="11" s="1"/>
  <c r="DV37" i="11"/>
  <c r="DV23" i="11" s="1"/>
  <c r="DU37" i="11"/>
  <c r="DT37" i="11"/>
  <c r="DS37" i="11"/>
  <c r="DS38" i="11" s="1"/>
  <c r="DR37" i="11"/>
  <c r="DR38" i="11" s="1"/>
  <c r="DQ37" i="11"/>
  <c r="DQ23" i="11" s="1"/>
  <c r="DQ24" i="11" s="1"/>
  <c r="DP37" i="11"/>
  <c r="DP38" i="11" s="1"/>
  <c r="DO37" i="11"/>
  <c r="DO38" i="11" s="1"/>
  <c r="DN37" i="11"/>
  <c r="DN23" i="11" s="1"/>
  <c r="DM37" i="11"/>
  <c r="DL37" i="11"/>
  <c r="DK37" i="11"/>
  <c r="DK38" i="11" s="1"/>
  <c r="DJ37" i="11"/>
  <c r="DJ38" i="11" s="1"/>
  <c r="DI37" i="11"/>
  <c r="DI23" i="11" s="1"/>
  <c r="DI24" i="11" s="1"/>
  <c r="DH37" i="11"/>
  <c r="DH38" i="11" s="1"/>
  <c r="DG37" i="11"/>
  <c r="DG38" i="11" s="1"/>
  <c r="DF37" i="11"/>
  <c r="DF23" i="11" s="1"/>
  <c r="DE37" i="11"/>
  <c r="DD37" i="11"/>
  <c r="DC37" i="11"/>
  <c r="DC38" i="11" s="1"/>
  <c r="DB37" i="11"/>
  <c r="DB38" i="11" s="1"/>
  <c r="DA37" i="11"/>
  <c r="DA23" i="11" s="1"/>
  <c r="DA24" i="11" s="1"/>
  <c r="CZ37" i="11"/>
  <c r="CZ38" i="11" s="1"/>
  <c r="CY37" i="11"/>
  <c r="CY38" i="11" s="1"/>
  <c r="CX37" i="11"/>
  <c r="CX23" i="11" s="1"/>
  <c r="CW37" i="11"/>
  <c r="CV37" i="11"/>
  <c r="CU37" i="11"/>
  <c r="CU38" i="11" s="1"/>
  <c r="CT37" i="11"/>
  <c r="CT38" i="11" s="1"/>
  <c r="CS37" i="11"/>
  <c r="CS23" i="11" s="1"/>
  <c r="CS24" i="11" s="1"/>
  <c r="CR37" i="11"/>
  <c r="CR38" i="11" s="1"/>
  <c r="CQ37" i="11"/>
  <c r="CQ38" i="11" s="1"/>
  <c r="CP37" i="11"/>
  <c r="CP23" i="11" s="1"/>
  <c r="CO37" i="11"/>
  <c r="CN37" i="11"/>
  <c r="CM37" i="11"/>
  <c r="CM38" i="11" s="1"/>
  <c r="CL37" i="11"/>
  <c r="CL38" i="11" s="1"/>
  <c r="CK37" i="11"/>
  <c r="CK23" i="11" s="1"/>
  <c r="CK24" i="11" s="1"/>
  <c r="CJ37" i="11"/>
  <c r="CJ38" i="11" s="1"/>
  <c r="CI37" i="11"/>
  <c r="CI38" i="11" s="1"/>
  <c r="CH37" i="11"/>
  <c r="CH23" i="11" s="1"/>
  <c r="CG37" i="11"/>
  <c r="CF37" i="11"/>
  <c r="CE37" i="11"/>
  <c r="CE38" i="11" s="1"/>
  <c r="CD37" i="11"/>
  <c r="CD38" i="11" s="1"/>
  <c r="CC37" i="11"/>
  <c r="CC23" i="11" s="1"/>
  <c r="CB37" i="11"/>
  <c r="CB38" i="11" s="1"/>
  <c r="CA37" i="11"/>
  <c r="CA38" i="11" s="1"/>
  <c r="BZ37" i="11"/>
  <c r="BZ23" i="11" s="1"/>
  <c r="BY37" i="11"/>
  <c r="BX37" i="11"/>
  <c r="BW37" i="11"/>
  <c r="BW38" i="11" s="1"/>
  <c r="BV37" i="11"/>
  <c r="BV38" i="11" s="1"/>
  <c r="BU37" i="11"/>
  <c r="BU23" i="11" s="1"/>
  <c r="BT37" i="11"/>
  <c r="BT38" i="11" s="1"/>
  <c r="BS37" i="11"/>
  <c r="BS38" i="11" s="1"/>
  <c r="BR37" i="11"/>
  <c r="BR23" i="11" s="1"/>
  <c r="BQ37" i="11"/>
  <c r="BP37" i="11"/>
  <c r="BO37" i="11"/>
  <c r="BO38" i="11" s="1"/>
  <c r="BN37" i="11"/>
  <c r="BN38" i="11" s="1"/>
  <c r="BM37" i="11"/>
  <c r="BM23" i="11" s="1"/>
  <c r="BM24" i="11" s="1"/>
  <c r="BL37" i="11"/>
  <c r="BL38" i="11" s="1"/>
  <c r="BK37" i="11"/>
  <c r="BK38" i="11" s="1"/>
  <c r="BJ37" i="11"/>
  <c r="BJ23" i="11" s="1"/>
  <c r="BI37" i="11"/>
  <c r="BI38" i="11" s="1"/>
  <c r="BH37" i="11"/>
  <c r="BG37" i="11"/>
  <c r="BG38" i="11" s="1"/>
  <c r="BF37" i="11"/>
  <c r="BF38" i="11" s="1"/>
  <c r="BE37" i="11"/>
  <c r="BE38" i="11" s="1"/>
  <c r="BD37" i="11"/>
  <c r="BD38" i="11" s="1"/>
  <c r="BC37" i="11"/>
  <c r="BC38" i="11" s="1"/>
  <c r="BB37" i="11"/>
  <c r="BA37" i="11"/>
  <c r="BA38" i="11" s="1"/>
  <c r="AZ37" i="11"/>
  <c r="DP24" i="11"/>
  <c r="CX24" i="11"/>
  <c r="CU24" i="11"/>
  <c r="BG24" i="11"/>
  <c r="BD24" i="11"/>
  <c r="EE23" i="11"/>
  <c r="EC23" i="11"/>
  <c r="EC24" i="11" s="1"/>
  <c r="EB23" i="11"/>
  <c r="EA23" i="11"/>
  <c r="DZ23" i="11"/>
  <c r="DX23" i="11"/>
  <c r="DX24" i="11" s="1"/>
  <c r="DW23" i="11"/>
  <c r="DU23" i="11"/>
  <c r="DU24" i="11" s="1"/>
  <c r="DT23" i="11"/>
  <c r="DS23" i="11"/>
  <c r="DR23" i="11"/>
  <c r="DP23" i="11"/>
  <c r="DO23" i="11"/>
  <c r="DO24" i="11" s="1"/>
  <c r="DM23" i="11"/>
  <c r="DM24" i="11" s="1"/>
  <c r="DL23" i="11"/>
  <c r="DK23" i="11"/>
  <c r="DK24" i="11" s="1"/>
  <c r="DJ23" i="11"/>
  <c r="DH23" i="11"/>
  <c r="DH24" i="11" s="1"/>
  <c r="DG23" i="11"/>
  <c r="DE23" i="11"/>
  <c r="DD23" i="11"/>
  <c r="DC23" i="11"/>
  <c r="DC24" i="11" s="1"/>
  <c r="DB23" i="11"/>
  <c r="CZ23" i="11"/>
  <c r="CY23" i="11"/>
  <c r="CW23" i="11"/>
  <c r="CV23" i="11"/>
  <c r="CU23" i="11"/>
  <c r="CU53" i="11" s="1"/>
  <c r="CT23" i="11"/>
  <c r="CT53" i="11" s="1"/>
  <c r="CR23" i="11"/>
  <c r="CR53" i="11" s="1"/>
  <c r="CQ23" i="11"/>
  <c r="CO23" i="11"/>
  <c r="CN23" i="11"/>
  <c r="CM23" i="11"/>
  <c r="CM53" i="11" s="1"/>
  <c r="CL23" i="11"/>
  <c r="CL53" i="11" s="1"/>
  <c r="CJ23" i="11"/>
  <c r="CI23" i="11"/>
  <c r="CG23" i="11"/>
  <c r="CF23" i="11"/>
  <c r="CE23" i="11"/>
  <c r="CD23" i="11"/>
  <c r="CB23" i="11"/>
  <c r="CA23" i="11"/>
  <c r="BY23" i="11"/>
  <c r="BX23" i="11"/>
  <c r="BW23" i="11"/>
  <c r="BV23" i="11"/>
  <c r="BT23" i="11"/>
  <c r="BS23" i="11"/>
  <c r="BQ23" i="11"/>
  <c r="BP23" i="11"/>
  <c r="BO23" i="11"/>
  <c r="BN23" i="11"/>
  <c r="BL23" i="11"/>
  <c r="BL24" i="11" s="1"/>
  <c r="BK23" i="11"/>
  <c r="BI23" i="11"/>
  <c r="BH23" i="11"/>
  <c r="BG23" i="11"/>
  <c r="BF23" i="11"/>
  <c r="BC23" i="11"/>
  <c r="AZ23" i="11"/>
  <c r="AZ24" i="11" s="1"/>
  <c r="DJ21" i="11"/>
  <c r="CO21" i="11"/>
  <c r="EE20" i="11"/>
  <c r="ED20" i="11"/>
  <c r="EC20" i="11"/>
  <c r="EB20" i="11"/>
  <c r="EA20" i="11"/>
  <c r="DZ20" i="11"/>
  <c r="DY20" i="11"/>
  <c r="DX20" i="11"/>
  <c r="DW20" i="11"/>
  <c r="DV20" i="11"/>
  <c r="DU20" i="11"/>
  <c r="DT20" i="11"/>
  <c r="DS20" i="11"/>
  <c r="DR20" i="11"/>
  <c r="DQ20" i="11"/>
  <c r="DP20" i="11"/>
  <c r="DO20" i="11"/>
  <c r="DN20" i="11"/>
  <c r="DM20" i="11"/>
  <c r="DL20" i="11"/>
  <c r="DK20" i="11"/>
  <c r="DJ20" i="11"/>
  <c r="DI20" i="11"/>
  <c r="DH20" i="11"/>
  <c r="DH21" i="11" s="1"/>
  <c r="DG20" i="11"/>
  <c r="DF20" i="11"/>
  <c r="DE20" i="11"/>
  <c r="DD20" i="11"/>
  <c r="DC20" i="11"/>
  <c r="DB20" i="11"/>
  <c r="DB21" i="11" s="1"/>
  <c r="DA20" i="11"/>
  <c r="CZ20" i="11"/>
  <c r="CY20" i="11"/>
  <c r="CX20" i="11"/>
  <c r="CW20" i="11"/>
  <c r="CV20" i="11"/>
  <c r="CU20" i="11"/>
  <c r="CT20" i="11"/>
  <c r="CT21" i="11" s="1"/>
  <c r="CS20" i="11"/>
  <c r="CR20" i="11"/>
  <c r="CQ20" i="11"/>
  <c r="CP20" i="11"/>
  <c r="CO20" i="11"/>
  <c r="CN20" i="11"/>
  <c r="CM20" i="11"/>
  <c r="CL20" i="11"/>
  <c r="CL21" i="11" s="1"/>
  <c r="CK20" i="11"/>
  <c r="CJ20" i="11"/>
  <c r="CJ21" i="11" s="1"/>
  <c r="CI20" i="11"/>
  <c r="CH20" i="11"/>
  <c r="CG20" i="11"/>
  <c r="CF20" i="11"/>
  <c r="CE20" i="11"/>
  <c r="CD20" i="11"/>
  <c r="CC20" i="11"/>
  <c r="CB20" i="11"/>
  <c r="CA20" i="11"/>
  <c r="BZ20" i="11"/>
  <c r="BY20" i="11"/>
  <c r="BX20" i="11"/>
  <c r="BW20" i="11"/>
  <c r="BV20" i="11"/>
  <c r="BU20" i="11"/>
  <c r="BT20" i="11"/>
  <c r="BS20" i="11"/>
  <c r="BR20" i="11"/>
  <c r="BQ20" i="11"/>
  <c r="BP20" i="11"/>
  <c r="BO20" i="11"/>
  <c r="BN20" i="11"/>
  <c r="BM20" i="11"/>
  <c r="BL20" i="11"/>
  <c r="BK20" i="11"/>
  <c r="BJ20" i="11"/>
  <c r="BI20" i="11"/>
  <c r="BH20" i="11"/>
  <c r="BG20" i="11"/>
  <c r="BF20" i="11"/>
  <c r="BE20" i="11"/>
  <c r="BD20" i="11"/>
  <c r="BC20" i="11"/>
  <c r="BB20" i="11"/>
  <c r="BA20" i="11"/>
  <c r="AZ20" i="11"/>
  <c r="DX18" i="11"/>
  <c r="DU18" i="11"/>
  <c r="DU21" i="11" s="1"/>
  <c r="DJ18" i="11"/>
  <c r="DH18" i="11"/>
  <c r="DB18" i="11"/>
  <c r="CZ18" i="11"/>
  <c r="CO18" i="11"/>
  <c r="CL18" i="11"/>
  <c r="CJ18" i="11"/>
  <c r="CG18" i="11"/>
  <c r="CG21" i="11" s="1"/>
  <c r="CD18" i="11"/>
  <c r="CD21" i="11" s="1"/>
  <c r="BL18" i="11"/>
  <c r="BI18" i="11"/>
  <c r="BI21" i="11" s="1"/>
  <c r="EE17" i="11"/>
  <c r="ED17" i="11"/>
  <c r="EC17" i="11"/>
  <c r="EB17" i="11"/>
  <c r="EA17" i="11"/>
  <c r="DZ17" i="11"/>
  <c r="DY17" i="11"/>
  <c r="DX17" i="11"/>
  <c r="DW17" i="11"/>
  <c r="DV17" i="11"/>
  <c r="DU17" i="11"/>
  <c r="EC18" i="11" s="1"/>
  <c r="EC21" i="11" s="1"/>
  <c r="DT17" i="11"/>
  <c r="DY18" i="11" s="1"/>
  <c r="DS17" i="11"/>
  <c r="DR17" i="11"/>
  <c r="DQ17" i="11"/>
  <c r="DP17" i="11"/>
  <c r="DO17" i="11"/>
  <c r="DP18" i="11" s="1"/>
  <c r="DN17" i="11"/>
  <c r="DM17" i="11"/>
  <c r="DM18" i="11" s="1"/>
  <c r="DM21" i="11" s="1"/>
  <c r="DL17" i="11"/>
  <c r="DK17" i="11"/>
  <c r="DJ17" i="11"/>
  <c r="DR18" i="11" s="1"/>
  <c r="DI17" i="11"/>
  <c r="DH17" i="11"/>
  <c r="DG17" i="11"/>
  <c r="DF17" i="11"/>
  <c r="DE17" i="11"/>
  <c r="DD17" i="11"/>
  <c r="DC17" i="11"/>
  <c r="DB17" i="11"/>
  <c r="DA17" i="11"/>
  <c r="CZ17" i="11"/>
  <c r="CY17" i="11"/>
  <c r="CX17" i="11"/>
  <c r="CW17" i="11"/>
  <c r="CW18" i="11" s="1"/>
  <c r="CW21" i="11" s="1"/>
  <c r="CV17" i="11"/>
  <c r="DA18" i="11" s="1"/>
  <c r="CU17" i="11"/>
  <c r="CT17" i="11"/>
  <c r="CS17" i="11"/>
  <c r="CR17" i="11"/>
  <c r="CQ17" i="11"/>
  <c r="CT18" i="11" s="1"/>
  <c r="CP17" i="11"/>
  <c r="CO17" i="11"/>
  <c r="CR18" i="11" s="1"/>
  <c r="CK17" i="11"/>
  <c r="CK55" i="11" s="1"/>
  <c r="CJ17" i="11"/>
  <c r="CS18" i="11" s="1"/>
  <c r="CI17" i="11"/>
  <c r="CH17" i="11"/>
  <c r="CG17" i="11"/>
  <c r="CF17" i="11"/>
  <c r="CE17" i="11"/>
  <c r="CD17" i="11"/>
  <c r="CC17" i="11"/>
  <c r="CB17" i="11"/>
  <c r="CA17" i="11"/>
  <c r="BZ17" i="11"/>
  <c r="BY17" i="11"/>
  <c r="BX17" i="11"/>
  <c r="BW17" i="11"/>
  <c r="BV17" i="11"/>
  <c r="BU17" i="11"/>
  <c r="BT17" i="11"/>
  <c r="BS17" i="11"/>
  <c r="BR17" i="11"/>
  <c r="BQ17" i="11"/>
  <c r="BP17" i="11"/>
  <c r="BT18" i="11" s="1"/>
  <c r="BO17" i="11"/>
  <c r="BN17" i="11"/>
  <c r="BV18" i="11" s="1"/>
  <c r="BV21" i="11" s="1"/>
  <c r="BM17" i="11"/>
  <c r="BL17" i="11"/>
  <c r="BU18" i="11" s="1"/>
  <c r="BK17" i="11"/>
  <c r="BJ17" i="11"/>
  <c r="BI17" i="11"/>
  <c r="BH17" i="11"/>
  <c r="BG17" i="11"/>
  <c r="BF17" i="11"/>
  <c r="BE17" i="11"/>
  <c r="BD17" i="11"/>
  <c r="BC17" i="11"/>
  <c r="BB17" i="11"/>
  <c r="BA17" i="11"/>
  <c r="AZ17" i="11"/>
  <c r="EB13" i="11"/>
  <c r="DT13" i="11"/>
  <c r="DO13" i="11"/>
  <c r="DL13" i="11"/>
  <c r="DG13" i="11"/>
  <c r="DD13" i="11"/>
  <c r="CY13" i="11"/>
  <c r="CV13" i="11"/>
  <c r="CN13" i="11"/>
  <c r="BN13" i="11"/>
  <c r="BH13" i="11"/>
  <c r="BC13" i="11"/>
  <c r="AZ13" i="11"/>
  <c r="EE11" i="11"/>
  <c r="ED11" i="11"/>
  <c r="EC11" i="11"/>
  <c r="EB11" i="11"/>
  <c r="EA11" i="11"/>
  <c r="DZ11" i="11"/>
  <c r="DY11" i="11"/>
  <c r="DX11" i="11"/>
  <c r="DW11" i="11"/>
  <c r="DV11" i="11"/>
  <c r="DU11" i="11"/>
  <c r="DT11" i="11"/>
  <c r="DS11" i="11"/>
  <c r="DR11" i="11"/>
  <c r="DQ11" i="11"/>
  <c r="DP11" i="11"/>
  <c r="DO11" i="11"/>
  <c r="DN11" i="11"/>
  <c r="DM11" i="11"/>
  <c r="DL11" i="11"/>
  <c r="DK11" i="11"/>
  <c r="DJ11" i="11"/>
  <c r="DI11" i="11"/>
  <c r="DH11" i="11"/>
  <c r="DG11" i="11"/>
  <c r="DF11" i="11"/>
  <c r="DE11" i="11"/>
  <c r="DD11" i="11"/>
  <c r="DC11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EE10" i="11"/>
  <c r="EE13" i="11" s="1"/>
  <c r="ED10" i="11"/>
  <c r="ED13" i="11" s="1"/>
  <c r="ED24" i="11" s="1"/>
  <c r="EC10" i="11"/>
  <c r="EC13" i="11" s="1"/>
  <c r="EB10" i="11"/>
  <c r="EA10" i="11"/>
  <c r="EA13" i="11" s="1"/>
  <c r="EA24" i="11" s="1"/>
  <c r="DZ10" i="11"/>
  <c r="DZ13" i="11" s="1"/>
  <c r="DY10" i="11"/>
  <c r="DY13" i="11" s="1"/>
  <c r="DX10" i="11"/>
  <c r="DX13" i="11" s="1"/>
  <c r="DW10" i="11"/>
  <c r="DW13" i="11" s="1"/>
  <c r="DV10" i="11"/>
  <c r="DV13" i="11" s="1"/>
  <c r="DV24" i="11" s="1"/>
  <c r="DU10" i="11"/>
  <c r="DU13" i="11" s="1"/>
  <c r="DT10" i="11"/>
  <c r="DS10" i="11"/>
  <c r="DS13" i="11" s="1"/>
  <c r="DS24" i="11" s="1"/>
  <c r="DR10" i="11"/>
  <c r="DR13" i="11" s="1"/>
  <c r="DQ10" i="11"/>
  <c r="DQ13" i="11" s="1"/>
  <c r="DP10" i="11"/>
  <c r="DP13" i="11" s="1"/>
  <c r="DO10" i="11"/>
  <c r="DN10" i="11"/>
  <c r="DN13" i="11" s="1"/>
  <c r="DN24" i="11" s="1"/>
  <c r="DM10" i="11"/>
  <c r="DM13" i="11" s="1"/>
  <c r="DL10" i="11"/>
  <c r="DK10" i="11"/>
  <c r="DK13" i="11" s="1"/>
  <c r="DJ10" i="11"/>
  <c r="DJ13" i="11" s="1"/>
  <c r="DI10" i="11"/>
  <c r="DI13" i="11" s="1"/>
  <c r="DH10" i="11"/>
  <c r="DH13" i="11" s="1"/>
  <c r="DG10" i="11"/>
  <c r="DF10" i="11"/>
  <c r="DF13" i="11" s="1"/>
  <c r="DF24" i="11" s="1"/>
  <c r="DE10" i="11"/>
  <c r="DE13" i="11" s="1"/>
  <c r="DD10" i="11"/>
  <c r="DC10" i="11"/>
  <c r="DC13" i="11" s="1"/>
  <c r="DB10" i="11"/>
  <c r="DB13" i="11" s="1"/>
  <c r="DA10" i="11"/>
  <c r="DA13" i="11" s="1"/>
  <c r="CZ10" i="11"/>
  <c r="CZ13" i="11" s="1"/>
  <c r="CY10" i="11"/>
  <c r="CX10" i="11"/>
  <c r="CX13" i="11" s="1"/>
  <c r="CW10" i="11"/>
  <c r="CW13" i="11" s="1"/>
  <c r="CV10" i="11"/>
  <c r="CU10" i="11"/>
  <c r="CU13" i="11" s="1"/>
  <c r="CT10" i="11"/>
  <c r="CT13" i="11" s="1"/>
  <c r="CS10" i="11"/>
  <c r="CS13" i="11" s="1"/>
  <c r="CR10" i="11"/>
  <c r="CR13" i="11" s="1"/>
  <c r="CQ10" i="11"/>
  <c r="CQ13" i="11" s="1"/>
  <c r="CP10" i="11"/>
  <c r="CP13" i="11" s="1"/>
  <c r="CP24" i="11" s="1"/>
  <c r="CO10" i="11"/>
  <c r="CO13" i="11" s="1"/>
  <c r="CN10" i="11"/>
  <c r="CM10" i="11"/>
  <c r="CM13" i="11" s="1"/>
  <c r="CL10" i="11"/>
  <c r="CL13" i="11" s="1"/>
  <c r="CK10" i="11"/>
  <c r="CK13" i="11" s="1"/>
  <c r="CJ10" i="11"/>
  <c r="CJ13" i="11" s="1"/>
  <c r="CJ24" i="11" s="1"/>
  <c r="BN10" i="11"/>
  <c r="BM10" i="11"/>
  <c r="BM13" i="11" s="1"/>
  <c r="BL10" i="11"/>
  <c r="BL13" i="11" s="1"/>
  <c r="BK10" i="11"/>
  <c r="BK13" i="11" s="1"/>
  <c r="BJ10" i="11"/>
  <c r="BJ13" i="11" s="1"/>
  <c r="BJ24" i="11" s="1"/>
  <c r="BI10" i="11"/>
  <c r="BI13" i="11" s="1"/>
  <c r="BH10" i="11"/>
  <c r="BG10" i="11"/>
  <c r="BG13" i="11" s="1"/>
  <c r="BF10" i="11"/>
  <c r="BF13" i="11" s="1"/>
  <c r="BE10" i="11"/>
  <c r="BE13" i="11" s="1"/>
  <c r="BE24" i="11" s="1"/>
  <c r="BD10" i="11"/>
  <c r="BD13" i="11" s="1"/>
  <c r="BC10" i="11"/>
  <c r="BB10" i="11"/>
  <c r="BB13" i="11" s="1"/>
  <c r="BB24" i="11" s="1"/>
  <c r="BA10" i="11"/>
  <c r="BA13" i="11" s="1"/>
  <c r="BA24" i="11" s="1"/>
  <c r="AZ10" i="11"/>
  <c r="AZ8" i="11"/>
  <c r="EE7" i="11"/>
  <c r="ED7" i="11"/>
  <c r="EC7" i="11"/>
  <c r="EB7" i="11"/>
  <c r="EA7" i="11"/>
  <c r="DZ7" i="11"/>
  <c r="DY7" i="11"/>
  <c r="DX7" i="11"/>
  <c r="DW7" i="11"/>
  <c r="DV7" i="11"/>
  <c r="DU7" i="11"/>
  <c r="DT7" i="11"/>
  <c r="DS7" i="11"/>
  <c r="DR7" i="11"/>
  <c r="DQ7" i="11"/>
  <c r="DP7" i="11"/>
  <c r="DO7" i="11"/>
  <c r="DN7" i="11"/>
  <c r="DM7" i="11"/>
  <c r="DL7" i="11"/>
  <c r="DK7" i="11"/>
  <c r="DJ7" i="11"/>
  <c r="DI7" i="11"/>
  <c r="DH7" i="11"/>
  <c r="DG7" i="11"/>
  <c r="DF7" i="11"/>
  <c r="DE7" i="11"/>
  <c r="DD7" i="11"/>
  <c r="DC7" i="11"/>
  <c r="DB7" i="11"/>
  <c r="DA7" i="11"/>
  <c r="CZ7" i="11"/>
  <c r="CY7" i="11"/>
  <c r="CX7" i="11"/>
  <c r="CW7" i="11"/>
  <c r="CV7" i="11"/>
  <c r="CU7" i="11"/>
  <c r="CT7" i="11"/>
  <c r="CS7" i="11"/>
  <c r="CR7" i="11"/>
  <c r="CQ7" i="11"/>
  <c r="CP7" i="11"/>
  <c r="CO7" i="11"/>
  <c r="CN7" i="11"/>
  <c r="CM7" i="11"/>
  <c r="CL7" i="11"/>
  <c r="CK7" i="11"/>
  <c r="CJ7" i="11"/>
  <c r="CI7" i="11"/>
  <c r="CH7" i="11"/>
  <c r="CG7" i="11"/>
  <c r="CF7" i="11"/>
  <c r="CE7" i="11"/>
  <c r="CD7" i="11"/>
  <c r="CC7" i="11"/>
  <c r="CB7" i="11"/>
  <c r="CA7" i="11"/>
  <c r="BZ7" i="11"/>
  <c r="BY7" i="11"/>
  <c r="BX7" i="11"/>
  <c r="BW7" i="11"/>
  <c r="BV7" i="11"/>
  <c r="BU7" i="11"/>
  <c r="BT7" i="11"/>
  <c r="BS7" i="11"/>
  <c r="BR7" i="11"/>
  <c r="BQ7" i="11"/>
  <c r="BP7" i="11"/>
  <c r="BO7" i="11"/>
  <c r="BN7" i="11"/>
  <c r="BM7" i="11"/>
  <c r="BL7" i="11"/>
  <c r="BK7" i="11"/>
  <c r="BJ7" i="11"/>
  <c r="BI7" i="11"/>
  <c r="BH7" i="11"/>
  <c r="BG7" i="11"/>
  <c r="BF7" i="11"/>
  <c r="BE7" i="11"/>
  <c r="BD7" i="11"/>
  <c r="BC7" i="11"/>
  <c r="BB7" i="11"/>
  <c r="BA7" i="11"/>
  <c r="AZ7" i="11"/>
  <c r="EE5" i="11"/>
  <c r="ED5" i="11"/>
  <c r="EC5" i="11"/>
  <c r="EB5" i="11"/>
  <c r="EA5" i="11"/>
  <c r="DZ5" i="11"/>
  <c r="DY5" i="11"/>
  <c r="DX5" i="11"/>
  <c r="DW5" i="11"/>
  <c r="DV5" i="11"/>
  <c r="DU5" i="11"/>
  <c r="DT5" i="11"/>
  <c r="DS5" i="11"/>
  <c r="DR5" i="11"/>
  <c r="DQ5" i="11"/>
  <c r="DP5" i="11"/>
  <c r="DO5" i="11"/>
  <c r="DN5" i="11"/>
  <c r="DM5" i="11"/>
  <c r="DL5" i="11"/>
  <c r="DK5" i="11"/>
  <c r="DJ5" i="11"/>
  <c r="DI5" i="11"/>
  <c r="DH5" i="11"/>
  <c r="DG5" i="11"/>
  <c r="DF5" i="11"/>
  <c r="DE5" i="11"/>
  <c r="DD5" i="11"/>
  <c r="DC5" i="11"/>
  <c r="DB5" i="11"/>
  <c r="DA5" i="11"/>
  <c r="CZ5" i="11"/>
  <c r="CY5" i="11"/>
  <c r="CX5" i="11"/>
  <c r="CW5" i="11"/>
  <c r="CV5" i="11"/>
  <c r="CU5" i="11"/>
  <c r="CT5" i="11"/>
  <c r="CS5" i="11"/>
  <c r="CR5" i="11"/>
  <c r="CQ5" i="11"/>
  <c r="CP5" i="11"/>
  <c r="CO5" i="11"/>
  <c r="CN5" i="11"/>
  <c r="CM5" i="11"/>
  <c r="CL5" i="11"/>
  <c r="CK5" i="11"/>
  <c r="CJ5" i="11"/>
  <c r="CI5" i="11"/>
  <c r="CH5" i="11"/>
  <c r="CG5" i="11"/>
  <c r="CF5" i="11"/>
  <c r="CE5" i="11"/>
  <c r="CD5" i="11"/>
  <c r="CC5" i="11"/>
  <c r="CB5" i="11"/>
  <c r="CA5" i="11"/>
  <c r="BZ5" i="11"/>
  <c r="BY5" i="11"/>
  <c r="BW5" i="11"/>
  <c r="BV5" i="11"/>
  <c r="BU5" i="11"/>
  <c r="BT5" i="11"/>
  <c r="BS5" i="11"/>
  <c r="BR5" i="11"/>
  <c r="BQ5" i="11"/>
  <c r="BO5" i="11"/>
  <c r="BN5" i="11"/>
  <c r="BM5" i="11"/>
  <c r="BL5" i="11"/>
  <c r="BK5" i="11"/>
  <c r="BJ5" i="11"/>
  <c r="BI5" i="11"/>
  <c r="BH5" i="11"/>
  <c r="BG5" i="11"/>
  <c r="BF5" i="11"/>
  <c r="BE5" i="11"/>
  <c r="BD5" i="11"/>
  <c r="BC5" i="11"/>
  <c r="BB5" i="11"/>
  <c r="BA5" i="11"/>
  <c r="AZ5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BX4" i="11"/>
  <c r="CI10" i="11" s="1"/>
  <c r="CI13" i="11" s="1"/>
  <c r="BP4" i="11"/>
  <c r="BO4" i="11"/>
  <c r="BA2" i="11"/>
  <c r="BB2" i="11" s="1"/>
  <c r="BC2" i="11" s="1"/>
  <c r="BD2" i="11" s="1"/>
  <c r="BE2" i="11" s="1"/>
  <c r="BF2" i="11" s="1"/>
  <c r="BG2" i="11" s="1"/>
  <c r="BH2" i="11" s="1"/>
  <c r="BI2" i="11" s="1"/>
  <c r="BJ2" i="11" s="1"/>
  <c r="BK2" i="11" s="1"/>
  <c r="BL2" i="11" s="1"/>
  <c r="BM2" i="11" s="1"/>
  <c r="BN2" i="11" s="1"/>
  <c r="BO2" i="11" s="1"/>
  <c r="BP2" i="11" s="1"/>
  <c r="BQ2" i="11" s="1"/>
  <c r="BR2" i="11" s="1"/>
  <c r="BS2" i="11" s="1"/>
  <c r="BT2" i="11" s="1"/>
  <c r="BU2" i="11" s="1"/>
  <c r="BV2" i="11" s="1"/>
  <c r="BW2" i="11" s="1"/>
  <c r="BX2" i="11" s="1"/>
  <c r="BY2" i="11" s="1"/>
  <c r="BZ2" i="11" s="1"/>
  <c r="CA2" i="11" s="1"/>
  <c r="CB2" i="11" s="1"/>
  <c r="CC2" i="11" s="1"/>
  <c r="CD2" i="11" s="1"/>
  <c r="CE2" i="11" s="1"/>
  <c r="CF2" i="11" s="1"/>
  <c r="CG2" i="11" s="1"/>
  <c r="CH2" i="11" s="1"/>
  <c r="CI2" i="11" s="1"/>
  <c r="CJ2" i="11" s="1"/>
  <c r="CK2" i="11" s="1"/>
  <c r="CL2" i="11" s="1"/>
  <c r="CM2" i="11" s="1"/>
  <c r="CN2" i="11" s="1"/>
  <c r="CO2" i="11" s="1"/>
  <c r="CP2" i="11" s="1"/>
  <c r="CQ2" i="11" s="1"/>
  <c r="CR2" i="11" s="1"/>
  <c r="CS2" i="11" s="1"/>
  <c r="CT2" i="11" s="1"/>
  <c r="CU2" i="11" s="1"/>
  <c r="CV2" i="11" s="1"/>
  <c r="CW2" i="11" s="1"/>
  <c r="CX2" i="11" s="1"/>
  <c r="U18" i="1"/>
  <c r="U16" i="1"/>
  <c r="U14" i="1"/>
  <c r="CW24" i="11" l="1"/>
  <c r="CZ24" i="11"/>
  <c r="CZ2" i="11"/>
  <c r="DA2" i="11" s="1"/>
  <c r="DB2" i="11" s="1"/>
  <c r="DC2" i="11" s="1"/>
  <c r="DD2" i="11" s="1"/>
  <c r="DE2" i="11" s="1"/>
  <c r="DF2" i="11" s="1"/>
  <c r="DG2" i="11" s="1"/>
  <c r="DH2" i="11" s="1"/>
  <c r="DI2" i="11" s="1"/>
  <c r="DJ2" i="11" s="1"/>
  <c r="DK2" i="11" s="1"/>
  <c r="DL2" i="11" s="1"/>
  <c r="DM2" i="11" s="1"/>
  <c r="DN2" i="11" s="1"/>
  <c r="DO2" i="11" s="1"/>
  <c r="DP2" i="11" s="1"/>
  <c r="DQ2" i="11" s="1"/>
  <c r="DR2" i="11" s="1"/>
  <c r="DS2" i="11" s="1"/>
  <c r="DT2" i="11" s="1"/>
  <c r="DU2" i="11" s="1"/>
  <c r="DV2" i="11" s="1"/>
  <c r="DW2" i="11" s="1"/>
  <c r="DX2" i="11" s="1"/>
  <c r="DY2" i="11" s="1"/>
  <c r="DZ2" i="11" s="1"/>
  <c r="EA2" i="11" s="1"/>
  <c r="EB2" i="11" s="1"/>
  <c r="EC2" i="11" s="1"/>
  <c r="ED2" i="11" s="1"/>
  <c r="EE2" i="11" s="1"/>
  <c r="CY2" i="11"/>
  <c r="BS21" i="11"/>
  <c r="CA21" i="11"/>
  <c r="CI21" i="11"/>
  <c r="CQ21" i="11"/>
  <c r="EE21" i="11"/>
  <c r="CE24" i="11"/>
  <c r="BV10" i="11"/>
  <c r="BV13" i="11" s="1"/>
  <c r="BV24" i="11" s="1"/>
  <c r="BQ10" i="11"/>
  <c r="BQ13" i="11" s="1"/>
  <c r="BP5" i="11"/>
  <c r="BY10" i="11"/>
  <c r="BY13" i="11" s="1"/>
  <c r="CA10" i="11"/>
  <c r="CA13" i="11" s="1"/>
  <c r="CN54" i="11"/>
  <c r="BF21" i="11"/>
  <c r="DR21" i="11"/>
  <c r="CS38" i="11"/>
  <c r="BL21" i="11"/>
  <c r="CB21" i="11"/>
  <c r="CR21" i="11"/>
  <c r="CZ21" i="11"/>
  <c r="DP21" i="11"/>
  <c r="BN24" i="11"/>
  <c r="CI24" i="11"/>
  <c r="DD24" i="11"/>
  <c r="DZ24" i="11"/>
  <c r="DQ38" i="11"/>
  <c r="BN18" i="11"/>
  <c r="BN21" i="11" s="1"/>
  <c r="DE18" i="11"/>
  <c r="DE21" i="11" s="1"/>
  <c r="DZ18" i="11"/>
  <c r="DZ21" i="11" s="1"/>
  <c r="BU21" i="11"/>
  <c r="CC21" i="11"/>
  <c r="CK21" i="11"/>
  <c r="CS21" i="11"/>
  <c r="DA21" i="11"/>
  <c r="DY21" i="11"/>
  <c r="BC24" i="11"/>
  <c r="BY24" i="11"/>
  <c r="CU54" i="11"/>
  <c r="DE24" i="11"/>
  <c r="CC38" i="11"/>
  <c r="CX38" i="11"/>
  <c r="BT21" i="11"/>
  <c r="DX21" i="11"/>
  <c r="BX24" i="11"/>
  <c r="BX5" i="11"/>
  <c r="CD10" i="11"/>
  <c r="CD13" i="11" s="1"/>
  <c r="CD24" i="11" s="1"/>
  <c r="BQ18" i="11"/>
  <c r="BQ21" i="11" s="1"/>
  <c r="BF24" i="11"/>
  <c r="CA24" i="11"/>
  <c r="CV24" i="11"/>
  <c r="DG24" i="11"/>
  <c r="DR24" i="11"/>
  <c r="EB24" i="11"/>
  <c r="DA38" i="11"/>
  <c r="CG10" i="11"/>
  <c r="CG13" i="11" s="1"/>
  <c r="BE18" i="11"/>
  <c r="BE21" i="11" s="1"/>
  <c r="BK18" i="11"/>
  <c r="BK21" i="11" s="1"/>
  <c r="BC18" i="11"/>
  <c r="BC21" i="11" s="1"/>
  <c r="BJ18" i="11"/>
  <c r="BB18" i="11"/>
  <c r="BB21" i="11" s="1"/>
  <c r="BH18" i="11"/>
  <c r="BH21" i="11" s="1"/>
  <c r="AZ18" i="11"/>
  <c r="AZ21" i="11" s="1"/>
  <c r="BG18" i="11"/>
  <c r="BG21" i="11" s="1"/>
  <c r="CC18" i="11"/>
  <c r="CI18" i="11"/>
  <c r="CA18" i="11"/>
  <c r="CH18" i="11"/>
  <c r="CH21" i="11" s="1"/>
  <c r="BZ18" i="11"/>
  <c r="CF18" i="11"/>
  <c r="BX18" i="11"/>
  <c r="BX21" i="11" s="1"/>
  <c r="CE18" i="11"/>
  <c r="CE21" i="11"/>
  <c r="CM21" i="11"/>
  <c r="CU21" i="11"/>
  <c r="DC21" i="11"/>
  <c r="BQ24" i="11"/>
  <c r="BQ38" i="11"/>
  <c r="BY38" i="11"/>
  <c r="CG38" i="11"/>
  <c r="CO38" i="11"/>
  <c r="CW38" i="11"/>
  <c r="DE38" i="11"/>
  <c r="DM38" i="11"/>
  <c r="DU38" i="11"/>
  <c r="EC38" i="11"/>
  <c r="BM38" i="11"/>
  <c r="DY38" i="11"/>
  <c r="CP54" i="11"/>
  <c r="DQ18" i="11"/>
  <c r="DQ21" i="11" s="1"/>
  <c r="BA18" i="11"/>
  <c r="BA21" i="11" s="1"/>
  <c r="BP21" i="11"/>
  <c r="CF21" i="11"/>
  <c r="EB21" i="11"/>
  <c r="BH24" i="11"/>
  <c r="BS24" i="11"/>
  <c r="CN24" i="11"/>
  <c r="CY24" i="11"/>
  <c r="DJ24" i="11"/>
  <c r="DT24" i="11"/>
  <c r="EE24" i="11"/>
  <c r="CM24" i="11"/>
  <c r="CM54" i="11" s="1"/>
  <c r="CK38" i="11"/>
  <c r="DF38" i="11"/>
  <c r="CS53" i="11"/>
  <c r="CS54" i="11" s="1"/>
  <c r="CH10" i="11"/>
  <c r="CH13" i="11" s="1"/>
  <c r="CH24" i="11" s="1"/>
  <c r="CF10" i="11"/>
  <c r="CF13" i="11" s="1"/>
  <c r="CE10" i="11"/>
  <c r="CE13" i="11" s="1"/>
  <c r="CC10" i="11"/>
  <c r="CC13" i="11" s="1"/>
  <c r="CC24" i="11" s="1"/>
  <c r="CB10" i="11"/>
  <c r="CB13" i="11" s="1"/>
  <c r="CB24" i="11" s="1"/>
  <c r="AZ25" i="11"/>
  <c r="BD18" i="11"/>
  <c r="BD21" i="11" s="1"/>
  <c r="BY18" i="11"/>
  <c r="BY21" i="11" s="1"/>
  <c r="BI24" i="11"/>
  <c r="CO53" i="11"/>
  <c r="CO24" i="11"/>
  <c r="DI38" i="11"/>
  <c r="CG24" i="11"/>
  <c r="BU24" i="11"/>
  <c r="BZ10" i="11"/>
  <c r="BZ13" i="11" s="1"/>
  <c r="BZ24" i="11" s="1"/>
  <c r="BR10" i="11"/>
  <c r="BR13" i="11" s="1"/>
  <c r="BR24" i="11" s="1"/>
  <c r="BX10" i="11"/>
  <c r="BX13" i="11" s="1"/>
  <c r="BP10" i="11"/>
  <c r="BP13" i="11" s="1"/>
  <c r="BP24" i="11" s="1"/>
  <c r="BW10" i="11"/>
  <c r="BW13" i="11" s="1"/>
  <c r="BW24" i="11" s="1"/>
  <c r="BO10" i="11"/>
  <c r="BO13" i="11" s="1"/>
  <c r="BO24" i="11" s="1"/>
  <c r="BU10" i="11"/>
  <c r="BU13" i="11" s="1"/>
  <c r="BT10" i="11"/>
  <c r="BT13" i="11" s="1"/>
  <c r="BT24" i="11" s="1"/>
  <c r="BA8" i="11"/>
  <c r="BS10" i="11"/>
  <c r="BS13" i="11" s="1"/>
  <c r="BF18" i="11"/>
  <c r="CB18" i="11"/>
  <c r="BJ21" i="11"/>
  <c r="BR21" i="11"/>
  <c r="BZ21" i="11"/>
  <c r="DV21" i="11"/>
  <c r="ED21" i="11"/>
  <c r="BK24" i="11"/>
  <c r="CF24" i="11"/>
  <c r="CQ24" i="11"/>
  <c r="DB24" i="11"/>
  <c r="DL24" i="11"/>
  <c r="DW24" i="11"/>
  <c r="CR24" i="11"/>
  <c r="CR54" i="11" s="1"/>
  <c r="BU38" i="11"/>
  <c r="CP38" i="11"/>
  <c r="BO18" i="11"/>
  <c r="BO21" i="11" s="1"/>
  <c r="BW18" i="11"/>
  <c r="BW21" i="11" s="1"/>
  <c r="CM18" i="11"/>
  <c r="CU18" i="11"/>
  <c r="DC18" i="11"/>
  <c r="DK18" i="11"/>
  <c r="DK21" i="11" s="1"/>
  <c r="DS18" i="11"/>
  <c r="DS21" i="11" s="1"/>
  <c r="EA18" i="11"/>
  <c r="EA21" i="11" s="1"/>
  <c r="CQ53" i="11"/>
  <c r="CQ54" i="11" s="1"/>
  <c r="BP18" i="11"/>
  <c r="CN18" i="11"/>
  <c r="CN21" i="11" s="1"/>
  <c r="CV18" i="11"/>
  <c r="CV21" i="11" s="1"/>
  <c r="DD18" i="11"/>
  <c r="DD21" i="11" s="1"/>
  <c r="DL18" i="11"/>
  <c r="DL21" i="11" s="1"/>
  <c r="DT18" i="11"/>
  <c r="DT21" i="11" s="1"/>
  <c r="EB18" i="11"/>
  <c r="CL24" i="11"/>
  <c r="CL54" i="11" s="1"/>
  <c r="CT24" i="11"/>
  <c r="CT54" i="11" s="1"/>
  <c r="BR18" i="11"/>
  <c r="CP18" i="11"/>
  <c r="CP21" i="11" s="1"/>
  <c r="CX18" i="11"/>
  <c r="CX21" i="11" s="1"/>
  <c r="DF18" i="11"/>
  <c r="DF21" i="11" s="1"/>
  <c r="DN18" i="11"/>
  <c r="DN21" i="11" s="1"/>
  <c r="DV18" i="11"/>
  <c r="ED18" i="11"/>
  <c r="BS18" i="11"/>
  <c r="CQ18" i="11"/>
  <c r="CY18" i="11"/>
  <c r="CY21" i="11" s="1"/>
  <c r="DG18" i="11"/>
  <c r="DG21" i="11" s="1"/>
  <c r="DO18" i="11"/>
  <c r="DO21" i="11" s="1"/>
  <c r="DW18" i="11"/>
  <c r="DW21" i="11" s="1"/>
  <c r="EE18" i="11"/>
  <c r="BM18" i="11"/>
  <c r="BM21" i="11" s="1"/>
  <c r="CK18" i="11"/>
  <c r="DI18" i="11"/>
  <c r="DI21" i="11" s="1"/>
  <c r="CO54" i="11" l="1"/>
  <c r="BA25" i="11"/>
  <c r="BB8" i="11"/>
  <c r="BB25" i="11" l="1"/>
  <c r="BC8" i="11"/>
  <c r="BC25" i="11" l="1"/>
  <c r="BD8" i="11"/>
  <c r="BD25" i="11" l="1"/>
  <c r="BE8" i="11"/>
  <c r="BE25" i="11" l="1"/>
  <c r="BF8" i="11"/>
  <c r="BF25" i="11" l="1"/>
  <c r="BG8" i="11"/>
  <c r="BH8" i="11" l="1"/>
  <c r="BG25" i="11"/>
  <c r="BH25" i="11" l="1"/>
  <c r="BI8" i="11"/>
  <c r="BI25" i="11" l="1"/>
  <c r="BJ8" i="11"/>
  <c r="BJ25" i="11" l="1"/>
  <c r="BK8" i="11"/>
  <c r="BK25" i="11" l="1"/>
  <c r="BL8" i="11"/>
  <c r="BL25" i="11" l="1"/>
  <c r="BM8" i="11"/>
  <c r="BN8" i="11" l="1"/>
  <c r="BM25" i="11"/>
  <c r="BN25" i="11" l="1"/>
  <c r="BO8" i="11"/>
  <c r="BP8" i="11" l="1"/>
  <c r="BO25" i="11"/>
  <c r="BP25" i="11" l="1"/>
  <c r="BQ8" i="11"/>
  <c r="BQ25" i="11" l="1"/>
  <c r="BR8" i="11"/>
  <c r="BR25" i="11" l="1"/>
  <c r="BS8" i="11"/>
  <c r="BS25" i="11" l="1"/>
  <c r="BT8" i="11"/>
  <c r="BT25" i="11" l="1"/>
  <c r="BU8" i="11"/>
  <c r="BU25" i="11" l="1"/>
  <c r="BV8" i="11"/>
  <c r="BV25" i="11" l="1"/>
  <c r="BW8" i="11"/>
  <c r="BW25" i="11" l="1"/>
  <c r="BX8" i="11"/>
  <c r="BX25" i="11" l="1"/>
  <c r="BY8" i="11"/>
  <c r="BY25" i="11" l="1"/>
  <c r="BZ8" i="11"/>
  <c r="CA8" i="11" l="1"/>
  <c r="BZ25" i="11"/>
  <c r="CA25" i="11" l="1"/>
  <c r="CB8" i="11"/>
  <c r="CB25" i="11" l="1"/>
  <c r="CC8" i="11"/>
  <c r="CD8" i="11" l="1"/>
  <c r="CC25" i="11"/>
  <c r="CD25" i="11" l="1"/>
  <c r="CE8" i="11"/>
  <c r="CF8" i="11" l="1"/>
  <c r="CE25" i="11"/>
  <c r="CF25" i="11" l="1"/>
  <c r="CG8" i="11"/>
  <c r="CG25" i="11" l="1"/>
  <c r="CH8" i="11"/>
  <c r="CH25" i="11" l="1"/>
  <c r="CI8" i="11"/>
  <c r="CI25" i="11" l="1"/>
  <c r="CJ8" i="11"/>
  <c r="CJ25" i="11" l="1"/>
  <c r="CK8" i="11"/>
  <c r="CL8" i="11" l="1"/>
  <c r="CK25" i="11"/>
  <c r="CL25" i="11" l="1"/>
  <c r="CM8" i="11"/>
  <c r="CN8" i="11" l="1"/>
  <c r="CM25" i="11"/>
  <c r="CN25" i="11" l="1"/>
  <c r="CO8" i="11"/>
  <c r="CO25" i="11" l="1"/>
  <c r="CP8" i="11"/>
  <c r="CP25" i="11" l="1"/>
  <c r="CQ8" i="11"/>
  <c r="CQ25" i="11" l="1"/>
  <c r="CR8" i="11"/>
  <c r="CR25" i="11" l="1"/>
  <c r="CS8" i="11"/>
  <c r="CS25" i="11" l="1"/>
  <c r="CT8" i="11"/>
  <c r="CT25" i="11" l="1"/>
  <c r="CU8" i="11"/>
  <c r="CV8" i="11" l="1"/>
  <c r="CU25" i="11"/>
  <c r="CV25" i="11" l="1"/>
  <c r="CW8" i="11"/>
  <c r="CW25" i="11" l="1"/>
  <c r="CX8" i="11"/>
  <c r="CY8" i="11" l="1"/>
  <c r="CX25" i="11"/>
  <c r="CY25" i="11" l="1"/>
  <c r="CZ8" i="11"/>
  <c r="CZ25" i="11" l="1"/>
  <c r="DA8" i="11"/>
  <c r="DB8" i="11" l="1"/>
  <c r="DA25" i="11"/>
  <c r="DB25" i="11" l="1"/>
  <c r="DC8" i="11"/>
  <c r="DD8" i="11" l="1"/>
  <c r="DC25" i="11"/>
  <c r="DD25" i="11" l="1"/>
  <c r="DE8" i="11"/>
  <c r="DE25" i="11" l="1"/>
  <c r="DF8" i="11"/>
  <c r="DG8" i="11" l="1"/>
  <c r="DF25" i="11"/>
  <c r="DG25" i="11" l="1"/>
  <c r="DH8" i="11"/>
  <c r="DH25" i="11" l="1"/>
  <c r="DI8" i="11"/>
  <c r="DI25" i="11" l="1"/>
  <c r="DJ8" i="11"/>
  <c r="DJ25" i="11" l="1"/>
  <c r="DK8" i="11"/>
  <c r="DK25" i="11" l="1"/>
  <c r="DL8" i="11"/>
  <c r="DL25" i="11" l="1"/>
  <c r="DM8" i="11"/>
  <c r="DM25" i="11" l="1"/>
  <c r="DN8" i="11"/>
  <c r="DO8" i="11" l="1"/>
  <c r="DN25" i="11"/>
  <c r="DO25" i="11" l="1"/>
  <c r="DP8" i="11"/>
  <c r="DP25" i="11" l="1"/>
  <c r="DQ8" i="11"/>
  <c r="DR8" i="11" l="1"/>
  <c r="DQ25" i="11"/>
  <c r="DR25" i="11" l="1"/>
  <c r="DS8" i="11"/>
  <c r="DT8" i="11" l="1"/>
  <c r="DS25" i="11"/>
  <c r="DT25" i="11" l="1"/>
  <c r="DU8" i="11"/>
  <c r="DU25" i="11" l="1"/>
  <c r="DV8" i="11"/>
  <c r="DW8" i="11" l="1"/>
  <c r="DV25" i="11"/>
  <c r="DW25" i="11" l="1"/>
  <c r="DX8" i="11"/>
  <c r="DX25" i="11" l="1"/>
  <c r="DY8" i="11"/>
  <c r="DZ8" i="11" l="1"/>
  <c r="DY25" i="11"/>
  <c r="DZ25" i="11" l="1"/>
  <c r="EA8" i="11"/>
  <c r="EB8" i="11" l="1"/>
  <c r="EA25" i="11"/>
  <c r="EB25" i="11" l="1"/>
  <c r="EC8" i="11"/>
  <c r="EC25" i="11" l="1"/>
  <c r="ED8" i="11"/>
  <c r="EE8" i="11" l="1"/>
  <c r="EE25" i="11" s="1"/>
  <c r="ED25" i="11"/>
  <c r="Z143" i="9" l="1"/>
  <c r="R143" i="9"/>
  <c r="AA142" i="9"/>
  <c r="Z142" i="9"/>
  <c r="Y142" i="9"/>
  <c r="Y143" i="9" s="1"/>
  <c r="X142" i="9"/>
  <c r="W142" i="9"/>
  <c r="V142" i="9"/>
  <c r="U142" i="9"/>
  <c r="T142" i="9"/>
  <c r="S142" i="9"/>
  <c r="R142" i="9"/>
  <c r="Q142" i="9"/>
  <c r="Q143" i="9" s="1"/>
  <c r="P142" i="9"/>
  <c r="O142" i="9"/>
  <c r="AA141" i="9"/>
  <c r="AA143" i="9" s="1"/>
  <c r="Z141" i="9"/>
  <c r="Y141" i="9"/>
  <c r="X141" i="9"/>
  <c r="X143" i="9" s="1"/>
  <c r="W141" i="9"/>
  <c r="W143" i="9" s="1"/>
  <c r="V141" i="9"/>
  <c r="V143" i="9" s="1"/>
  <c r="U141" i="9"/>
  <c r="U143" i="9" s="1"/>
  <c r="T141" i="9"/>
  <c r="T143" i="9" s="1"/>
  <c r="S141" i="9"/>
  <c r="S143" i="9" s="1"/>
  <c r="R141" i="9"/>
  <c r="Q141" i="9"/>
  <c r="P141" i="9"/>
  <c r="P143" i="9" s="1"/>
  <c r="O141" i="9"/>
  <c r="O143" i="9" s="1"/>
  <c r="B17" i="9"/>
  <c r="B16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M10" i="9"/>
  <c r="M9" i="9"/>
  <c r="M8" i="9"/>
  <c r="M7" i="9"/>
  <c r="F7" i="9"/>
  <c r="F9" i="9" s="1"/>
  <c r="F11" i="9" s="1"/>
  <c r="N6" i="9"/>
  <c r="M6" i="9"/>
  <c r="F6" i="9"/>
  <c r="F8" i="9" s="1"/>
  <c r="F10" i="9" s="1"/>
  <c r="R1" i="9"/>
  <c r="Q1" i="9"/>
  <c r="FC36" i="5"/>
  <c r="FC37" i="5" s="1"/>
  <c r="FB36" i="5"/>
  <c r="FB37" i="5" s="1"/>
  <c r="FA36" i="5"/>
  <c r="FA37" i="5" s="1"/>
  <c r="EZ36" i="5"/>
  <c r="EZ37" i="5" s="1"/>
  <c r="EY36" i="5"/>
  <c r="EY37" i="5" s="1"/>
  <c r="EX36" i="5"/>
  <c r="EX37" i="5" s="1"/>
  <c r="EW36" i="5"/>
  <c r="EW37" i="5" s="1"/>
  <c r="EV36" i="5"/>
  <c r="EV37" i="5" s="1"/>
  <c r="EU36" i="5"/>
  <c r="EU37" i="5" s="1"/>
  <c r="ET36" i="5"/>
  <c r="ET37" i="5" s="1"/>
  <c r="ES36" i="5"/>
  <c r="ES37" i="5" s="1"/>
  <c r="ER36" i="5"/>
  <c r="ER37" i="5" s="1"/>
  <c r="FC20" i="5"/>
  <c r="FB20" i="5"/>
  <c r="FA20" i="5"/>
  <c r="EZ20" i="5"/>
  <c r="EY20" i="5"/>
  <c r="EX20" i="5"/>
  <c r="EW20" i="5"/>
  <c r="EV20" i="5"/>
  <c r="EU20" i="5"/>
  <c r="ET20" i="5"/>
  <c r="ES20" i="5"/>
  <c r="ER20" i="5"/>
  <c r="FC16" i="5"/>
  <c r="FB16" i="5"/>
  <c r="FA16" i="5"/>
  <c r="EZ16" i="5"/>
  <c r="EY16" i="5"/>
  <c r="EX16" i="5"/>
  <c r="EW16" i="5"/>
  <c r="EV16" i="5"/>
  <c r="EU16" i="5"/>
  <c r="ET16" i="5"/>
  <c r="ES16" i="5"/>
  <c r="ER16" i="5"/>
  <c r="FC11" i="5"/>
  <c r="FB11" i="5"/>
  <c r="FA11" i="5"/>
  <c r="EZ11" i="5"/>
  <c r="EY11" i="5"/>
  <c r="EX11" i="5"/>
  <c r="EW11" i="5"/>
  <c r="EV11" i="5"/>
  <c r="EU11" i="5"/>
  <c r="ET11" i="5"/>
  <c r="ES11" i="5"/>
  <c r="ER11" i="5"/>
  <c r="FC7" i="5"/>
  <c r="FB7" i="5"/>
  <c r="FA7" i="5"/>
  <c r="EZ7" i="5"/>
  <c r="EY7" i="5"/>
  <c r="EX7" i="5"/>
  <c r="EW7" i="5"/>
  <c r="EV7" i="5"/>
  <c r="EU7" i="5"/>
  <c r="ET7" i="5"/>
  <c r="ES7" i="5"/>
  <c r="ER7" i="5"/>
  <c r="G23" i="9"/>
  <c r="A21" i="9"/>
  <c r="Y17" i="9"/>
  <c r="Q17" i="9"/>
  <c r="Y16" i="9"/>
  <c r="Q16" i="9"/>
  <c r="B14" i="9"/>
  <c r="H10" i="9"/>
  <c r="B9" i="9"/>
  <c r="E7" i="9"/>
  <c r="K6" i="9"/>
  <c r="C23" i="9"/>
  <c r="AA19" i="9"/>
  <c r="X16" i="9"/>
  <c r="G22" i="9"/>
  <c r="W17" i="9"/>
  <c r="O17" i="9"/>
  <c r="W16" i="9"/>
  <c r="O16" i="9"/>
  <c r="K8" i="9"/>
  <c r="E6" i="9"/>
  <c r="B1" i="9"/>
  <c r="K10" i="9"/>
  <c r="P16" i="9"/>
  <c r="C22" i="9"/>
  <c r="V17" i="9"/>
  <c r="N17" i="9"/>
  <c r="V16" i="9"/>
  <c r="N16" i="9"/>
  <c r="B10" i="9"/>
  <c r="H8" i="9"/>
  <c r="H11" i="9"/>
  <c r="Z16" i="9"/>
  <c r="Q2" i="9"/>
  <c r="P17" i="9"/>
  <c r="G21" i="9"/>
  <c r="N18" i="9"/>
  <c r="U17" i="9"/>
  <c r="U16" i="9"/>
  <c r="D16" i="9"/>
  <c r="C24" i="9"/>
  <c r="R17" i="9"/>
  <c r="R16" i="9"/>
  <c r="B12" i="9"/>
  <c r="X17" i="9"/>
  <c r="B7" i="9"/>
  <c r="E21" i="9"/>
  <c r="T17" i="9"/>
  <c r="T16" i="9"/>
  <c r="K9" i="9"/>
  <c r="H4" i="9"/>
  <c r="AA17" i="9"/>
  <c r="S17" i="9"/>
  <c r="AA16" i="9"/>
  <c r="S16" i="9"/>
  <c r="S6" i="9" s="1"/>
  <c r="E12" i="9"/>
  <c r="H9" i="9"/>
  <c r="K7" i="9"/>
  <c r="G4" i="9"/>
  <c r="B21" i="9"/>
  <c r="Z17" i="9"/>
  <c r="G14" i="9"/>
  <c r="U6" i="9"/>
  <c r="N19" i="9"/>
  <c r="T6" i="9"/>
  <c r="N4" i="9" l="1"/>
  <c r="D10" i="9"/>
  <c r="C21" i="9"/>
  <c r="ES23" i="5"/>
  <c r="FA23" i="5"/>
  <c r="ET23" i="5"/>
  <c r="FB23" i="5"/>
  <c r="EX23" i="5"/>
  <c r="EU23" i="5"/>
  <c r="FC23" i="5"/>
  <c r="EV23" i="5"/>
  <c r="EW23" i="5"/>
  <c r="EY23" i="5"/>
  <c r="ER23" i="5"/>
  <c r="EZ23" i="5"/>
  <c r="T11" i="9"/>
  <c r="T19" i="9" s="1"/>
  <c r="U15" i="9"/>
  <c r="U18" i="9" s="1"/>
  <c r="U11" i="9"/>
  <c r="U19" i="9" s="1"/>
  <c r="B18" i="9"/>
  <c r="R6" i="9"/>
  <c r="Q6" i="9"/>
  <c r="Y6" i="9"/>
  <c r="S15" i="9"/>
  <c r="S18" i="9" s="1"/>
  <c r="O6" i="9"/>
  <c r="Z6" i="9"/>
  <c r="S11" i="9"/>
  <c r="S19" i="9" s="1"/>
  <c r="W6" i="9"/>
  <c r="V6" i="9"/>
  <c r="M4" i="9"/>
  <c r="P6" i="9"/>
  <c r="T15" i="9"/>
  <c r="T18" i="9" s="1"/>
  <c r="D17" i="9"/>
  <c r="X6" i="9"/>
  <c r="X15" i="9" l="1"/>
  <c r="X18" i="9" s="1"/>
  <c r="Z11" i="9"/>
  <c r="Z19" i="9" s="1"/>
  <c r="R11" i="9"/>
  <c r="R19" i="9" s="1"/>
  <c r="Z15" i="9"/>
  <c r="X11" i="9"/>
  <c r="X19" i="9" s="1"/>
  <c r="P15" i="9"/>
  <c r="P18" i="9" s="1"/>
  <c r="O15" i="9"/>
  <c r="O18" i="9" s="1"/>
  <c r="W15" i="9"/>
  <c r="W18" i="9" s="1"/>
  <c r="P11" i="9"/>
  <c r="P19" i="9" s="1"/>
  <c r="O11" i="9"/>
  <c r="O19" i="9" s="1"/>
  <c r="Q11" i="9"/>
  <c r="Q19" i="9" s="1"/>
  <c r="Q15" i="9"/>
  <c r="Q18" i="9" s="1"/>
  <c r="V15" i="9"/>
  <c r="V18" i="9" s="1"/>
  <c r="Y11" i="9"/>
  <c r="Y19" i="9" s="1"/>
  <c r="W11" i="9"/>
  <c r="W19" i="9" s="1"/>
  <c r="V11" i="9"/>
  <c r="V19" i="9" s="1"/>
  <c r="Y15" i="9"/>
  <c r="Y18" i="9" s="1"/>
  <c r="R15" i="9"/>
  <c r="R18" i="9" s="1"/>
  <c r="AA18" i="9"/>
  <c r="Z18" i="9"/>
  <c r="T112" i="8" l="1"/>
  <c r="Q2" i="8"/>
  <c r="B18" i="8"/>
  <c r="EQ36" i="5" l="1"/>
  <c r="EQ37" i="5" s="1"/>
  <c r="FC38" i="5" s="1"/>
  <c r="EP36" i="5"/>
  <c r="EP37" i="5" s="1"/>
  <c r="FB38" i="5" s="1"/>
  <c r="EO36" i="5"/>
  <c r="EO37" i="5" s="1"/>
  <c r="FA38" i="5" s="1"/>
  <c r="EN36" i="5"/>
  <c r="EN37" i="5" s="1"/>
  <c r="EZ38" i="5" s="1"/>
  <c r="EM36" i="5"/>
  <c r="EM37" i="5" s="1"/>
  <c r="EL36" i="5"/>
  <c r="EL37" i="5" s="1"/>
  <c r="EX38" i="5" s="1"/>
  <c r="EK36" i="5"/>
  <c r="EK37" i="5" s="1"/>
  <c r="EW38" i="5" s="1"/>
  <c r="EJ36" i="5"/>
  <c r="EJ37" i="5" s="1"/>
  <c r="EV38" i="5" s="1"/>
  <c r="EI36" i="5"/>
  <c r="EI37" i="5" s="1"/>
  <c r="EU38" i="5" s="1"/>
  <c r="EH36" i="5"/>
  <c r="EH37" i="5" s="1"/>
  <c r="ET38" i="5" s="1"/>
  <c r="EG36" i="5"/>
  <c r="EG37" i="5" s="1"/>
  <c r="ES38" i="5" s="1"/>
  <c r="EF36" i="5"/>
  <c r="EF37" i="5" s="1"/>
  <c r="ER38" i="5" s="1"/>
  <c r="EL27" i="5"/>
  <c r="EK27" i="5"/>
  <c r="EK29" i="5" s="1"/>
  <c r="EK5" i="5" s="1"/>
  <c r="EJ27" i="5"/>
  <c r="EJ29" i="5" s="1"/>
  <c r="EJ5" i="5" s="1"/>
  <c r="EI27" i="5"/>
  <c r="EI29" i="5" s="1"/>
  <c r="EI5" i="5" s="1"/>
  <c r="EH27" i="5"/>
  <c r="EG27" i="5"/>
  <c r="EF27" i="5"/>
  <c r="EQ20" i="5"/>
  <c r="EP20" i="5"/>
  <c r="EO20" i="5"/>
  <c r="EN20" i="5"/>
  <c r="EM20" i="5"/>
  <c r="EL20" i="5"/>
  <c r="EK20" i="5"/>
  <c r="EJ20" i="5"/>
  <c r="EI20" i="5"/>
  <c r="EH20" i="5"/>
  <c r="EG20" i="5"/>
  <c r="EF20" i="5"/>
  <c r="EQ16" i="5"/>
  <c r="EP16" i="5"/>
  <c r="EO16" i="5"/>
  <c r="EN16" i="5"/>
  <c r="EM16" i="5"/>
  <c r="EL16" i="5"/>
  <c r="EK16" i="5"/>
  <c r="EJ16" i="5"/>
  <c r="EI16" i="5"/>
  <c r="EH16" i="5"/>
  <c r="EG16" i="5"/>
  <c r="EF16" i="5"/>
  <c r="EQ11" i="5"/>
  <c r="EP11" i="5"/>
  <c r="EO11" i="5"/>
  <c r="EN11" i="5"/>
  <c r="EM11" i="5"/>
  <c r="EL11" i="5"/>
  <c r="EK11" i="5"/>
  <c r="EJ11" i="5"/>
  <c r="EI11" i="5"/>
  <c r="EH11" i="5"/>
  <c r="EG11" i="5"/>
  <c r="EF11" i="5"/>
  <c r="EQ7" i="5"/>
  <c r="EP7" i="5"/>
  <c r="EO7" i="5"/>
  <c r="EN7" i="5"/>
  <c r="EM7" i="5"/>
  <c r="EL7" i="5"/>
  <c r="EK7" i="5"/>
  <c r="EJ7" i="5"/>
  <c r="EI7" i="5"/>
  <c r="EH7" i="5"/>
  <c r="EG7" i="5"/>
  <c r="EF7" i="5"/>
  <c r="N14" i="1"/>
  <c r="P14" i="1" s="1"/>
  <c r="N16" i="1"/>
  <c r="P16" i="1" s="1"/>
  <c r="N18" i="1"/>
  <c r="P18" i="1" s="1"/>
  <c r="N20" i="1"/>
  <c r="P20" i="1" s="1"/>
  <c r="N22" i="1"/>
  <c r="P22" i="1" s="1"/>
  <c r="AA146" i="8"/>
  <c r="Z146" i="8"/>
  <c r="Y146" i="8"/>
  <c r="X146" i="8"/>
  <c r="W146" i="8"/>
  <c r="V146" i="8"/>
  <c r="U146" i="8"/>
  <c r="T146" i="8"/>
  <c r="S146" i="8"/>
  <c r="R146" i="8"/>
  <c r="Q146" i="8"/>
  <c r="P146" i="8"/>
  <c r="O146" i="8"/>
  <c r="AA145" i="8"/>
  <c r="Z145" i="8"/>
  <c r="Z147" i="8" s="1"/>
  <c r="Z149" i="8" s="1"/>
  <c r="Y145" i="8"/>
  <c r="X145" i="8"/>
  <c r="X147" i="8" s="1"/>
  <c r="X149" i="8" s="1"/>
  <c r="W145" i="8"/>
  <c r="V145" i="8"/>
  <c r="U145" i="8"/>
  <c r="T145" i="8"/>
  <c r="S145" i="8"/>
  <c r="R145" i="8"/>
  <c r="R147" i="8" s="1"/>
  <c r="R149" i="8" s="1"/>
  <c r="Q145" i="8"/>
  <c r="Q147" i="8" s="1"/>
  <c r="Q149" i="8" s="1"/>
  <c r="P145" i="8"/>
  <c r="P147" i="8" s="1"/>
  <c r="P149" i="8" s="1"/>
  <c r="O145" i="8"/>
  <c r="B17" i="8"/>
  <c r="B16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M10" i="8"/>
  <c r="M9" i="8"/>
  <c r="M8" i="8"/>
  <c r="M7" i="8"/>
  <c r="F7" i="8"/>
  <c r="F9" i="8" s="1"/>
  <c r="F11" i="8" s="1"/>
  <c r="N6" i="8"/>
  <c r="M6" i="8"/>
  <c r="F6" i="8"/>
  <c r="F8" i="8" s="1"/>
  <c r="F10" i="8" s="1"/>
  <c r="R1" i="8"/>
  <c r="Q1" i="8"/>
  <c r="G21" i="8"/>
  <c r="N18" i="8"/>
  <c r="U17" i="8"/>
  <c r="U16" i="8"/>
  <c r="D16" i="8"/>
  <c r="H11" i="8"/>
  <c r="E12" i="8"/>
  <c r="H9" i="8"/>
  <c r="B7" i="8"/>
  <c r="B1" i="8"/>
  <c r="N17" i="8"/>
  <c r="B10" i="8"/>
  <c r="E21" i="8"/>
  <c r="T17" i="8"/>
  <c r="T16" i="8"/>
  <c r="K9" i="8"/>
  <c r="H4" i="8"/>
  <c r="K10" i="8"/>
  <c r="G22" i="8"/>
  <c r="W17" i="8"/>
  <c r="W16" i="8"/>
  <c r="C22" i="8"/>
  <c r="N19" i="8"/>
  <c r="AA17" i="8"/>
  <c r="S17" i="8"/>
  <c r="AA16" i="8"/>
  <c r="S16" i="8"/>
  <c r="K7" i="8"/>
  <c r="G4" i="8"/>
  <c r="X16" i="8"/>
  <c r="V16" i="8"/>
  <c r="C24" i="8"/>
  <c r="B21" i="8"/>
  <c r="Z17" i="8"/>
  <c r="R17" i="8"/>
  <c r="Z16" i="8"/>
  <c r="Z6" i="8" s="1"/>
  <c r="R16" i="8"/>
  <c r="G14" i="8"/>
  <c r="B12" i="8"/>
  <c r="P16" i="8"/>
  <c r="S6" i="8"/>
  <c r="K8" i="8"/>
  <c r="N16" i="8"/>
  <c r="H8" i="8"/>
  <c r="G23" i="8"/>
  <c r="A21" i="8"/>
  <c r="Y17" i="8"/>
  <c r="Q17" i="8"/>
  <c r="Y16" i="8"/>
  <c r="Y6" i="8" s="1"/>
  <c r="Q16" i="8"/>
  <c r="B14" i="8"/>
  <c r="H10" i="8"/>
  <c r="B9" i="8"/>
  <c r="E7" i="8"/>
  <c r="K6" i="8"/>
  <c r="O16" i="8"/>
  <c r="R6" i="8"/>
  <c r="C23" i="8"/>
  <c r="AA19" i="8"/>
  <c r="X17" i="8"/>
  <c r="P17" i="8"/>
  <c r="O17" i="8"/>
  <c r="E6" i="8"/>
  <c r="V17" i="8"/>
  <c r="Q6" i="8"/>
  <c r="X6" i="8"/>
  <c r="EM23" i="5" l="1"/>
  <c r="EY38" i="5"/>
  <c r="EK4" i="5"/>
  <c r="EW27" i="5"/>
  <c r="EW29" i="5" s="1"/>
  <c r="EW5" i="5" s="1"/>
  <c r="EW4" i="5" s="1"/>
  <c r="EW72" i="5" s="1"/>
  <c r="EI4" i="5"/>
  <c r="EU27" i="5"/>
  <c r="EU29" i="5" s="1"/>
  <c r="EU5" i="5" s="1"/>
  <c r="EU4" i="5" s="1"/>
  <c r="EU72" i="5" s="1"/>
  <c r="EJ4" i="5"/>
  <c r="EV27" i="5"/>
  <c r="EV29" i="5" s="1"/>
  <c r="EV5" i="5" s="1"/>
  <c r="EV4" i="5" s="1"/>
  <c r="EV72" i="5" s="1"/>
  <c r="Y147" i="8"/>
  <c r="Y149" i="8" s="1"/>
  <c r="V147" i="8"/>
  <c r="V149" i="8" s="1"/>
  <c r="U147" i="8"/>
  <c r="U149" i="8" s="1"/>
  <c r="O147" i="8"/>
  <c r="O149" i="8" s="1"/>
  <c r="W147" i="8"/>
  <c r="W149" i="8" s="1"/>
  <c r="S147" i="8"/>
  <c r="S149" i="8" s="1"/>
  <c r="AA147" i="8"/>
  <c r="T147" i="8"/>
  <c r="T149" i="8" s="1"/>
  <c r="EP23" i="5"/>
  <c r="EI23" i="5"/>
  <c r="EQ23" i="5"/>
  <c r="EH23" i="5"/>
  <c r="EK23" i="5"/>
  <c r="EJ23" i="5"/>
  <c r="EL23" i="5"/>
  <c r="EF29" i="5"/>
  <c r="EF5" i="5" s="1"/>
  <c r="EG29" i="5"/>
  <c r="EG5" i="5" s="1"/>
  <c r="EL29" i="5"/>
  <c r="EL5" i="5" s="1"/>
  <c r="EH29" i="5"/>
  <c r="EH5" i="5" s="1"/>
  <c r="EF23" i="5"/>
  <c r="EG23" i="5"/>
  <c r="EO23" i="5"/>
  <c r="EN23" i="5"/>
  <c r="C21" i="8"/>
  <c r="D10" i="8"/>
  <c r="N4" i="8"/>
  <c r="Q11" i="8"/>
  <c r="Q19" i="8" s="1"/>
  <c r="Y15" i="8"/>
  <c r="Y18" i="8" s="1"/>
  <c r="T6" i="8"/>
  <c r="Q15" i="8"/>
  <c r="Q18" i="8" s="1"/>
  <c r="U6" i="8"/>
  <c r="S11" i="8"/>
  <c r="S19" i="8" s="1"/>
  <c r="O6" i="8"/>
  <c r="S15" i="8"/>
  <c r="S18" i="8" s="1"/>
  <c r="Z15" i="8"/>
  <c r="W6" i="8"/>
  <c r="X11" i="8"/>
  <c r="X19" i="8" s="1"/>
  <c r="D17" i="8"/>
  <c r="R15" i="8"/>
  <c r="R18" i="8" s="1"/>
  <c r="Z11" i="8"/>
  <c r="Z19" i="8" s="1"/>
  <c r="V6" i="8"/>
  <c r="R11" i="8"/>
  <c r="R19" i="8" s="1"/>
  <c r="M4" i="8"/>
  <c r="P6" i="8"/>
  <c r="X15" i="8"/>
  <c r="X18" i="8" s="1"/>
  <c r="Y11" i="8"/>
  <c r="Y19" i="8" s="1"/>
  <c r="Z18" i="8"/>
  <c r="AA18" i="8"/>
  <c r="EJ72" i="5" l="1"/>
  <c r="EH4" i="5"/>
  <c r="ET27" i="5"/>
  <c r="ET29" i="5" s="1"/>
  <c r="ET5" i="5" s="1"/>
  <c r="ET4" i="5" s="1"/>
  <c r="ET72" i="5" s="1"/>
  <c r="EL4" i="5"/>
  <c r="EX27" i="5"/>
  <c r="EX29" i="5" s="1"/>
  <c r="EX5" i="5" s="1"/>
  <c r="EX4" i="5" s="1"/>
  <c r="EX72" i="5" s="1"/>
  <c r="EG4" i="5"/>
  <c r="ES27" i="5"/>
  <c r="ES29" i="5" s="1"/>
  <c r="ES5" i="5" s="1"/>
  <c r="ES4" i="5" s="1"/>
  <c r="ES72" i="5" s="1"/>
  <c r="EF4" i="5"/>
  <c r="EF72" i="5" s="1"/>
  <c r="ER27" i="5"/>
  <c r="ER29" i="5" s="1"/>
  <c r="ER5" i="5" s="1"/>
  <c r="ER4" i="5" s="1"/>
  <c r="EI72" i="5"/>
  <c r="EK72" i="5"/>
  <c r="P15" i="8"/>
  <c r="P18" i="8" s="1"/>
  <c r="U11" i="8"/>
  <c r="U19" i="8" s="1"/>
  <c r="P11" i="8"/>
  <c r="P19" i="8" s="1"/>
  <c r="U15" i="8"/>
  <c r="U18" i="8" s="1"/>
  <c r="V11" i="8"/>
  <c r="V19" i="8" s="1"/>
  <c r="T15" i="8"/>
  <c r="T18" i="8" s="1"/>
  <c r="V15" i="8"/>
  <c r="V18" i="8" s="1"/>
  <c r="T11" i="8"/>
  <c r="T19" i="8" s="1"/>
  <c r="W11" i="8"/>
  <c r="W19" i="8" s="1"/>
  <c r="W15" i="8"/>
  <c r="W18" i="8" s="1"/>
  <c r="O11" i="8"/>
  <c r="O19" i="8" s="1"/>
  <c r="O15" i="8"/>
  <c r="O18" i="8" s="1"/>
  <c r="EG72" i="5" l="1"/>
  <c r="EH72" i="5"/>
  <c r="EL72" i="5"/>
  <c r="ER72" i="5"/>
  <c r="X208" i="6"/>
  <c r="X210" i="6" s="1"/>
  <c r="AA207" i="6"/>
  <c r="Z207" i="6"/>
  <c r="Y207" i="6"/>
  <c r="X207" i="6"/>
  <c r="W207" i="6"/>
  <c r="V207" i="6"/>
  <c r="U207" i="6"/>
  <c r="T207" i="6"/>
  <c r="T208" i="6" s="1"/>
  <c r="T210" i="6" s="1"/>
  <c r="S207" i="6"/>
  <c r="R207" i="6"/>
  <c r="Q207" i="6"/>
  <c r="P207" i="6"/>
  <c r="P208" i="6" s="1"/>
  <c r="P210" i="6" s="1"/>
  <c r="O207" i="6"/>
  <c r="AA206" i="6"/>
  <c r="AA208" i="6" s="1"/>
  <c r="Z206" i="6"/>
  <c r="Z208" i="6" s="1"/>
  <c r="Z210" i="6" s="1"/>
  <c r="Y206" i="6"/>
  <c r="Y208" i="6" s="1"/>
  <c r="Y210" i="6" s="1"/>
  <c r="X206" i="6"/>
  <c r="W206" i="6"/>
  <c r="W208" i="6" s="1"/>
  <c r="W210" i="6" s="1"/>
  <c r="V206" i="6"/>
  <c r="U206" i="6"/>
  <c r="T206" i="6"/>
  <c r="S206" i="6"/>
  <c r="S208" i="6" s="1"/>
  <c r="S210" i="6" s="1"/>
  <c r="R206" i="6"/>
  <c r="R208" i="6" s="1"/>
  <c r="R210" i="6" s="1"/>
  <c r="Q206" i="6"/>
  <c r="Q208" i="6" s="1"/>
  <c r="Q210" i="6" s="1"/>
  <c r="P206" i="6"/>
  <c r="O206" i="6"/>
  <c r="O208" i="6" s="1"/>
  <c r="O210" i="6" s="1"/>
  <c r="B17" i="6"/>
  <c r="B16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M10" i="6"/>
  <c r="M9" i="6"/>
  <c r="M8" i="6"/>
  <c r="M7" i="6"/>
  <c r="F7" i="6"/>
  <c r="F9" i="6" s="1"/>
  <c r="F11" i="6" s="1"/>
  <c r="N6" i="6"/>
  <c r="M6" i="6"/>
  <c r="F6" i="6"/>
  <c r="F8" i="6" s="1"/>
  <c r="F10" i="6" s="1"/>
  <c r="R1" i="6"/>
  <c r="Q1" i="6"/>
  <c r="H4" i="6"/>
  <c r="B12" i="6"/>
  <c r="K10" i="6"/>
  <c r="W16" i="6"/>
  <c r="Q2" i="6"/>
  <c r="C23" i="6"/>
  <c r="O16" i="6"/>
  <c r="B21" i="6"/>
  <c r="H10" i="6"/>
  <c r="T16" i="6"/>
  <c r="G21" i="6"/>
  <c r="G23" i="6"/>
  <c r="B9" i="6"/>
  <c r="S16" i="6"/>
  <c r="AA19" i="6"/>
  <c r="AA16" i="6"/>
  <c r="C22" i="6"/>
  <c r="S17" i="6"/>
  <c r="N18" i="6"/>
  <c r="A21" i="6"/>
  <c r="E7" i="6"/>
  <c r="H9" i="6"/>
  <c r="X17" i="6"/>
  <c r="E12" i="6"/>
  <c r="V17" i="6"/>
  <c r="C24" i="6"/>
  <c r="U17" i="6"/>
  <c r="K6" i="6"/>
  <c r="G4" i="6"/>
  <c r="P17" i="6"/>
  <c r="N17" i="6"/>
  <c r="U16" i="6"/>
  <c r="G22" i="6"/>
  <c r="Y17" i="6"/>
  <c r="K7" i="6"/>
  <c r="R17" i="6"/>
  <c r="K8" i="6"/>
  <c r="Q17" i="6"/>
  <c r="R16" i="6"/>
  <c r="D16" i="6"/>
  <c r="Y16" i="6"/>
  <c r="E6" i="6"/>
  <c r="Z17" i="6"/>
  <c r="P16" i="6"/>
  <c r="W17" i="6"/>
  <c r="N16" i="6"/>
  <c r="G14" i="6"/>
  <c r="H11" i="6"/>
  <c r="Q16" i="6"/>
  <c r="Z16" i="6"/>
  <c r="B7" i="6"/>
  <c r="O17" i="6"/>
  <c r="B10" i="6"/>
  <c r="T17" i="6"/>
  <c r="B14" i="6"/>
  <c r="N19" i="6"/>
  <c r="B1" i="6"/>
  <c r="H8" i="6"/>
  <c r="E21" i="6"/>
  <c r="AA17" i="6"/>
  <c r="K9" i="6"/>
  <c r="X16" i="6"/>
  <c r="X6" i="6" s="1"/>
  <c r="V16" i="6"/>
  <c r="U208" i="6" l="1"/>
  <c r="U210" i="6" s="1"/>
  <c r="V208" i="6"/>
  <c r="V210" i="6" s="1"/>
  <c r="N4" i="6"/>
  <c r="C21" i="6"/>
  <c r="D10" i="6"/>
  <c r="V6" i="6"/>
  <c r="S6" i="6"/>
  <c r="W6" i="6"/>
  <c r="B18" i="6"/>
  <c r="P6" i="6"/>
  <c r="Y6" i="6"/>
  <c r="T6" i="6"/>
  <c r="X15" i="6"/>
  <c r="D17" i="6"/>
  <c r="O6" i="6"/>
  <c r="Z6" i="6"/>
  <c r="X11" i="6"/>
  <c r="R6" i="6"/>
  <c r="M4" i="6"/>
  <c r="Q6" i="6"/>
  <c r="U6" i="6"/>
  <c r="EA64" i="5" l="1"/>
  <c r="EA66" i="5" s="1"/>
  <c r="DZ37" i="5"/>
  <c r="DY37" i="5"/>
  <c r="EK38" i="5" s="1"/>
  <c r="DX37" i="5"/>
  <c r="EJ38" i="5" s="1"/>
  <c r="DW37" i="5"/>
  <c r="DV37" i="5"/>
  <c r="EH38" i="5" s="1"/>
  <c r="DU37" i="5"/>
  <c r="EG38" i="5" s="1"/>
  <c r="DT37" i="5"/>
  <c r="EE36" i="5"/>
  <c r="EE37" i="5" s="1"/>
  <c r="EQ38" i="5" s="1"/>
  <c r="ED36" i="5"/>
  <c r="ED37" i="5" s="1"/>
  <c r="EP38" i="5" s="1"/>
  <c r="EC36" i="5"/>
  <c r="EC37" i="5" s="1"/>
  <c r="EO38" i="5" s="1"/>
  <c r="EB36" i="5"/>
  <c r="EB37" i="5" s="1"/>
  <c r="EN38" i="5" s="1"/>
  <c r="EA36" i="5"/>
  <c r="EA37" i="5" s="1"/>
  <c r="EM38" i="5" s="1"/>
  <c r="EC29" i="5"/>
  <c r="EB29" i="5"/>
  <c r="EE27" i="5"/>
  <c r="EE29" i="5" s="1"/>
  <c r="ED27" i="5"/>
  <c r="EC27" i="5"/>
  <c r="EB27" i="5"/>
  <c r="EA27" i="5"/>
  <c r="DY23" i="5"/>
  <c r="DX23" i="5"/>
  <c r="EE20" i="5"/>
  <c r="ED20" i="5"/>
  <c r="EC20" i="5"/>
  <c r="EB20" i="5"/>
  <c r="EA20" i="5"/>
  <c r="DZ20" i="5"/>
  <c r="DY20" i="5"/>
  <c r="DX20" i="5"/>
  <c r="DW20" i="5"/>
  <c r="DV20" i="5"/>
  <c r="DU20" i="5"/>
  <c r="DT20" i="5"/>
  <c r="DZ17" i="5"/>
  <c r="DY17" i="5"/>
  <c r="DX17" i="5"/>
  <c r="DW17" i="5"/>
  <c r="DV17" i="5"/>
  <c r="DU17" i="5"/>
  <c r="DT17" i="5"/>
  <c r="EE16" i="5"/>
  <c r="ED16" i="5"/>
  <c r="EC16" i="5"/>
  <c r="EB16" i="5"/>
  <c r="EA16" i="5"/>
  <c r="EE11" i="5"/>
  <c r="ED11" i="5"/>
  <c r="EC11" i="5"/>
  <c r="EB11" i="5"/>
  <c r="EA11" i="5"/>
  <c r="DZ11" i="5"/>
  <c r="DY11" i="5"/>
  <c r="DX11" i="5"/>
  <c r="DW11" i="5"/>
  <c r="DV11" i="5"/>
  <c r="DU11" i="5"/>
  <c r="DT11" i="5"/>
  <c r="DZ10" i="5"/>
  <c r="DZ13" i="5" s="1"/>
  <c r="DY10" i="5"/>
  <c r="DY13" i="5" s="1"/>
  <c r="DX10" i="5"/>
  <c r="DX13" i="5" s="1"/>
  <c r="DW10" i="5"/>
  <c r="DW13" i="5" s="1"/>
  <c r="DV10" i="5"/>
  <c r="DV13" i="5" s="1"/>
  <c r="DU10" i="5"/>
  <c r="DT10" i="5"/>
  <c r="EE7" i="5"/>
  <c r="ED7" i="5"/>
  <c r="EC7" i="5"/>
  <c r="EB7" i="5"/>
  <c r="EA7" i="5"/>
  <c r="DZ7" i="5"/>
  <c r="DY7" i="5"/>
  <c r="DX7" i="5"/>
  <c r="DW7" i="5"/>
  <c r="DV7" i="5"/>
  <c r="DU7" i="5"/>
  <c r="DT7" i="5"/>
  <c r="DZ5" i="5"/>
  <c r="DY5" i="5"/>
  <c r="DX5" i="5"/>
  <c r="DW5" i="5"/>
  <c r="DV5" i="5"/>
  <c r="DU5" i="5"/>
  <c r="DT5" i="5"/>
  <c r="DV2" i="5"/>
  <c r="DW2" i="5" s="1"/>
  <c r="DX2" i="5" s="1"/>
  <c r="DY2" i="5" s="1"/>
  <c r="DZ2" i="5" s="1"/>
  <c r="EA2" i="5" s="1"/>
  <c r="EB2" i="5" s="1"/>
  <c r="EC2" i="5" s="1"/>
  <c r="ED2" i="5" s="1"/>
  <c r="DU2" i="5"/>
  <c r="DT2" i="5"/>
  <c r="R15" i="6"/>
  <c r="T11" i="6"/>
  <c r="S11" i="6"/>
  <c r="X19" i="6"/>
  <c r="Y11" i="6"/>
  <c r="V15" i="6"/>
  <c r="U11" i="6"/>
  <c r="P15" i="6"/>
  <c r="O15" i="6"/>
  <c r="X18" i="6"/>
  <c r="W15" i="6"/>
  <c r="T15" i="6"/>
  <c r="Z15" i="6"/>
  <c r="Y15" i="6"/>
  <c r="V11" i="6"/>
  <c r="U15" i="6"/>
  <c r="Z11" i="6"/>
  <c r="P11" i="6"/>
  <c r="O11" i="6"/>
  <c r="Q11" i="6"/>
  <c r="W11" i="6"/>
  <c r="Q15" i="6"/>
  <c r="R11" i="6"/>
  <c r="S15" i="6"/>
  <c r="Z18" i="6"/>
  <c r="AA18" i="6"/>
  <c r="EE2" i="5" l="1"/>
  <c r="EF2" i="5" s="1"/>
  <c r="EG2" i="5" s="1"/>
  <c r="EH2" i="5" s="1"/>
  <c r="EI2" i="5" s="1"/>
  <c r="EJ2" i="5" s="1"/>
  <c r="EK2" i="5" s="1"/>
  <c r="EL2" i="5" s="1"/>
  <c r="EM2" i="5" s="1"/>
  <c r="EN2" i="5" s="1"/>
  <c r="EO2" i="5" s="1"/>
  <c r="EP2" i="5" s="1"/>
  <c r="EQ2" i="5" s="1"/>
  <c r="ER2" i="5" s="1"/>
  <c r="ES2" i="5" s="1"/>
  <c r="ET2" i="5" s="1"/>
  <c r="EU2" i="5" s="1"/>
  <c r="EV2" i="5" s="1"/>
  <c r="EW2" i="5" s="1"/>
  <c r="EX2" i="5" s="1"/>
  <c r="EY2" i="5" s="1"/>
  <c r="EZ2" i="5" s="1"/>
  <c r="FA2" i="5" s="1"/>
  <c r="FB2" i="5" s="1"/>
  <c r="FC2" i="5" s="1"/>
  <c r="DU13" i="5"/>
  <c r="DT13" i="5"/>
  <c r="DV23" i="5"/>
  <c r="DW23" i="5"/>
  <c r="DW24" i="5" s="1"/>
  <c r="EI38" i="5"/>
  <c r="EO27" i="5"/>
  <c r="EO29" i="5" s="1"/>
  <c r="EO5" i="5" s="1"/>
  <c r="DZ23" i="5"/>
  <c r="DZ24" i="5" s="1"/>
  <c r="EL38" i="5"/>
  <c r="EN27" i="5"/>
  <c r="EN29" i="5" s="1"/>
  <c r="EN5" i="5" s="1"/>
  <c r="EQ27" i="5"/>
  <c r="EQ29" i="5" s="1"/>
  <c r="EQ5" i="5" s="1"/>
  <c r="DT23" i="5"/>
  <c r="DT24" i="5" s="1"/>
  <c r="EF38" i="5"/>
  <c r="DW18" i="5"/>
  <c r="DW21" i="5" s="1"/>
  <c r="DZ18" i="5"/>
  <c r="DZ21" i="5" s="1"/>
  <c r="DX24" i="5"/>
  <c r="DU23" i="5"/>
  <c r="DU24" i="5" s="1"/>
  <c r="EB23" i="5"/>
  <c r="ED23" i="5"/>
  <c r="EA23" i="5"/>
  <c r="DV24" i="5"/>
  <c r="EE23" i="5"/>
  <c r="DY24" i="5"/>
  <c r="EC23" i="5"/>
  <c r="DX18" i="5"/>
  <c r="DX21" i="5" s="1"/>
  <c r="DY18" i="5"/>
  <c r="DY21" i="5" s="1"/>
  <c r="EA29" i="5"/>
  <c r="ED29" i="5"/>
  <c r="DT18" i="5"/>
  <c r="DT21" i="5" s="1"/>
  <c r="DU18" i="5"/>
  <c r="DU21" i="5" s="1"/>
  <c r="DV18" i="5"/>
  <c r="DV21" i="5" s="1"/>
  <c r="Q19" i="6"/>
  <c r="W18" i="6"/>
  <c r="R18" i="6"/>
  <c r="O19" i="6"/>
  <c r="O18" i="6"/>
  <c r="P19" i="6"/>
  <c r="P18" i="6"/>
  <c r="Y18" i="6"/>
  <c r="W19" i="6"/>
  <c r="T19" i="6"/>
  <c r="Z19" i="6"/>
  <c r="U19" i="6"/>
  <c r="S18" i="6"/>
  <c r="U18" i="6"/>
  <c r="V18" i="6"/>
  <c r="R19" i="6"/>
  <c r="V19" i="6"/>
  <c r="Y19" i="6"/>
  <c r="Q18" i="6"/>
  <c r="S19" i="6"/>
  <c r="T18" i="6"/>
  <c r="EQ4" i="5" l="1"/>
  <c r="FC27" i="5"/>
  <c r="FC29" i="5" s="1"/>
  <c r="FC5" i="5" s="1"/>
  <c r="FC4" i="5" s="1"/>
  <c r="FC72" i="5" s="1"/>
  <c r="EO4" i="5"/>
  <c r="FA27" i="5"/>
  <c r="FA29" i="5" s="1"/>
  <c r="FA5" i="5" s="1"/>
  <c r="FA4" i="5" s="1"/>
  <c r="FA72" i="5" s="1"/>
  <c r="EN4" i="5"/>
  <c r="EZ27" i="5"/>
  <c r="EZ29" i="5" s="1"/>
  <c r="EZ5" i="5" s="1"/>
  <c r="EZ4" i="5" s="1"/>
  <c r="EZ72" i="5" s="1"/>
  <c r="EC10" i="5"/>
  <c r="EC13" i="5" s="1"/>
  <c r="EC15" i="5" s="1"/>
  <c r="EC17" i="5" s="1"/>
  <c r="EC71" i="5" s="1"/>
  <c r="EM27" i="5"/>
  <c r="EM29" i="5" s="1"/>
  <c r="EM5" i="5" s="1"/>
  <c r="EB72" i="5"/>
  <c r="EP27" i="5"/>
  <c r="EP29" i="5" s="1"/>
  <c r="EP5" i="5" s="1"/>
  <c r="EC72" i="5"/>
  <c r="EE72" i="5"/>
  <c r="EA67" i="5" l="1"/>
  <c r="EB10" i="5"/>
  <c r="EB13" i="5" s="1"/>
  <c r="EB15" i="5" s="1"/>
  <c r="EB17" i="5" s="1"/>
  <c r="EB71" i="5" s="1"/>
  <c r="EO72" i="5"/>
  <c r="EM4" i="5"/>
  <c r="EN10" i="5" s="1"/>
  <c r="EN13" i="5" s="1"/>
  <c r="EY27" i="5"/>
  <c r="EY29" i="5" s="1"/>
  <c r="EY5" i="5" s="1"/>
  <c r="EY4" i="5" s="1"/>
  <c r="EN72" i="5"/>
  <c r="EP4" i="5"/>
  <c r="FB27" i="5"/>
  <c r="FB29" i="5" s="1"/>
  <c r="FB5" i="5" s="1"/>
  <c r="FB4" i="5" s="1"/>
  <c r="FB72" i="5" s="1"/>
  <c r="EQ72" i="5"/>
  <c r="EA10" i="5"/>
  <c r="EA13" i="5" s="1"/>
  <c r="EA24" i="5" s="1"/>
  <c r="EA72" i="5"/>
  <c r="ED10" i="5"/>
  <c r="ED13" i="5" s="1"/>
  <c r="ED15" i="5" s="1"/>
  <c r="ED17" i="5" s="1"/>
  <c r="ED71" i="5" s="1"/>
  <c r="EM10" i="5"/>
  <c r="EM13" i="5" s="1"/>
  <c r="EM24" i="5" s="1"/>
  <c r="ED72" i="5"/>
  <c r="EO10" i="5"/>
  <c r="EO13" i="5" s="1"/>
  <c r="EE10" i="5"/>
  <c r="EE13" i="5" s="1"/>
  <c r="EE15" i="5" s="1"/>
  <c r="EE17" i="5" s="1"/>
  <c r="EE71" i="5" s="1"/>
  <c r="EL10" i="5"/>
  <c r="EL13" i="5" s="1"/>
  <c r="EH10" i="5"/>
  <c r="EH13" i="5" s="1"/>
  <c r="EK10" i="5"/>
  <c r="EK13" i="5" s="1"/>
  <c r="EG10" i="5"/>
  <c r="EG13" i="5" s="1"/>
  <c r="EF10" i="5"/>
  <c r="EF13" i="5" s="1"/>
  <c r="EJ10" i="5"/>
  <c r="EJ13" i="5" s="1"/>
  <c r="EI10" i="5"/>
  <c r="EI13" i="5" s="1"/>
  <c r="EC24" i="5"/>
  <c r="EB24" i="5"/>
  <c r="EA15" i="5" l="1"/>
  <c r="EA17" i="5" s="1"/>
  <c r="ED24" i="5"/>
  <c r="EM72" i="5"/>
  <c r="EN15" i="5"/>
  <c r="EN17" i="5" s="1"/>
  <c r="EN71" i="5" s="1"/>
  <c r="EN24" i="5"/>
  <c r="EP72" i="5"/>
  <c r="FA10" i="5"/>
  <c r="FA13" i="5" s="1"/>
  <c r="EY72" i="5"/>
  <c r="FC10" i="5"/>
  <c r="FC13" i="5" s="1"/>
  <c r="U24" i="1" s="1"/>
  <c r="EX10" i="5"/>
  <c r="EX13" i="5" s="1"/>
  <c r="EV10" i="5"/>
  <c r="EV13" i="5" s="1"/>
  <c r="EU10" i="5"/>
  <c r="EU13" i="5" s="1"/>
  <c r="ES10" i="5"/>
  <c r="ES13" i="5" s="1"/>
  <c r="ER10" i="5"/>
  <c r="ER13" i="5" s="1"/>
  <c r="ET10" i="5"/>
  <c r="ET13" i="5" s="1"/>
  <c r="EW10" i="5"/>
  <c r="EW13" i="5" s="1"/>
  <c r="EQ10" i="5"/>
  <c r="EP10" i="5"/>
  <c r="EP13" i="5" s="1"/>
  <c r="EP15" i="5" s="1"/>
  <c r="EP17" i="5" s="1"/>
  <c r="EP71" i="5" s="1"/>
  <c r="FB10" i="5"/>
  <c r="FB13" i="5" s="1"/>
  <c r="EZ10" i="5"/>
  <c r="EZ13" i="5" s="1"/>
  <c r="EY10" i="5"/>
  <c r="EY13" i="5" s="1"/>
  <c r="EM15" i="5"/>
  <c r="EM17" i="5" s="1"/>
  <c r="EM71" i="5" s="1"/>
  <c r="EG15" i="5"/>
  <c r="EG17" i="5" s="1"/>
  <c r="EG71" i="5" s="1"/>
  <c r="EG24" i="5"/>
  <c r="EK15" i="5"/>
  <c r="EK17" i="5" s="1"/>
  <c r="EK71" i="5" s="1"/>
  <c r="EK24" i="5"/>
  <c r="EH15" i="5"/>
  <c r="EH17" i="5" s="1"/>
  <c r="EH71" i="5" s="1"/>
  <c r="EH24" i="5"/>
  <c r="EF15" i="5"/>
  <c r="EF17" i="5" s="1"/>
  <c r="EF24" i="5"/>
  <c r="EL15" i="5"/>
  <c r="EL17" i="5" s="1"/>
  <c r="EL71" i="5" s="1"/>
  <c r="EL24" i="5"/>
  <c r="EE24" i="5"/>
  <c r="EO15" i="5"/>
  <c r="EO17" i="5" s="1"/>
  <c r="EO71" i="5" s="1"/>
  <c r="EO24" i="5"/>
  <c r="EJ15" i="5"/>
  <c r="EJ17" i="5" s="1"/>
  <c r="EJ71" i="5" s="1"/>
  <c r="EJ24" i="5"/>
  <c r="EI15" i="5"/>
  <c r="EI17" i="5" s="1"/>
  <c r="EI71" i="5" s="1"/>
  <c r="EI24" i="5"/>
  <c r="EA71" i="5"/>
  <c r="EE18" i="5"/>
  <c r="EE21" i="5" s="1"/>
  <c r="EC18" i="5"/>
  <c r="EC21" i="5" s="1"/>
  <c r="EA18" i="5"/>
  <c r="EA21" i="5" s="1"/>
  <c r="EB18" i="5"/>
  <c r="EB21" i="5" s="1"/>
  <c r="ED18" i="5"/>
  <c r="ED21" i="5" s="1"/>
  <c r="EQ13" i="5" l="1"/>
  <c r="U22" i="1" s="1"/>
  <c r="EY15" i="5"/>
  <c r="EY17" i="5" s="1"/>
  <c r="EY71" i="5" s="1"/>
  <c r="EY24" i="5"/>
  <c r="EX15" i="5"/>
  <c r="EX17" i="5" s="1"/>
  <c r="EX71" i="5" s="1"/>
  <c r="EX24" i="5"/>
  <c r="ES15" i="5"/>
  <c r="ES17" i="5" s="1"/>
  <c r="ES71" i="5" s="1"/>
  <c r="ES24" i="5"/>
  <c r="FB15" i="5"/>
  <c r="FB17" i="5" s="1"/>
  <c r="FB71" i="5" s="1"/>
  <c r="FB24" i="5"/>
  <c r="EP24" i="5"/>
  <c r="FC15" i="5"/>
  <c r="FC17" i="5" s="1"/>
  <c r="FC71" i="5" s="1"/>
  <c r="FC24" i="5"/>
  <c r="EZ15" i="5"/>
  <c r="EZ17" i="5" s="1"/>
  <c r="EZ71" i="5" s="1"/>
  <c r="EZ24" i="5"/>
  <c r="EW15" i="5"/>
  <c r="EW17" i="5" s="1"/>
  <c r="EW71" i="5" s="1"/>
  <c r="EW24" i="5"/>
  <c r="EU15" i="5"/>
  <c r="EU17" i="5" s="1"/>
  <c r="EU71" i="5" s="1"/>
  <c r="EU24" i="5"/>
  <c r="ET15" i="5"/>
  <c r="ET17" i="5" s="1"/>
  <c r="ET71" i="5" s="1"/>
  <c r="ET24" i="5"/>
  <c r="FA15" i="5"/>
  <c r="FA17" i="5" s="1"/>
  <c r="FA71" i="5" s="1"/>
  <c r="FA24" i="5"/>
  <c r="EV15" i="5"/>
  <c r="EV17" i="5" s="1"/>
  <c r="EV71" i="5" s="1"/>
  <c r="EV24" i="5"/>
  <c r="ER15" i="5"/>
  <c r="ER17" i="5" s="1"/>
  <c r="ER24" i="5"/>
  <c r="EF71" i="5"/>
  <c r="EH18" i="5"/>
  <c r="EH21" i="5" s="1"/>
  <c r="EL18" i="5"/>
  <c r="EL21" i="5" s="1"/>
  <c r="EK18" i="5"/>
  <c r="EK21" i="5" s="1"/>
  <c r="EJ18" i="5"/>
  <c r="EJ21" i="5" s="1"/>
  <c r="EG18" i="5"/>
  <c r="EG21" i="5" s="1"/>
  <c r="EF18" i="5"/>
  <c r="EF21" i="5" s="1"/>
  <c r="EI18" i="5"/>
  <c r="EI21" i="5" s="1"/>
  <c r="EO18" i="5"/>
  <c r="EO21" i="5" s="1"/>
  <c r="EM18" i="5"/>
  <c r="EM21" i="5" s="1"/>
  <c r="EN18" i="5"/>
  <c r="EN21" i="5" s="1"/>
  <c r="EP18" i="5"/>
  <c r="EP21" i="5" s="1"/>
  <c r="CU55" i="5"/>
  <c r="CT55" i="5"/>
  <c r="CS55" i="5"/>
  <c r="CR55" i="5"/>
  <c r="CQ55" i="5"/>
  <c r="CP55" i="5"/>
  <c r="CO55" i="5"/>
  <c r="CN55" i="5"/>
  <c r="CM55" i="5"/>
  <c r="CL55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DS37" i="5"/>
  <c r="EE38" i="5" s="1"/>
  <c r="DR37" i="5"/>
  <c r="ED38" i="5" s="1"/>
  <c r="DQ37" i="5"/>
  <c r="EC38" i="5" s="1"/>
  <c r="DP37" i="5"/>
  <c r="EB38" i="5" s="1"/>
  <c r="DO37" i="5"/>
  <c r="EA38" i="5" s="1"/>
  <c r="DN37" i="5"/>
  <c r="DZ38" i="5" s="1"/>
  <c r="DM37" i="5"/>
  <c r="DY38" i="5" s="1"/>
  <c r="DL37" i="5"/>
  <c r="DX38" i="5" s="1"/>
  <c r="DK37" i="5"/>
  <c r="DW38" i="5" s="1"/>
  <c r="DJ37" i="5"/>
  <c r="DV38" i="5" s="1"/>
  <c r="DI37" i="5"/>
  <c r="DU38" i="5" s="1"/>
  <c r="DH37" i="5"/>
  <c r="DT38" i="5" s="1"/>
  <c r="DG37" i="5"/>
  <c r="DF37" i="5"/>
  <c r="DF23" i="5" s="1"/>
  <c r="DE37" i="5"/>
  <c r="DE23" i="5" s="1"/>
  <c r="DD37" i="5"/>
  <c r="DD23" i="5" s="1"/>
  <c r="DC37" i="5"/>
  <c r="DC23" i="5" s="1"/>
  <c r="DB37" i="5"/>
  <c r="DA37" i="5"/>
  <c r="CZ37" i="5"/>
  <c r="CZ23" i="5" s="1"/>
  <c r="CY37" i="5"/>
  <c r="CX37" i="5"/>
  <c r="CX23" i="5" s="1"/>
  <c r="CW37" i="5"/>
  <c r="CW23" i="5" s="1"/>
  <c r="CV37" i="5"/>
  <c r="CU37" i="5"/>
  <c r="CU23" i="5" s="1"/>
  <c r="CU53" i="5" s="1"/>
  <c r="CT37" i="5"/>
  <c r="CS37" i="5"/>
  <c r="CR37" i="5"/>
  <c r="CR23" i="5" s="1"/>
  <c r="CR53" i="5" s="1"/>
  <c r="CQ37" i="5"/>
  <c r="CQ23" i="5" s="1"/>
  <c r="CQ53" i="5" s="1"/>
  <c r="CP37" i="5"/>
  <c r="CP23" i="5" s="1"/>
  <c r="CP53" i="5" s="1"/>
  <c r="CO37" i="5"/>
  <c r="CO23" i="5" s="1"/>
  <c r="CN37" i="5"/>
  <c r="CN23" i="5" s="1"/>
  <c r="CM37" i="5"/>
  <c r="CM23" i="5" s="1"/>
  <c r="CM53" i="5" s="1"/>
  <c r="CL37" i="5"/>
  <c r="CK37" i="5"/>
  <c r="CJ37" i="5"/>
  <c r="CJ23" i="5" s="1"/>
  <c r="CI37" i="5"/>
  <c r="CH37" i="5"/>
  <c r="CG37" i="5"/>
  <c r="CG23" i="5" s="1"/>
  <c r="CF37" i="5"/>
  <c r="CF23" i="5" s="1"/>
  <c r="CE37" i="5"/>
  <c r="CE23" i="5" s="1"/>
  <c r="CD37" i="5"/>
  <c r="CC37" i="5"/>
  <c r="CB37" i="5"/>
  <c r="CB23" i="5" s="1"/>
  <c r="CA37" i="5"/>
  <c r="BZ37" i="5"/>
  <c r="BZ23" i="5" s="1"/>
  <c r="BY37" i="5"/>
  <c r="BY23" i="5" s="1"/>
  <c r="BX37" i="5"/>
  <c r="BX23" i="5" s="1"/>
  <c r="BW37" i="5"/>
  <c r="BW23" i="5" s="1"/>
  <c r="BV37" i="5"/>
  <c r="BU37" i="5"/>
  <c r="BT37" i="5"/>
  <c r="BT23" i="5" s="1"/>
  <c r="BS37" i="5"/>
  <c r="BR37" i="5"/>
  <c r="BR23" i="5" s="1"/>
  <c r="BQ37" i="5"/>
  <c r="BQ23" i="5" s="1"/>
  <c r="BP37" i="5"/>
  <c r="BO37" i="5"/>
  <c r="BO23" i="5" s="1"/>
  <c r="BN37" i="5"/>
  <c r="BM37" i="5"/>
  <c r="BL37" i="5"/>
  <c r="BL23" i="5" s="1"/>
  <c r="BK37" i="5"/>
  <c r="BK38" i="5" s="1"/>
  <c r="BJ37" i="5"/>
  <c r="BJ38" i="5" s="1"/>
  <c r="BI37" i="5"/>
  <c r="BI38" i="5" s="1"/>
  <c r="BH37" i="5"/>
  <c r="BH38" i="5" s="1"/>
  <c r="BG37" i="5"/>
  <c r="BG38" i="5" s="1"/>
  <c r="BF37" i="5"/>
  <c r="BF38" i="5" s="1"/>
  <c r="BE37" i="5"/>
  <c r="BE38" i="5" s="1"/>
  <c r="BD37" i="5"/>
  <c r="BD38" i="5" s="1"/>
  <c r="BC37" i="5"/>
  <c r="BC38" i="5" s="1"/>
  <c r="BB37" i="5"/>
  <c r="BB38" i="5" s="1"/>
  <c r="BA37" i="5"/>
  <c r="BA38" i="5" s="1"/>
  <c r="AZ37" i="5"/>
  <c r="AZ23" i="5" s="1"/>
  <c r="DS23" i="5"/>
  <c r="BF23" i="5"/>
  <c r="DS20" i="5"/>
  <c r="DR20" i="5"/>
  <c r="DQ20" i="5"/>
  <c r="DP20" i="5"/>
  <c r="DO20" i="5"/>
  <c r="DN20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DS17" i="5"/>
  <c r="DR17" i="5"/>
  <c r="DQ17" i="5"/>
  <c r="DP17" i="5"/>
  <c r="DO17" i="5"/>
  <c r="DN17" i="5"/>
  <c r="DM17" i="5"/>
  <c r="DL17" i="5"/>
  <c r="DK17" i="5"/>
  <c r="DJ17" i="5"/>
  <c r="DI17" i="5"/>
  <c r="DH17" i="5"/>
  <c r="DG17" i="5"/>
  <c r="DF17" i="5"/>
  <c r="DE17" i="5"/>
  <c r="DD17" i="5"/>
  <c r="DC17" i="5"/>
  <c r="DB17" i="5"/>
  <c r="DA17" i="5"/>
  <c r="CZ17" i="5"/>
  <c r="CY17" i="5"/>
  <c r="CX17" i="5"/>
  <c r="CW17" i="5"/>
  <c r="CV17" i="5"/>
  <c r="CU17" i="5"/>
  <c r="CT17" i="5"/>
  <c r="CS17" i="5"/>
  <c r="CR17" i="5"/>
  <c r="CQ17" i="5"/>
  <c r="CP17" i="5"/>
  <c r="CO17" i="5"/>
  <c r="CK17" i="5"/>
  <c r="CK55" i="5" s="1"/>
  <c r="CJ17" i="5"/>
  <c r="CI17" i="5"/>
  <c r="CH17" i="5"/>
  <c r="CG17" i="5"/>
  <c r="CF17" i="5"/>
  <c r="CE17" i="5"/>
  <c r="CD17" i="5"/>
  <c r="CC17" i="5"/>
  <c r="CB17" i="5"/>
  <c r="CA17" i="5"/>
  <c r="BZ17" i="5"/>
  <c r="BY17" i="5"/>
  <c r="BX17" i="5"/>
  <c r="BW17" i="5"/>
  <c r="BV17" i="5"/>
  <c r="BU17" i="5"/>
  <c r="BT17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Z8" i="5" s="1"/>
  <c r="CY13" i="5"/>
  <c r="CL13" i="5"/>
  <c r="DS11" i="5"/>
  <c r="DR11" i="5"/>
  <c r="DQ11" i="5"/>
  <c r="DP11" i="5"/>
  <c r="DO11" i="5"/>
  <c r="DN11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J13" i="5" s="1"/>
  <c r="BI11" i="5"/>
  <c r="BH11" i="5"/>
  <c r="BG11" i="5"/>
  <c r="BF11" i="5"/>
  <c r="BE11" i="5"/>
  <c r="BD11" i="5"/>
  <c r="BC11" i="5"/>
  <c r="BB11" i="5"/>
  <c r="BB13" i="5" s="1"/>
  <c r="BB24" i="5" s="1"/>
  <c r="BA11" i="5"/>
  <c r="AZ11" i="5"/>
  <c r="DS10" i="5"/>
  <c r="DS13" i="5" s="1"/>
  <c r="DR10" i="5"/>
  <c r="DR13" i="5" s="1"/>
  <c r="DQ10" i="5"/>
  <c r="DQ13" i="5" s="1"/>
  <c r="DP10" i="5"/>
  <c r="DO10" i="5"/>
  <c r="DO13" i="5" s="1"/>
  <c r="DN10" i="5"/>
  <c r="DN13" i="5" s="1"/>
  <c r="DM10" i="5"/>
  <c r="DM13" i="5" s="1"/>
  <c r="DL10" i="5"/>
  <c r="DK10" i="5"/>
  <c r="DK13" i="5" s="1"/>
  <c r="DJ10" i="5"/>
  <c r="DJ13" i="5" s="1"/>
  <c r="DI10" i="5"/>
  <c r="DI13" i="5" s="1"/>
  <c r="DH10" i="5"/>
  <c r="DG10" i="5"/>
  <c r="DG13" i="5" s="1"/>
  <c r="DF10" i="5"/>
  <c r="DF13" i="5" s="1"/>
  <c r="DE10" i="5"/>
  <c r="DE13" i="5" s="1"/>
  <c r="DD10" i="5"/>
  <c r="DD13" i="5" s="1"/>
  <c r="DC10" i="5"/>
  <c r="DC13" i="5" s="1"/>
  <c r="DB10" i="5"/>
  <c r="DB13" i="5" s="1"/>
  <c r="DA10" i="5"/>
  <c r="DA13" i="5" s="1"/>
  <c r="CZ10" i="5"/>
  <c r="CY10" i="5"/>
  <c r="CX10" i="5"/>
  <c r="CX13" i="5" s="1"/>
  <c r="CW10" i="5"/>
  <c r="CW13" i="5" s="1"/>
  <c r="CV10" i="5"/>
  <c r="CV13" i="5" s="1"/>
  <c r="CU10" i="5"/>
  <c r="CU13" i="5" s="1"/>
  <c r="CT10" i="5"/>
  <c r="CT13" i="5" s="1"/>
  <c r="CS10" i="5"/>
  <c r="CS13" i="5" s="1"/>
  <c r="CR10" i="5"/>
  <c r="CQ10" i="5"/>
  <c r="CQ13" i="5" s="1"/>
  <c r="CP10" i="5"/>
  <c r="CP13" i="5" s="1"/>
  <c r="CO10" i="5"/>
  <c r="CO13" i="5" s="1"/>
  <c r="CN10" i="5"/>
  <c r="CN13" i="5" s="1"/>
  <c r="CM10" i="5"/>
  <c r="CM13" i="5" s="1"/>
  <c r="CL10" i="5"/>
  <c r="CK10" i="5"/>
  <c r="CK13" i="5" s="1"/>
  <c r="CJ10" i="5"/>
  <c r="CJ13" i="5" s="1"/>
  <c r="BN10" i="5"/>
  <c r="BN13" i="5" s="1"/>
  <c r="BM10" i="5"/>
  <c r="BM13" i="5" s="1"/>
  <c r="BL10" i="5"/>
  <c r="BK10" i="5"/>
  <c r="BK13" i="5" s="1"/>
  <c r="BJ10" i="5"/>
  <c r="BI10" i="5"/>
  <c r="BI13" i="5" s="1"/>
  <c r="BH10" i="5"/>
  <c r="BG10" i="5"/>
  <c r="BG13" i="5" s="1"/>
  <c r="BF10" i="5"/>
  <c r="BF13" i="5" s="1"/>
  <c r="BE10" i="5"/>
  <c r="BE13" i="5" s="1"/>
  <c r="BE24" i="5" s="1"/>
  <c r="BD10" i="5"/>
  <c r="BC10" i="5"/>
  <c r="BC13" i="5" s="1"/>
  <c r="BB10" i="5"/>
  <c r="BA10" i="5"/>
  <c r="BA13" i="5" s="1"/>
  <c r="BA24" i="5" s="1"/>
  <c r="AZ10" i="5"/>
  <c r="DS7" i="5"/>
  <c r="DR7" i="5"/>
  <c r="DQ7" i="5"/>
  <c r="DP7" i="5"/>
  <c r="DO7" i="5"/>
  <c r="DN7" i="5"/>
  <c r="DM7" i="5"/>
  <c r="DL7" i="5"/>
  <c r="DK7" i="5"/>
  <c r="DJ7" i="5"/>
  <c r="DI7" i="5"/>
  <c r="DH7" i="5"/>
  <c r="DG7" i="5"/>
  <c r="DF7" i="5"/>
  <c r="DE7" i="5"/>
  <c r="DD7" i="5"/>
  <c r="DC7" i="5"/>
  <c r="DB7" i="5"/>
  <c r="DA7" i="5"/>
  <c r="CZ7" i="5"/>
  <c r="CY7" i="5"/>
  <c r="CX7" i="5"/>
  <c r="CW7" i="5"/>
  <c r="CV7" i="5"/>
  <c r="CU7" i="5"/>
  <c r="CT7" i="5"/>
  <c r="CS7" i="5"/>
  <c r="CR7" i="5"/>
  <c r="CQ7" i="5"/>
  <c r="CP7" i="5"/>
  <c r="CO7" i="5"/>
  <c r="CN7" i="5"/>
  <c r="CM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DS5" i="5"/>
  <c r="DR5" i="5"/>
  <c r="DQ5" i="5"/>
  <c r="DP5" i="5"/>
  <c r="DO5" i="5"/>
  <c r="DN5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W5" i="5"/>
  <c r="BV5" i="5"/>
  <c r="BU5" i="5"/>
  <c r="BT5" i="5"/>
  <c r="BS5" i="5"/>
  <c r="BR5" i="5"/>
  <c r="BQ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BX4" i="5"/>
  <c r="CB10" i="5" s="1"/>
  <c r="CB13" i="5" s="1"/>
  <c r="BP4" i="5"/>
  <c r="BO4" i="5"/>
  <c r="BT10" i="5" s="1"/>
  <c r="BT13" i="5" s="1"/>
  <c r="BA2" i="5"/>
  <c r="BB2" i="5" s="1"/>
  <c r="BC2" i="5" s="1"/>
  <c r="BD2" i="5" s="1"/>
  <c r="BE2" i="5" s="1"/>
  <c r="BF2" i="5" s="1"/>
  <c r="BG2" i="5" s="1"/>
  <c r="BH2" i="5" s="1"/>
  <c r="BI2" i="5" s="1"/>
  <c r="BJ2" i="5" s="1"/>
  <c r="BK2" i="5" s="1"/>
  <c r="BL2" i="5" s="1"/>
  <c r="BM2" i="5" s="1"/>
  <c r="BN2" i="5" s="1"/>
  <c r="BO2" i="5" s="1"/>
  <c r="BP2" i="5" s="1"/>
  <c r="BQ2" i="5" s="1"/>
  <c r="BR2" i="5" s="1"/>
  <c r="BS2" i="5" s="1"/>
  <c r="BT2" i="5" s="1"/>
  <c r="BU2" i="5" s="1"/>
  <c r="BV2" i="5" s="1"/>
  <c r="BW2" i="5" s="1"/>
  <c r="BX2" i="5" s="1"/>
  <c r="BY2" i="5" s="1"/>
  <c r="BZ2" i="5" s="1"/>
  <c r="CA2" i="5" s="1"/>
  <c r="CB2" i="5" s="1"/>
  <c r="CC2" i="5" s="1"/>
  <c r="CD2" i="5" s="1"/>
  <c r="CE2" i="5" s="1"/>
  <c r="CF2" i="5" s="1"/>
  <c r="CG2" i="5" s="1"/>
  <c r="CH2" i="5" s="1"/>
  <c r="CI2" i="5" s="1"/>
  <c r="CJ2" i="5" s="1"/>
  <c r="CK2" i="5" s="1"/>
  <c r="CL2" i="5" s="1"/>
  <c r="CM2" i="5" s="1"/>
  <c r="CN2" i="5" s="1"/>
  <c r="CO2" i="5" s="1"/>
  <c r="CP2" i="5" s="1"/>
  <c r="CQ2" i="5" s="1"/>
  <c r="CR2" i="5" s="1"/>
  <c r="CS2" i="5" s="1"/>
  <c r="CT2" i="5" s="1"/>
  <c r="CU2" i="5" s="1"/>
  <c r="CV2" i="5" s="1"/>
  <c r="CW2" i="5" s="1"/>
  <c r="CX2" i="5" s="1"/>
  <c r="EQ15" i="5" l="1"/>
  <c r="EQ17" i="5" s="1"/>
  <c r="EQ24" i="5"/>
  <c r="EV18" i="5"/>
  <c r="EV21" i="5" s="1"/>
  <c r="EZ18" i="5"/>
  <c r="EZ21" i="5" s="1"/>
  <c r="ET18" i="5"/>
  <c r="ET21" i="5" s="1"/>
  <c r="EW18" i="5"/>
  <c r="EW21" i="5" s="1"/>
  <c r="FC18" i="5"/>
  <c r="FC21" i="5" s="1"/>
  <c r="ER18" i="5"/>
  <c r="ER21" i="5" s="1"/>
  <c r="FA18" i="5"/>
  <c r="FA21" i="5" s="1"/>
  <c r="ES18" i="5"/>
  <c r="ES21" i="5" s="1"/>
  <c r="EU18" i="5"/>
  <c r="EU21" i="5" s="1"/>
  <c r="FB18" i="5"/>
  <c r="FB21" i="5" s="1"/>
  <c r="EY18" i="5"/>
  <c r="EY21" i="5" s="1"/>
  <c r="EX18" i="5"/>
  <c r="EX21" i="5" s="1"/>
  <c r="ER71" i="5"/>
  <c r="CO38" i="5"/>
  <c r="BG23" i="5"/>
  <c r="BG24" i="5" s="1"/>
  <c r="BS38" i="5"/>
  <c r="CI38" i="5"/>
  <c r="DE38" i="5"/>
  <c r="DK23" i="5"/>
  <c r="DK24" i="5" s="1"/>
  <c r="CA38" i="5"/>
  <c r="BH23" i="5"/>
  <c r="BH24" i="5" s="1"/>
  <c r="DM23" i="5"/>
  <c r="DM24" i="5" s="1"/>
  <c r="BA8" i="5"/>
  <c r="BA25" i="5" s="1"/>
  <c r="BI23" i="5"/>
  <c r="BI24" i="5" s="1"/>
  <c r="DO23" i="5"/>
  <c r="DO24" i="5" s="1"/>
  <c r="DH23" i="5"/>
  <c r="CY38" i="5"/>
  <c r="DP23" i="5"/>
  <c r="CJ24" i="5"/>
  <c r="BP38" i="5"/>
  <c r="CB24" i="5"/>
  <c r="DG38" i="5"/>
  <c r="DO38" i="5"/>
  <c r="BT24" i="5"/>
  <c r="BF24" i="5"/>
  <c r="BK23" i="5"/>
  <c r="BK24" i="5" s="1"/>
  <c r="CT18" i="5"/>
  <c r="CT21" i="5" s="1"/>
  <c r="BJ23" i="5"/>
  <c r="BJ24" i="5" s="1"/>
  <c r="CQ38" i="5"/>
  <c r="CL18" i="5"/>
  <c r="CL21" i="5" s="1"/>
  <c r="CY23" i="5"/>
  <c r="CY24" i="5" s="1"/>
  <c r="CA23" i="5"/>
  <c r="CJ55" i="5"/>
  <c r="BC23" i="5"/>
  <c r="BC24" i="5" s="1"/>
  <c r="CQ24" i="5"/>
  <c r="CQ54" i="5" s="1"/>
  <c r="CD18" i="5"/>
  <c r="CD21" i="5" s="1"/>
  <c r="DP18" i="5"/>
  <c r="DP21" i="5" s="1"/>
  <c r="BS23" i="5"/>
  <c r="CN38" i="5"/>
  <c r="CV38" i="5"/>
  <c r="DL38" i="5"/>
  <c r="BN18" i="5"/>
  <c r="BN21" i="5" s="1"/>
  <c r="CI23" i="5"/>
  <c r="DG23" i="5"/>
  <c r="DG24" i="5" s="1"/>
  <c r="BY38" i="5"/>
  <c r="CH38" i="5"/>
  <c r="AZ38" i="5"/>
  <c r="BX38" i="5"/>
  <c r="AZ13" i="5"/>
  <c r="AZ24" i="5" s="1"/>
  <c r="AZ25" i="5" s="1"/>
  <c r="BH13" i="5"/>
  <c r="CC10" i="5"/>
  <c r="CC13" i="5" s="1"/>
  <c r="DD38" i="5"/>
  <c r="DI18" i="5"/>
  <c r="DI21" i="5" s="1"/>
  <c r="BZ38" i="5"/>
  <c r="CX38" i="5"/>
  <c r="DN38" i="5"/>
  <c r="BT18" i="5"/>
  <c r="BT21" i="5" s="1"/>
  <c r="CR18" i="5"/>
  <c r="CR21" i="5" s="1"/>
  <c r="DJ18" i="5"/>
  <c r="DJ21" i="5" s="1"/>
  <c r="DC24" i="5"/>
  <c r="CF38" i="5"/>
  <c r="DL23" i="5"/>
  <c r="BR38" i="5"/>
  <c r="CP38" i="5"/>
  <c r="DF38" i="5"/>
  <c r="CZ18" i="5"/>
  <c r="CZ21" i="5" s="1"/>
  <c r="BM18" i="5"/>
  <c r="BM21" i="5" s="1"/>
  <c r="CH23" i="5"/>
  <c r="DN23" i="5"/>
  <c r="DN24" i="5" s="1"/>
  <c r="BL38" i="5"/>
  <c r="BT38" i="5"/>
  <c r="CB38" i="5"/>
  <c r="CJ38" i="5"/>
  <c r="CR38" i="5"/>
  <c r="CZ38" i="5"/>
  <c r="DH38" i="5"/>
  <c r="DP38" i="5"/>
  <c r="BU10" i="5"/>
  <c r="BU13" i="5" s="1"/>
  <c r="BD13" i="5"/>
  <c r="BD24" i="5" s="1"/>
  <c r="BL13" i="5"/>
  <c r="BL24" i="5" s="1"/>
  <c r="CS18" i="5"/>
  <c r="CS21" i="5" s="1"/>
  <c r="DR18" i="5"/>
  <c r="DR21" i="5" s="1"/>
  <c r="CV23" i="5"/>
  <c r="CV24" i="5" s="1"/>
  <c r="BV18" i="5"/>
  <c r="DB18" i="5"/>
  <c r="DB21" i="5" s="1"/>
  <c r="BP23" i="5"/>
  <c r="BP24" i="5" s="1"/>
  <c r="CA10" i="5"/>
  <c r="CA13" i="5" s="1"/>
  <c r="BF18" i="5"/>
  <c r="CK18" i="5"/>
  <c r="CK21" i="5" s="1"/>
  <c r="BO38" i="5"/>
  <c r="BW38" i="5"/>
  <c r="CE38" i="5"/>
  <c r="CM38" i="5"/>
  <c r="CU38" i="5"/>
  <c r="DC38" i="5"/>
  <c r="DK38" i="5"/>
  <c r="DS38" i="5"/>
  <c r="CZ2" i="5"/>
  <c r="DA2" i="5" s="1"/>
  <c r="DB2" i="5" s="1"/>
  <c r="DC2" i="5" s="1"/>
  <c r="DD2" i="5" s="1"/>
  <c r="DE2" i="5" s="1"/>
  <c r="DF2" i="5" s="1"/>
  <c r="DG2" i="5" s="1"/>
  <c r="DH2" i="5" s="1"/>
  <c r="DI2" i="5" s="1"/>
  <c r="DJ2" i="5" s="1"/>
  <c r="DK2" i="5" s="1"/>
  <c r="DL2" i="5" s="1"/>
  <c r="DM2" i="5" s="1"/>
  <c r="DN2" i="5" s="1"/>
  <c r="DO2" i="5" s="1"/>
  <c r="DP2" i="5" s="1"/>
  <c r="DQ2" i="5" s="1"/>
  <c r="DR2" i="5" s="1"/>
  <c r="DS2" i="5" s="1"/>
  <c r="CY2" i="5"/>
  <c r="BO5" i="5"/>
  <c r="BV10" i="5"/>
  <c r="BV13" i="5" s="1"/>
  <c r="CD10" i="5"/>
  <c r="CD13" i="5" s="1"/>
  <c r="BE18" i="5"/>
  <c r="BE21" i="5" s="1"/>
  <c r="DQ18" i="5"/>
  <c r="DQ21" i="5" s="1"/>
  <c r="DD24" i="5"/>
  <c r="BQ38" i="5"/>
  <c r="BP5" i="5"/>
  <c r="BX5" i="5"/>
  <c r="BO10" i="5"/>
  <c r="BO13" i="5" s="1"/>
  <c r="BO24" i="5" s="1"/>
  <c r="BW10" i="5"/>
  <c r="BW13" i="5" s="1"/>
  <c r="BW24" i="5" s="1"/>
  <c r="CE10" i="5"/>
  <c r="CE13" i="5" s="1"/>
  <c r="DE24" i="5"/>
  <c r="BP10" i="5"/>
  <c r="BP13" i="5" s="1"/>
  <c r="BX10" i="5"/>
  <c r="BX13" i="5" s="1"/>
  <c r="BX24" i="5" s="1"/>
  <c r="CF10" i="5"/>
  <c r="CF13" i="5" s="1"/>
  <c r="DL13" i="5"/>
  <c r="DF24" i="5"/>
  <c r="BM38" i="5"/>
  <c r="BM23" i="5"/>
  <c r="BM24" i="5" s="1"/>
  <c r="BU38" i="5"/>
  <c r="BU23" i="5"/>
  <c r="BU24" i="5" s="1"/>
  <c r="CC38" i="5"/>
  <c r="CC23" i="5"/>
  <c r="CC24" i="5" s="1"/>
  <c r="CK38" i="5"/>
  <c r="CK23" i="5"/>
  <c r="CK24" i="5" s="1"/>
  <c r="CS38" i="5"/>
  <c r="CS23" i="5"/>
  <c r="DA38" i="5"/>
  <c r="DA23" i="5"/>
  <c r="DA24" i="5" s="1"/>
  <c r="DI38" i="5"/>
  <c r="DI23" i="5"/>
  <c r="DI24" i="5" s="1"/>
  <c r="DQ38" i="5"/>
  <c r="DQ23" i="5"/>
  <c r="DQ24" i="5" s="1"/>
  <c r="DM38" i="5"/>
  <c r="BQ10" i="5"/>
  <c r="BQ13" i="5" s="1"/>
  <c r="BQ24" i="5" s="1"/>
  <c r="BY10" i="5"/>
  <c r="BY13" i="5" s="1"/>
  <c r="BY24" i="5" s="1"/>
  <c r="CG10" i="5"/>
  <c r="CG13" i="5" s="1"/>
  <c r="CG24" i="5" s="1"/>
  <c r="CW24" i="5"/>
  <c r="DS24" i="5"/>
  <c r="BN38" i="5"/>
  <c r="BN23" i="5"/>
  <c r="BN24" i="5" s="1"/>
  <c r="BV38" i="5"/>
  <c r="BV23" i="5"/>
  <c r="BV24" i="5" s="1"/>
  <c r="CD38" i="5"/>
  <c r="CD23" i="5"/>
  <c r="CD24" i="5" s="1"/>
  <c r="CL38" i="5"/>
  <c r="CL23" i="5"/>
  <c r="CT38" i="5"/>
  <c r="CT23" i="5"/>
  <c r="DB38" i="5"/>
  <c r="DB23" i="5"/>
  <c r="DB24" i="5" s="1"/>
  <c r="DJ38" i="5"/>
  <c r="DJ23" i="5"/>
  <c r="DJ24" i="5" s="1"/>
  <c r="DR38" i="5"/>
  <c r="DR23" i="5"/>
  <c r="DR24" i="5" s="1"/>
  <c r="BR10" i="5"/>
  <c r="BR13" i="5" s="1"/>
  <c r="BZ10" i="5"/>
  <c r="BZ13" i="5" s="1"/>
  <c r="BZ24" i="5" s="1"/>
  <c r="CH10" i="5"/>
  <c r="CH13" i="5" s="1"/>
  <c r="BU18" i="5"/>
  <c r="BU21" i="5" s="1"/>
  <c r="DA18" i="5"/>
  <c r="DA21" i="5" s="1"/>
  <c r="BF21" i="5"/>
  <c r="BV21" i="5"/>
  <c r="BR24" i="5"/>
  <c r="CN53" i="5"/>
  <c r="CN24" i="5"/>
  <c r="CX24" i="5"/>
  <c r="CW38" i="5"/>
  <c r="BS10" i="5"/>
  <c r="BS13" i="5" s="1"/>
  <c r="CI10" i="5"/>
  <c r="CI13" i="5" s="1"/>
  <c r="CE24" i="5"/>
  <c r="CO53" i="5"/>
  <c r="CO24" i="5"/>
  <c r="BB8" i="5"/>
  <c r="CR13" i="5"/>
  <c r="CR24" i="5" s="1"/>
  <c r="CR54" i="5" s="1"/>
  <c r="CZ13" i="5"/>
  <c r="CZ24" i="5" s="1"/>
  <c r="DH13" i="5"/>
  <c r="DP13" i="5"/>
  <c r="DP24" i="5" s="1"/>
  <c r="BD18" i="5"/>
  <c r="BD21" i="5" s="1"/>
  <c r="BK18" i="5"/>
  <c r="BK21" i="5" s="1"/>
  <c r="BC18" i="5"/>
  <c r="BC21" i="5" s="1"/>
  <c r="BJ18" i="5"/>
  <c r="BJ21" i="5" s="1"/>
  <c r="BB18" i="5"/>
  <c r="BB21" i="5" s="1"/>
  <c r="BI18" i="5"/>
  <c r="BI21" i="5" s="1"/>
  <c r="BA18" i="5"/>
  <c r="BA21" i="5" s="1"/>
  <c r="BH18" i="5"/>
  <c r="BH21" i="5" s="1"/>
  <c r="AZ18" i="5"/>
  <c r="AZ21" i="5" s="1"/>
  <c r="BG18" i="5"/>
  <c r="BG21" i="5" s="1"/>
  <c r="CB18" i="5"/>
  <c r="CB21" i="5" s="1"/>
  <c r="CI18" i="5"/>
  <c r="CI21" i="5" s="1"/>
  <c r="CA18" i="5"/>
  <c r="CA21" i="5" s="1"/>
  <c r="CH18" i="5"/>
  <c r="CH21" i="5" s="1"/>
  <c r="BZ18" i="5"/>
  <c r="BZ21" i="5" s="1"/>
  <c r="CG18" i="5"/>
  <c r="CG21" i="5" s="1"/>
  <c r="BY18" i="5"/>
  <c r="BY21" i="5" s="1"/>
  <c r="CF18" i="5"/>
  <c r="CF21" i="5" s="1"/>
  <c r="BX18" i="5"/>
  <c r="BX21" i="5" s="1"/>
  <c r="CE18" i="5"/>
  <c r="CE21" i="5" s="1"/>
  <c r="CC18" i="5"/>
  <c r="CC21" i="5" s="1"/>
  <c r="CF24" i="5"/>
  <c r="CP24" i="5"/>
  <c r="CP54" i="5" s="1"/>
  <c r="CG38" i="5"/>
  <c r="BO18" i="5"/>
  <c r="BO21" i="5" s="1"/>
  <c r="BW18" i="5"/>
  <c r="BW21" i="5" s="1"/>
  <c r="CM18" i="5"/>
  <c r="CM21" i="5" s="1"/>
  <c r="CU18" i="5"/>
  <c r="CU21" i="5" s="1"/>
  <c r="DC18" i="5"/>
  <c r="DC21" i="5" s="1"/>
  <c r="DK18" i="5"/>
  <c r="DK21" i="5" s="1"/>
  <c r="DS18" i="5"/>
  <c r="DS21" i="5" s="1"/>
  <c r="BP18" i="5"/>
  <c r="BP21" i="5" s="1"/>
  <c r="CN18" i="5"/>
  <c r="CN21" i="5" s="1"/>
  <c r="CV18" i="5"/>
  <c r="CV21" i="5" s="1"/>
  <c r="DD18" i="5"/>
  <c r="DD21" i="5" s="1"/>
  <c r="DL18" i="5"/>
  <c r="DL21" i="5" s="1"/>
  <c r="BQ18" i="5"/>
  <c r="BQ21" i="5" s="1"/>
  <c r="CO18" i="5"/>
  <c r="CO21" i="5" s="1"/>
  <c r="CW18" i="5"/>
  <c r="CW21" i="5" s="1"/>
  <c r="DE18" i="5"/>
  <c r="DE21" i="5" s="1"/>
  <c r="DM18" i="5"/>
  <c r="DM21" i="5" s="1"/>
  <c r="CM24" i="5"/>
  <c r="CM54" i="5" s="1"/>
  <c r="CU24" i="5"/>
  <c r="CU54" i="5" s="1"/>
  <c r="BR18" i="5"/>
  <c r="BR21" i="5" s="1"/>
  <c r="CP18" i="5"/>
  <c r="CP21" i="5" s="1"/>
  <c r="CX18" i="5"/>
  <c r="CX21" i="5" s="1"/>
  <c r="DF18" i="5"/>
  <c r="DF21" i="5" s="1"/>
  <c r="DN18" i="5"/>
  <c r="DN21" i="5" s="1"/>
  <c r="BS18" i="5"/>
  <c r="BS21" i="5" s="1"/>
  <c r="CQ18" i="5"/>
  <c r="CQ21" i="5" s="1"/>
  <c r="CY18" i="5"/>
  <c r="CY21" i="5" s="1"/>
  <c r="DG18" i="5"/>
  <c r="DG21" i="5" s="1"/>
  <c r="DO18" i="5"/>
  <c r="DO21" i="5" s="1"/>
  <c r="BL18" i="5"/>
  <c r="BL21" i="5" s="1"/>
  <c r="CJ18" i="5"/>
  <c r="CJ21" i="5" s="1"/>
  <c r="DH18" i="5"/>
  <c r="DH21" i="5" s="1"/>
  <c r="EQ71" i="5" l="1"/>
  <c r="EQ18" i="5"/>
  <c r="EQ21" i="5" s="1"/>
  <c r="DL24" i="5"/>
  <c r="DH24" i="5"/>
  <c r="CI24" i="5"/>
  <c r="CN54" i="5"/>
  <c r="BS24" i="5"/>
  <c r="CH24" i="5"/>
  <c r="CA24" i="5"/>
  <c r="CO54" i="5"/>
  <c r="CS53" i="5"/>
  <c r="CS24" i="5"/>
  <c r="CT53" i="5"/>
  <c r="CT24" i="5"/>
  <c r="CL53" i="5"/>
  <c r="CL24" i="5"/>
  <c r="BB25" i="5"/>
  <c r="BC8" i="5"/>
  <c r="CT54" i="5" l="1"/>
  <c r="BC25" i="5"/>
  <c r="BD8" i="5"/>
  <c r="CS54" i="5"/>
  <c r="CL54" i="5"/>
  <c r="BD25" i="5" l="1"/>
  <c r="BE8" i="5"/>
  <c r="BE25" i="5" l="1"/>
  <c r="BF8" i="5"/>
  <c r="BF25" i="5" l="1"/>
  <c r="BG8" i="5"/>
  <c r="BH8" i="5" l="1"/>
  <c r="BG25" i="5"/>
  <c r="BH25" i="5" l="1"/>
  <c r="BI8" i="5"/>
  <c r="BI25" i="5" l="1"/>
  <c r="BJ8" i="5"/>
  <c r="BJ25" i="5" l="1"/>
  <c r="BK8" i="5"/>
  <c r="BK25" i="5" l="1"/>
  <c r="BL8" i="5"/>
  <c r="BL25" i="5" l="1"/>
  <c r="BM8" i="5"/>
  <c r="BM25" i="5" l="1"/>
  <c r="BN8" i="5"/>
  <c r="BO8" i="5" l="1"/>
  <c r="BN25" i="5"/>
  <c r="BP8" i="5" l="1"/>
  <c r="BO25" i="5"/>
  <c r="BP25" i="5" l="1"/>
  <c r="BQ8" i="5"/>
  <c r="BQ25" i="5" l="1"/>
  <c r="BR8" i="5"/>
  <c r="BR25" i="5" l="1"/>
  <c r="BS8" i="5"/>
  <c r="BS25" i="5" l="1"/>
  <c r="BT8" i="5"/>
  <c r="BT25" i="5" l="1"/>
  <c r="BU8" i="5"/>
  <c r="BU25" i="5" l="1"/>
  <c r="BV8" i="5"/>
  <c r="BW8" i="5" l="1"/>
  <c r="BV25" i="5"/>
  <c r="BX8" i="5" l="1"/>
  <c r="BW25" i="5"/>
  <c r="BX25" i="5" l="1"/>
  <c r="BY8" i="5"/>
  <c r="BY25" i="5" l="1"/>
  <c r="BZ8" i="5"/>
  <c r="BZ25" i="5" l="1"/>
  <c r="CA8" i="5"/>
  <c r="CA25" i="5" l="1"/>
  <c r="CB8" i="5"/>
  <c r="CB25" i="5" l="1"/>
  <c r="CC8" i="5"/>
  <c r="CC25" i="5" l="1"/>
  <c r="CD8" i="5"/>
  <c r="CD25" i="5" l="1"/>
  <c r="CE8" i="5"/>
  <c r="CE25" i="5" l="1"/>
  <c r="CF8" i="5"/>
  <c r="CF25" i="5" l="1"/>
  <c r="CG8" i="5"/>
  <c r="CG25" i="5" l="1"/>
  <c r="CH8" i="5"/>
  <c r="CH25" i="5" l="1"/>
  <c r="CI8" i="5"/>
  <c r="CI25" i="5" l="1"/>
  <c r="CJ8" i="5"/>
  <c r="CJ25" i="5" l="1"/>
  <c r="CK8" i="5"/>
  <c r="CK25" i="5" l="1"/>
  <c r="CL8" i="5"/>
  <c r="CL25" i="5" l="1"/>
  <c r="CM8" i="5"/>
  <c r="CN8" i="5" l="1"/>
  <c r="CM25" i="5"/>
  <c r="CN25" i="5" l="1"/>
  <c r="CO8" i="5"/>
  <c r="CO25" i="5" l="1"/>
  <c r="CP8" i="5"/>
  <c r="CP25" i="5" l="1"/>
  <c r="CQ8" i="5"/>
  <c r="CQ25" i="5" l="1"/>
  <c r="CR8" i="5"/>
  <c r="CR25" i="5" l="1"/>
  <c r="CS8" i="5"/>
  <c r="CS25" i="5" l="1"/>
  <c r="CT8" i="5"/>
  <c r="CU8" i="5" l="1"/>
  <c r="CT25" i="5"/>
  <c r="CV8" i="5" l="1"/>
  <c r="CU25" i="5"/>
  <c r="CV25" i="5" l="1"/>
  <c r="CW8" i="5"/>
  <c r="CW25" i="5" l="1"/>
  <c r="CX8" i="5"/>
  <c r="CX25" i="5" l="1"/>
  <c r="CY8" i="5"/>
  <c r="CY25" i="5" l="1"/>
  <c r="CZ8" i="5"/>
  <c r="CZ25" i="5" l="1"/>
  <c r="DA8" i="5"/>
  <c r="DA25" i="5" l="1"/>
  <c r="DB8" i="5"/>
  <c r="DC8" i="5" l="1"/>
  <c r="DB25" i="5"/>
  <c r="DD8" i="5" l="1"/>
  <c r="DC25" i="5"/>
  <c r="DD25" i="5" l="1"/>
  <c r="DE8" i="5"/>
  <c r="DE25" i="5" l="1"/>
  <c r="DF8" i="5"/>
  <c r="DF25" i="5" l="1"/>
  <c r="DG8" i="5"/>
  <c r="DG25" i="5" l="1"/>
  <c r="DH8" i="5"/>
  <c r="DH25" i="5" l="1"/>
  <c r="DI8" i="5"/>
  <c r="DI25" i="5" l="1"/>
  <c r="DJ8" i="5"/>
  <c r="DJ25" i="5" l="1"/>
  <c r="DK8" i="5"/>
  <c r="DK25" i="5" l="1"/>
  <c r="DL8" i="5"/>
  <c r="DM8" i="5" s="1"/>
  <c r="DL25" i="5" l="1"/>
  <c r="DM25" i="5" l="1"/>
  <c r="DN8" i="5"/>
  <c r="DN25" i="5" l="1"/>
  <c r="DO8" i="5"/>
  <c r="DO25" i="5" l="1"/>
  <c r="DP8" i="5"/>
  <c r="DP25" i="5" l="1"/>
  <c r="DQ8" i="5"/>
  <c r="DQ25" i="5" l="1"/>
  <c r="DR8" i="5"/>
  <c r="DR25" i="5" l="1"/>
  <c r="DS8" i="5"/>
  <c r="DT8" i="5" s="1"/>
  <c r="DT25" i="5" l="1"/>
  <c r="DU8" i="5"/>
  <c r="DS25" i="5"/>
  <c r="DU25" i="5" l="1"/>
  <c r="DV8" i="5"/>
  <c r="N24" i="1"/>
  <c r="P24" i="1" s="1"/>
  <c r="DV25" i="5" l="1"/>
  <c r="DW8" i="5"/>
  <c r="DX8" i="5" l="1"/>
  <c r="DW25" i="5"/>
  <c r="DY8" i="5" l="1"/>
  <c r="DX25" i="5"/>
  <c r="DY25" i="5" l="1"/>
  <c r="DZ8" i="5"/>
  <c r="DZ25" i="5" l="1"/>
  <c r="EA8" i="5"/>
  <c r="EB8" i="5" l="1"/>
  <c r="EA25" i="5"/>
  <c r="EA49" i="5" s="1"/>
  <c r="EA51" i="5" s="1"/>
  <c r="EC8" i="5" l="1"/>
  <c r="EB25" i="5"/>
  <c r="EB49" i="5" s="1"/>
  <c r="EB51" i="5" s="1"/>
  <c r="EC25" i="5" l="1"/>
  <c r="EC49" i="5" s="1"/>
  <c r="EC51" i="5" s="1"/>
  <c r="ED8" i="5"/>
  <c r="ED25" i="5" l="1"/>
  <c r="ED49" i="5" s="1"/>
  <c r="ED51" i="5" s="1"/>
  <c r="EE8" i="5"/>
  <c r="EE25" i="5" l="1"/>
  <c r="EE49" i="5" s="1"/>
  <c r="EE51" i="5" s="1"/>
  <c r="EF8" i="5"/>
  <c r="EG8" i="5" l="1"/>
  <c r="EF25" i="5"/>
  <c r="EF49" i="5" s="1"/>
  <c r="EF51" i="5" s="1"/>
  <c r="EG25" i="5" l="1"/>
  <c r="EG49" i="5" s="1"/>
  <c r="EG51" i="5" s="1"/>
  <c r="EH8" i="5"/>
  <c r="EH25" i="5" l="1"/>
  <c r="EH49" i="5" s="1"/>
  <c r="EH51" i="5" s="1"/>
  <c r="EI8" i="5"/>
  <c r="EJ8" i="5" l="1"/>
  <c r="EI25" i="5"/>
  <c r="EI49" i="5" s="1"/>
  <c r="EI51" i="5" s="1"/>
  <c r="EK8" i="5" l="1"/>
  <c r="EJ25" i="5"/>
  <c r="EJ49" i="5" s="1"/>
  <c r="EJ51" i="5" s="1"/>
  <c r="EL8" i="5" l="1"/>
  <c r="EK25" i="5"/>
  <c r="EK49" i="5" s="1"/>
  <c r="EK51" i="5" s="1"/>
  <c r="EM8" i="5" l="1"/>
  <c r="EL25" i="5"/>
  <c r="EL49" i="5" s="1"/>
  <c r="EL51" i="5" s="1"/>
  <c r="EN8" i="5" l="1"/>
  <c r="EM25" i="5"/>
  <c r="EM49" i="5" s="1"/>
  <c r="EM51" i="5" s="1"/>
  <c r="EO8" i="5" l="1"/>
  <c r="EN25" i="5"/>
  <c r="EN49" i="5" s="1"/>
  <c r="EN51" i="5" s="1"/>
  <c r="EP8" i="5" l="1"/>
  <c r="EO25" i="5"/>
  <c r="EO49" i="5" s="1"/>
  <c r="EO51" i="5" s="1"/>
  <c r="EP25" i="5" l="1"/>
  <c r="EP49" i="5" s="1"/>
  <c r="EP51" i="5" s="1"/>
  <c r="EQ8" i="5"/>
  <c r="EQ25" i="5" l="1"/>
  <c r="EQ49" i="5" s="1"/>
  <c r="EQ51" i="5" s="1"/>
  <c r="ER8" i="5"/>
  <c r="ES8" i="5" l="1"/>
  <c r="ER25" i="5"/>
  <c r="ER49" i="5" s="1"/>
  <c r="ER51" i="5" s="1"/>
  <c r="ET8" i="5" l="1"/>
  <c r="ES25" i="5"/>
  <c r="ES49" i="5" s="1"/>
  <c r="ES51" i="5" s="1"/>
  <c r="ET25" i="5" l="1"/>
  <c r="ET49" i="5" s="1"/>
  <c r="ET51" i="5" s="1"/>
  <c r="EU8" i="5"/>
  <c r="EU25" i="5" l="1"/>
  <c r="EU49" i="5" s="1"/>
  <c r="EU51" i="5" s="1"/>
  <c r="EV8" i="5"/>
  <c r="EW8" i="5" l="1"/>
  <c r="EV25" i="5"/>
  <c r="EV49" i="5" s="1"/>
  <c r="EV51" i="5" s="1"/>
  <c r="EW25" i="5" l="1"/>
  <c r="EW49" i="5" s="1"/>
  <c r="EW51" i="5" s="1"/>
  <c r="EX8" i="5"/>
  <c r="EX25" i="5" l="1"/>
  <c r="EX49" i="5" s="1"/>
  <c r="EX51" i="5" s="1"/>
  <c r="EY8" i="5"/>
  <c r="EY25" i="5" l="1"/>
  <c r="EY49" i="5" s="1"/>
  <c r="EY51" i="5" s="1"/>
  <c r="EZ8" i="5"/>
  <c r="FA8" i="5" l="1"/>
  <c r="EZ25" i="5"/>
  <c r="EZ49" i="5" s="1"/>
  <c r="EZ51" i="5" s="1"/>
  <c r="FA25" i="5" l="1"/>
  <c r="FA49" i="5" s="1"/>
  <c r="FA51" i="5" s="1"/>
  <c r="FB8" i="5"/>
  <c r="FC8" i="5" l="1"/>
  <c r="FC25" i="5" s="1"/>
  <c r="FC49" i="5" s="1"/>
  <c r="FB25" i="5"/>
  <c r="FB49" i="5" s="1"/>
  <c r="FB51" i="5" s="1"/>
  <c r="FC5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tc={C34EC510-D9FD-46BB-88B7-D30103C4C4E4}</author>
    <author>tc={35FB91E7-3876-4444-B19B-704E2076DE9D}</author>
    <author>tc={C64ACB6A-5E0B-44EA-942C-1C021CDA7E0D}</author>
  </authors>
  <commentList>
    <comment ref="B4" authorId="0" shapeId="0" xr:uid="{9980707C-BB48-4077-8875-A166D112679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valdiate line with bad debt package</t>
        </r>
      </text>
    </comment>
    <comment ref="BO4" authorId="0" shapeId="0" xr:uid="{6DEA774D-7666-446D-A20E-E7FFBA2A703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Adjusted out Winn Dixe</t>
        </r>
      </text>
    </comment>
    <comment ref="BP4" authorId="0" shapeId="0" xr:uid="{E1DB9AD7-9526-4126-811C-8527FC153BB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Adjusted out Winn Dixe</t>
        </r>
      </text>
    </comment>
    <comment ref="B6" authorId="0" shapeId="0" xr:uid="{8D49133C-F849-486F-9FA9-A8E1A8E67E1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line updated with 1420400 forecast file results (line 37), validate line with bad debt package</t>
        </r>
      </text>
    </comment>
    <comment ref="B8" authorId="0" shapeId="0" xr:uid="{8E07B230-EC3D-4096-89A9-E8D1B411B00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After monthly actuals are updated, validate line with  bad debt package</t>
        </r>
      </text>
    </comment>
    <comment ref="DM8" authorId="1" shapeId="0" xr:uid="{C34EC510-D9FD-46BB-88B7-D30103C4C4E4}">
      <text>
        <t>[Threaded comment]
Your version of Excel allows you to read this threaded comment; however, any edits to it will get removed if the file is opened in a newer version of Excel. Learn more: https://go.microsoft.com/fwlink/?linkid=870924
Comment:
    Customer Reserve Manual Adjustment of $2M</t>
      </text>
    </comment>
    <comment ref="B15" authorId="0" shapeId="0" xr:uid="{4D769735-2C7F-4264-8012-ECAEC8C9A3D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valdiate line with bad debt package, monthly bad debt expense</t>
        </r>
      </text>
    </comment>
    <comment ref="B16" authorId="0" shapeId="0" xr:uid="{93F4D323-33F0-4395-811C-4055F0D6532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valdiate line with bad debt package, monthly bad debt reserve adjustment</t>
        </r>
      </text>
    </comment>
    <comment ref="CR16" authorId="2" shapeId="0" xr:uid="{35FB91E7-3876-4444-B19B-704E2076DE9D}">
      <text>
        <t>[Threaded comment]
Your version of Excel allows you to read this threaded comment; however, any edits to it will get removed if the file is opened in a newer version of Excel. Learn more: https://go.microsoft.com/fwlink/?linkid=870924
Comment:
    American Info Age</t>
      </text>
    </comment>
    <comment ref="DG16" authorId="3" shapeId="0" xr:uid="{C64ACB6A-5E0B-44EA-942C-1C021CDA7E0D}">
      <text>
        <t>[Threaded comment]
Your version of Excel allows you to read this threaded comment; however, any edits to it will get removed if the file is opened in a newer version of Excel. Learn more: https://go.microsoft.com/fwlink/?linkid=870924
Comment:
    Customer Reserve Adjustment (CE Initiative)</t>
      </text>
    </comment>
    <comment ref="B34" authorId="0" shapeId="0" xr:uid="{470D1CB6-CF69-4A69-B867-6AEE2C709A6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line updated with 1420400 forecast file results (line 39).  We don’t forecast below 1420400, actuals include 1420000 - 1429999</t>
        </r>
      </text>
    </comment>
    <comment ref="P34" authorId="0" shapeId="0" xr:uid="{3B7413F2-8DA7-4B1E-B288-A2F98DE9607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B34" authorId="0" shapeId="0" xr:uid="{7A70877F-4538-4178-ABC3-C96675BD78D7}">
      <text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C34" authorId="0" shapeId="0" xr:uid="{AF0ECA66-353F-44C9-8AC0-9A3B135C80D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D34" authorId="0" shapeId="0" xr:uid="{C683B8ED-4082-4641-9F50-EB5CC8D9C12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E34" authorId="0" shapeId="0" xr:uid="{F2FEC4EF-2735-4A49-B549-E1F51AB61ED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F34" authorId="0" shapeId="0" xr:uid="{12C7C8E8-A647-471D-81B8-EE57CC69A50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G34" authorId="0" shapeId="0" xr:uid="{78FF02C5-95CA-4A27-A895-B0109DA2F27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H34" authorId="0" shapeId="0" xr:uid="{C4500D7E-2A77-4E4B-AA75-FF295C31FEA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I34" authorId="0" shapeId="0" xr:uid="{C1CFD005-4377-4D54-A249-6CE9E634203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EA63" authorId="0" shapeId="0" xr:uid="{F9E325A1-ABD0-434D-99FF-E874AF7445D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Run 1440000-1440002 in FAGLB and paste balance for the month.</t>
        </r>
      </text>
    </comment>
    <comment ref="B71" authorId="0" shapeId="0" xr:uid="{E09A8477-D099-4A5A-81F7-1A8C794911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line goes into the main foreast file (row 40)</t>
        </r>
      </text>
    </comment>
    <comment ref="B72" authorId="0" shapeId="0" xr:uid="{976E1264-5A60-463A-B1EE-5D38E04D9E2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line goes into the main foreast file (row 41)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tc={1E23E1F7-9E43-41D2-8EAE-2E13D02269F9}</author>
    <author>tc={C280F783-441B-4801-A209-BA57A1928738}</author>
    <author>tc={91380F87-8CB9-4F00-BC43-A2AE2D9A825C}</author>
  </authors>
  <commentList>
    <comment ref="B4" authorId="0" shapeId="0" xr:uid="{F3A48B1F-169E-4479-88C6-BC99E79B1C2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valdiate line with bad debt package; accounts 1440000-1440002
</t>
        </r>
      </text>
    </comment>
    <comment ref="BO4" authorId="0" shapeId="0" xr:uid="{6597AFE1-691E-42E8-83AF-15FF83A03BF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Adjusted out Winn Dixe</t>
        </r>
      </text>
    </comment>
    <comment ref="BP4" authorId="0" shapeId="0" xr:uid="{88DEB264-8125-4CB4-BA73-BE61A43909A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Adjusted out Winn Dixe</t>
        </r>
      </text>
    </comment>
    <comment ref="B6" authorId="0" shapeId="0" xr:uid="{14318884-BEC5-4A69-B4E5-2323578B82E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line updated with 1420400 forecast file results (line 37), validate line with bad debt package</t>
        </r>
      </text>
    </comment>
    <comment ref="B8" authorId="0" shapeId="0" xr:uid="{5CDD06CF-4414-455D-BCD9-CE55A2930ED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After monthly actuals are updated, validate line with  bad debt package</t>
        </r>
      </text>
    </comment>
    <comment ref="DM8" authorId="1" shapeId="0" xr:uid="{1E23E1F7-9E43-41D2-8EAE-2E13D02269F9}">
      <text>
        <t>[Threaded comment]
Your version of Excel allows you to read this threaded comment; however, any edits to it will get removed if the file is opened in a newer version of Excel. Learn more: https://go.microsoft.com/fwlink/?linkid=870924
Comment:
    Customer Reserve Manual Adjustment of $2M</t>
      </text>
    </comment>
    <comment ref="B15" authorId="0" shapeId="0" xr:uid="{4F84E4FA-18FC-42FC-AA17-9FE3F68840F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valdiate line with bad debt package, monthly bad debt expense</t>
        </r>
      </text>
    </comment>
    <comment ref="B16" authorId="0" shapeId="0" xr:uid="{3B93C4A2-68CB-4DEB-B626-7C378876826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valdiate line with bad debt package, monthly bad debt reserve adjustment</t>
        </r>
      </text>
    </comment>
    <comment ref="CR16" authorId="2" shapeId="0" xr:uid="{C280F783-441B-4801-A209-BA57A1928738}">
      <text>
        <t>[Threaded comment]
Your version of Excel allows you to read this threaded comment; however, any edits to it will get removed if the file is opened in a newer version of Excel. Learn more: https://go.microsoft.com/fwlink/?linkid=870924
Comment:
    American Info Age</t>
      </text>
    </comment>
    <comment ref="DG16" authorId="3" shapeId="0" xr:uid="{91380F87-8CB9-4F00-BC43-A2AE2D9A825C}">
      <text>
        <t>[Threaded comment]
Your version of Excel allows you to read this threaded comment; however, any edits to it will get removed if the file is opened in a newer version of Excel. Learn more: https://go.microsoft.com/fwlink/?linkid=870924
Comment:
    Customer Reserve Adjustment (CE Initiative)</t>
      </text>
    </comment>
    <comment ref="B34" authorId="0" shapeId="0" xr:uid="{DE330EDF-043E-4CF8-9618-F790A2DCC13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line updated with 1420400 forecast file results (line 39).  We don’t forecast below 1420400, actuals include 1420000 - 1429999</t>
        </r>
      </text>
    </comment>
    <comment ref="P34" authorId="0" shapeId="0" xr:uid="{EA7704A7-04EF-48C1-A5B9-9B6CD077C8D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B34" authorId="0" shapeId="0" xr:uid="{E490EEBE-A7E2-4AF9-81AF-D556832B35E1}">
      <text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C34" authorId="0" shapeId="0" xr:uid="{F017D889-CE62-4D6B-AE27-C2864D6F43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D34" authorId="0" shapeId="0" xr:uid="{A34AFB89-E136-4BC9-9D5D-6C08E032189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E34" authorId="0" shapeId="0" xr:uid="{67A4945D-4A7F-4E93-A964-D4E1D4186C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F34" authorId="0" shapeId="0" xr:uid="{5056E6EE-24FB-419E-891F-AF8022D09DA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G34" authorId="0" shapeId="0" xr:uid="{149BC483-19A6-4BE4-9290-B2D2253FF4F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H34" authorId="0" shapeId="0" xr:uid="{B76CD8E3-9A24-4014-8AED-E07CECA2B52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AI34" authorId="0" shapeId="0" xr:uid="{3A1374A2-F17C-40E3-98C1-03BEEDCB02E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 for now</t>
        </r>
      </text>
    </comment>
    <comment ref="CM62" authorId="0" shapeId="0" xr:uid="{7B8A9111-EF17-4132-AFA8-82E393B94CB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Run 1440000-1440002 in FAGLB and paste balance for the month.
</t>
        </r>
      </text>
    </comment>
    <comment ref="B71" authorId="0" shapeId="0" xr:uid="{E388F887-045D-4508-840B-70543030BFA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line goes into the main foreast file (row 40)</t>
        </r>
      </text>
    </comment>
    <comment ref="B72" authorId="0" shapeId="0" xr:uid="{89C7DCC3-7AB4-44CD-BD94-662DAEB2723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line goes into the main foreast file (row 41)</t>
        </r>
      </text>
    </comment>
  </commentList>
</comments>
</file>

<file path=xl/sharedStrings.xml><?xml version="1.0" encoding="utf-8"?>
<sst xmlns="http://schemas.openxmlformats.org/spreadsheetml/2006/main" count="4047" uniqueCount="604">
  <si>
    <t>SCHEDULE C-11</t>
  </si>
  <si>
    <t>Uncollectible Accounts</t>
  </si>
  <si>
    <t>Page 1 of 1</t>
  </si>
  <si>
    <t>FLORIDA PUBLIC SERVICE COMMISSION</t>
  </si>
  <si>
    <t>EXPLANATION:</t>
  </si>
  <si>
    <t xml:space="preserve">Provide the following information concerning bad debts for the four most recent historical years and the test year.  </t>
  </si>
  <si>
    <t xml:space="preserve">       Type of data shown:</t>
  </si>
  <si>
    <t>In addition, provide a calculation of the bad debt component of the Revenue Expansion Factor.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</si>
  <si>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</si>
  <si>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</si>
  <si>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</si>
  <si>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</si>
  <si>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</si>
  <si>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(Dollars in 000's)</t>
  </si>
  <si>
    <t>(1)</t>
  </si>
  <si>
    <t>(2)</t>
  </si>
  <si>
    <t>(3)</t>
  </si>
  <si>
    <t>(4)</t>
  </si>
  <si>
    <t>(5)</t>
  </si>
  <si>
    <t>Gross Revenues</t>
  </si>
  <si>
    <t>Adjustments</t>
  </si>
  <si>
    <t>Adjusted</t>
  </si>
  <si>
    <t>Write-Offs</t>
  </si>
  <si>
    <t>From Sales Of</t>
  </si>
  <si>
    <t>to Gross</t>
  </si>
  <si>
    <t>Gross</t>
  </si>
  <si>
    <t>Bad Debt</t>
  </si>
  <si>
    <t>Line</t>
  </si>
  <si>
    <t>Year</t>
  </si>
  <si>
    <t>(Retail)</t>
  </si>
  <si>
    <t>Electricity</t>
  </si>
  <si>
    <t>Revenues</t>
  </si>
  <si>
    <t>Factor</t>
  </si>
  <si>
    <t>No.</t>
  </si>
  <si>
    <t>(Specify)</t>
  </si>
  <si>
    <t>(1)/(2)</t>
  </si>
  <si>
    <t>check</t>
  </si>
  <si>
    <t>Actual</t>
  </si>
  <si>
    <t>Budget</t>
  </si>
  <si>
    <t>Totals may be affected due to rounding.</t>
  </si>
  <si>
    <t xml:space="preserve">Supporting Schedules: </t>
  </si>
  <si>
    <t>Recap Schedules: C-44</t>
  </si>
  <si>
    <t>Pre AT</t>
  </si>
  <si>
    <t>Forecast</t>
  </si>
  <si>
    <t>Bad Debt Expense Budget</t>
  </si>
  <si>
    <t>Net Write-Off</t>
  </si>
  <si>
    <t>Net Write-Off %</t>
  </si>
  <si>
    <t>Electric Billed + Misc. Service Revenues</t>
  </si>
  <si>
    <t>% Increase over Prior Year</t>
  </si>
  <si>
    <t>Reserve Balance</t>
  </si>
  <si>
    <t>12 Months of Write-Offs</t>
  </si>
  <si>
    <t>12 Months of Revenues (3 month lag)</t>
  </si>
  <si>
    <t>% of 12 Months Bad Debt Write Offs to Revenues</t>
  </si>
  <si>
    <t>(with 3 month lag)</t>
  </si>
  <si>
    <t>Unadj Exp</t>
  </si>
  <si>
    <t>Adj to Exp</t>
  </si>
  <si>
    <t>Actual/Reforecast (Input) 6790010</t>
  </si>
  <si>
    <t>Cumulative Actual/Reforecast</t>
  </si>
  <si>
    <t>Plan Approved</t>
  </si>
  <si>
    <t>Cumulative Plan</t>
  </si>
  <si>
    <t>Cumulative Variance</t>
  </si>
  <si>
    <t xml:space="preserve">A/R Budget </t>
  </si>
  <si>
    <t>Approx. Minimum Reserve Balance</t>
  </si>
  <si>
    <t>Reserve Bal. in excess of Minimum</t>
  </si>
  <si>
    <t>1 Year Look Back Net Write Off %</t>
  </si>
  <si>
    <t>Change over look back write off</t>
  </si>
  <si>
    <t>Net Write-Off % used to forecast</t>
  </si>
  <si>
    <t>CRB Go-Live</t>
  </si>
  <si>
    <t>CRB Stablization</t>
  </si>
  <si>
    <t>Irma Storm</t>
  </si>
  <si>
    <t>Questionable</t>
  </si>
  <si>
    <t>Actual %</t>
  </si>
  <si>
    <t>Use 2019</t>
  </si>
  <si>
    <t>Use 2020</t>
  </si>
  <si>
    <t>Use 2021</t>
  </si>
  <si>
    <t>Use 2022</t>
  </si>
  <si>
    <t>Use 2023</t>
  </si>
  <si>
    <t>Use 2024</t>
  </si>
  <si>
    <t>Use 2025</t>
  </si>
  <si>
    <t>Use 2026</t>
  </si>
  <si>
    <t>Use 2027</t>
  </si>
  <si>
    <t>Use 2028</t>
  </si>
  <si>
    <t>Use 2029</t>
  </si>
  <si>
    <t>Use 2030</t>
  </si>
  <si>
    <t>Use 2031</t>
  </si>
  <si>
    <t>Not Reliable</t>
  </si>
  <si>
    <t>Use for 2019</t>
  </si>
  <si>
    <t>Use for 2020</t>
  </si>
  <si>
    <t>Is Pr Yr reliable</t>
  </si>
  <si>
    <t>Use for 2021</t>
  </si>
  <si>
    <t>Use for 2022</t>
  </si>
  <si>
    <t>Use for 2023</t>
  </si>
  <si>
    <t xml:space="preserve">142 Accounts Receivable </t>
  </si>
  <si>
    <t>173.01 Accrued Utility Receivable</t>
  </si>
  <si>
    <t>Accrued Utility Receivable (Clauses)</t>
  </si>
  <si>
    <t>Total</t>
  </si>
  <si>
    <t>Aug Actual</t>
  </si>
  <si>
    <t>immat. difference</t>
  </si>
  <si>
    <t>Restitution/Bankruptcies</t>
  </si>
  <si>
    <t>Timing of Writeoffs</t>
  </si>
  <si>
    <t>/Lighting</t>
  </si>
  <si>
    <t>Restitution/Cleanup</t>
  </si>
  <si>
    <t>Reserve Adjustment</t>
  </si>
  <si>
    <t>make row 22 = 8</t>
  </si>
  <si>
    <t>make row 22 = 9</t>
  </si>
  <si>
    <t>make row 22 = 10</t>
  </si>
  <si>
    <t>make row 22 = 11</t>
  </si>
  <si>
    <t>make row 22 = 12</t>
  </si>
  <si>
    <t>make row 22 = 13</t>
  </si>
  <si>
    <t>make row 22 = 14</t>
  </si>
  <si>
    <t>make row 22 = 15</t>
  </si>
  <si>
    <t>make row 22 = 16</t>
  </si>
  <si>
    <t>make row 22 = 17</t>
  </si>
  <si>
    <t>make row 22 = 18</t>
  </si>
  <si>
    <t>make row 22 = 19</t>
  </si>
  <si>
    <t>make row 22 = 20</t>
  </si>
  <si>
    <t>make row 22 = 21</t>
  </si>
  <si>
    <t>make row 22 = 22</t>
  </si>
  <si>
    <t>make row 22 = 23</t>
  </si>
  <si>
    <t>make row 22 = 24</t>
  </si>
  <si>
    <t>Pandemic Reserve Adjustment</t>
  </si>
  <si>
    <t>Pandemic Forecast</t>
  </si>
  <si>
    <t>Budget (with adjustment)</t>
  </si>
  <si>
    <t>Clause Unbilled factor to use</t>
  </si>
  <si>
    <t>Bad Debt Expense Accrual Forecast Update</t>
  </si>
  <si>
    <t>New Write-offs Forecast Update</t>
  </si>
  <si>
    <t>Booked Amount</t>
  </si>
  <si>
    <t>Entered in EPM:</t>
  </si>
  <si>
    <t>REPORT_ID</t>
  </si>
  <si>
    <t>REPORT CELLS</t>
  </si>
  <si>
    <t xml:space="preserve">EPMOLAP </t>
  </si>
  <si>
    <t>SUPRESS ZERO</t>
  </si>
  <si>
    <t>REPORT_NAME</t>
  </si>
  <si>
    <t>REVENUES_SKF</t>
  </si>
  <si>
    <t>INPUT CELLS</t>
  </si>
  <si>
    <t>NO SUPRESS ZERO</t>
  </si>
  <si>
    <t>REPORT_MODEL</t>
  </si>
  <si>
    <t>TECO_PLANNING</t>
  </si>
  <si>
    <t>LOCAL MEMBER</t>
  </si>
  <si>
    <t>EPMCOPYRANGE</t>
  </si>
  <si>
    <t>EPMCopyRange(B1,TRUE,F4:AM4,TRUE)</t>
  </si>
  <si>
    <t>C_ACCOUNT</t>
  </si>
  <si>
    <t>ROW AXIS</t>
  </si>
  <si>
    <t>&lt;&lt; ROW AXIS</t>
  </si>
  <si>
    <t>CATEGORY</t>
  </si>
  <si>
    <t>COL AXIS</t>
  </si>
  <si>
    <t>&lt;&lt; COL AXIS</t>
  </si>
  <si>
    <t>FORECAST</t>
  </si>
  <si>
    <t>REVENUES</t>
  </si>
  <si>
    <t>COSTCENTER</t>
  </si>
  <si>
    <r>
      <t xml:space="preserve">&lt;&lt; </t>
    </r>
    <r>
      <rPr>
        <b/>
        <sz val="9"/>
        <color rgb="FF0000FF"/>
        <rFont val="Calibri"/>
        <family val="2"/>
        <scheme val="minor"/>
      </rPr>
      <t>PICK</t>
    </r>
  </si>
  <si>
    <t>WKG_BUDGET</t>
  </si>
  <si>
    <t>ELECTRIC</t>
  </si>
  <si>
    <t>DATASOURCE</t>
  </si>
  <si>
    <t>F1FINAL</t>
  </si>
  <si>
    <t>INPUT</t>
  </si>
  <si>
    <t>GAS</t>
  </si>
  <si>
    <t>EPMOLAP</t>
  </si>
  <si>
    <t>ENTITY</t>
  </si>
  <si>
    <t>WB1FINAL</t>
  </si>
  <si>
    <t>UNREGULATED</t>
  </si>
  <si>
    <t>TIME</t>
  </si>
  <si>
    <t>FLOW</t>
  </si>
  <si>
    <t>&lt;&lt; FIXED</t>
  </si>
  <si>
    <t>F1ALLOCABLE</t>
  </si>
  <si>
    <t>ALLOCABLE</t>
  </si>
  <si>
    <t>SVC_CO_REV</t>
  </si>
  <si>
    <t>I_ENTITY</t>
  </si>
  <si>
    <t>WB1ALLOCABLE</t>
  </si>
  <si>
    <r>
      <t xml:space="preserve">Select </t>
    </r>
    <r>
      <rPr>
        <b/>
        <sz val="8"/>
        <color rgb="FF0000FF"/>
        <rFont val="Calibri"/>
        <family val="2"/>
        <scheme val="minor"/>
      </rPr>
      <t>CCTR TYPE</t>
    </r>
    <r>
      <rPr>
        <b/>
        <sz val="8"/>
        <rFont val="Calibri"/>
        <family val="2"/>
        <scheme val="minor"/>
      </rPr>
      <t xml:space="preserve"> &gt;&gt;&gt;</t>
    </r>
  </si>
  <si>
    <t>FINAL</t>
  </si>
  <si>
    <t>RPTCURRENCY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</si>
  <si>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</si>
  <si>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</si>
  <si>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</si>
  <si>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</si>
  <si>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</si>
  <si>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</si>
  <si>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</si>
  <si>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</si>
  <si>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</si>
  <si>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</si>
  <si>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</si>
  <si>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</si>
  <si>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</si>
  <si>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      Labor Fringe and Payroll Taxes</t>
  </si>
  <si>
    <t xml:space="preserve">      LABOR_FRINGE</t>
  </si>
  <si>
    <t>MEASURES</t>
  </si>
  <si>
    <r>
      <t xml:space="preserve">Select </t>
    </r>
    <r>
      <rPr>
        <b/>
        <sz val="8"/>
        <color rgb="FF0000FF"/>
        <rFont val="Calibri"/>
        <family val="2"/>
        <scheme val="minor"/>
      </rPr>
      <t>ACCOUNT</t>
    </r>
    <r>
      <rPr>
        <b/>
        <sz val="8"/>
        <rFont val="Calibri"/>
        <family val="2"/>
        <scheme val="minor"/>
      </rPr>
      <t xml:space="preserve"> &gt;&gt;&gt;</t>
    </r>
  </si>
  <si>
    <t>EXPENSES_3611</t>
  </si>
  <si>
    <t xml:space="preserve">          Settled Labor Expense</t>
  </si>
  <si>
    <t xml:space="preserve">          A_S6010000</t>
  </si>
  <si>
    <t>GLOBAL VARIABLES</t>
  </si>
  <si>
    <t>&lt;&lt; PICK</t>
  </si>
  <si>
    <t>LECTRIC</t>
  </si>
  <si>
    <t>EPMDIMOVERRIDE</t>
  </si>
  <si>
    <t>Customers(Bills)</t>
  </si>
  <si>
    <r>
      <t xml:space="preserve">Select </t>
    </r>
    <r>
      <rPr>
        <b/>
        <sz val="8"/>
        <color rgb="FF0000FF"/>
        <rFont val="Calibri"/>
        <family val="2"/>
        <scheme val="minor"/>
      </rPr>
      <t>REVENUE TYPE</t>
    </r>
    <r>
      <rPr>
        <b/>
        <sz val="8"/>
        <rFont val="Calibri"/>
        <family val="2"/>
        <scheme val="minor"/>
      </rPr>
      <t xml:space="preserve"> &gt;&gt;&gt;</t>
    </r>
  </si>
  <si>
    <t>Mega Watt Hours</t>
  </si>
  <si>
    <r>
      <t xml:space="preserve">Select </t>
    </r>
    <r>
      <rPr>
        <b/>
        <sz val="8"/>
        <color rgb="FF0000FF"/>
        <rFont val="Calibri"/>
        <family val="2"/>
        <scheme val="minor"/>
      </rPr>
      <t>PROFIT CENTER</t>
    </r>
    <r>
      <rPr>
        <b/>
        <sz val="8"/>
        <rFont val="Calibri"/>
        <family val="2"/>
        <scheme val="minor"/>
      </rPr>
      <t xml:space="preserve"> &gt;&gt;&gt;</t>
    </r>
  </si>
  <si>
    <t>1002</t>
  </si>
  <si>
    <t>WORKING BUDGET</t>
  </si>
  <si>
    <t>Therms</t>
  </si>
  <si>
    <r>
      <t xml:space="preserve">Select </t>
    </r>
    <r>
      <rPr>
        <b/>
        <sz val="8"/>
        <color rgb="FF0000FF"/>
        <rFont val="Calibri"/>
        <family val="2"/>
        <scheme val="minor"/>
      </rPr>
      <t>ENTITY</t>
    </r>
    <r>
      <rPr>
        <b/>
        <sz val="8"/>
        <rFont val="Calibri"/>
        <family val="2"/>
        <scheme val="minor"/>
      </rPr>
      <t xml:space="preserve"> &gt;&gt;&gt;</t>
    </r>
  </si>
  <si>
    <t>E_2201</t>
  </si>
  <si>
    <t>ALL PROFIT CENTERS</t>
  </si>
  <si>
    <t>ENTRY CELL</t>
  </si>
  <si>
    <t>ALLOCABLE+FINAL</t>
  </si>
  <si>
    <r>
      <t xml:space="preserve">Select </t>
    </r>
    <r>
      <rPr>
        <b/>
        <sz val="8"/>
        <color rgb="FF0000FF"/>
        <rFont val="Calibri"/>
        <family val="2"/>
        <scheme val="minor"/>
      </rPr>
      <t>TIME</t>
    </r>
    <r>
      <rPr>
        <b/>
        <sz val="8"/>
        <rFont val="Calibri"/>
        <family val="2"/>
        <scheme val="minor"/>
      </rPr>
      <t xml:space="preserve"> &gt;&gt;&gt;</t>
    </r>
  </si>
  <si>
    <t>2025.TOTAL</t>
  </si>
  <si>
    <t>Tampa Electric</t>
  </si>
  <si>
    <t>CHANGED CELL</t>
  </si>
  <si>
    <r>
      <t xml:space="preserve">Select </t>
    </r>
    <r>
      <rPr>
        <b/>
        <sz val="8"/>
        <color rgb="FF0000FF"/>
        <rFont val="Calibri"/>
        <family val="2"/>
        <scheme val="minor"/>
      </rPr>
      <t>CATEGORY</t>
    </r>
    <r>
      <rPr>
        <b/>
        <sz val="8"/>
        <rFont val="Calibri"/>
        <family val="2"/>
        <scheme val="minor"/>
      </rPr>
      <t xml:space="preserve"> &gt;&gt;&gt;</t>
    </r>
  </si>
  <si>
    <t>2025 TOTAL</t>
  </si>
  <si>
    <r>
      <rPr>
        <b/>
        <sz val="9"/>
        <color rgb="FFC00000"/>
        <rFont val="Calibri"/>
        <family val="2"/>
        <scheme val="minor"/>
      </rPr>
      <t>STEP #1</t>
    </r>
    <r>
      <rPr>
        <b/>
        <sz val="9"/>
        <color theme="1"/>
        <rFont val="Calibri"/>
        <family val="2"/>
        <scheme val="minor"/>
      </rPr>
      <t xml:space="preserve"> - BEFORE STARTING ANY WORK ON THIS TAB, PLEASE RUN A REFRESH.</t>
    </r>
  </si>
  <si>
    <t>TECO REVENUE ALL</t>
  </si>
  <si>
    <r>
      <rPr>
        <b/>
        <sz val="9"/>
        <color rgb="FFC00000"/>
        <rFont val="Calibri"/>
        <family val="2"/>
        <scheme val="minor"/>
      </rPr>
      <t>STEP #2</t>
    </r>
    <r>
      <rPr>
        <b/>
        <sz val="9"/>
        <color theme="1"/>
        <rFont val="Calibri"/>
        <family val="2"/>
        <scheme val="minor"/>
      </rPr>
      <t xml:space="preserve"> - ONCE FINISHED, PLEASE CLICK ON THE SAVE BUTTON TO ENTER INTO THE DATABASE.</t>
    </r>
  </si>
  <si>
    <t/>
  </si>
  <si>
    <t>ACCOUNT ID</t>
  </si>
  <si>
    <t>ACCOUNT DESCRIPTION</t>
  </si>
  <si>
    <t>2025 JAN</t>
  </si>
  <si>
    <t>2025 FEB</t>
  </si>
  <si>
    <t>2025 MAR</t>
  </si>
  <si>
    <t>2025 APR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</si>
  <si>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</si>
  <si>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</si>
  <si>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</si>
  <si>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</si>
  <si>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</si>
  <si>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</si>
  <si>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</si>
  <si>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</si>
  <si>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REG_ELEC_GAS</t>
  </si>
  <si>
    <t>Regulated Electric and Gas</t>
  </si>
  <si>
    <t>Electric</t>
  </si>
  <si>
    <t>RESIDENTIAL</t>
  </si>
  <si>
    <t>Residential</t>
  </si>
  <si>
    <t>A_4400010</t>
  </si>
  <si>
    <t>Residential Base Revenue</t>
  </si>
  <si>
    <t>A_4400020</t>
  </si>
  <si>
    <t>Residential Sales Fuel Adjustment Revenue</t>
  </si>
  <si>
    <t>A_4400030</t>
  </si>
  <si>
    <t>Residential Capacity Revenue</t>
  </si>
  <si>
    <t>A_4400040</t>
  </si>
  <si>
    <t>Residential Conservation Revenue</t>
  </si>
  <si>
    <t>A_4400050</t>
  </si>
  <si>
    <t>Residential Environmental Revenue</t>
  </si>
  <si>
    <t>A_4400060</t>
  </si>
  <si>
    <t>Residential Franchise Revenue</t>
  </si>
  <si>
    <t>A_4400070</t>
  </si>
  <si>
    <t>Residential Gross Receipts Tax Revenue</t>
  </si>
  <si>
    <t>A_4400090</t>
  </si>
  <si>
    <t>Residential Storm Revenue</t>
  </si>
  <si>
    <t>A_4400091</t>
  </si>
  <si>
    <t>Residential CETM Revenue</t>
  </si>
  <si>
    <t>COMMERCIAL</t>
  </si>
  <si>
    <t>Commercial</t>
  </si>
  <si>
    <t>LARGE_COMMERCIAL</t>
  </si>
  <si>
    <t>Large Commercial</t>
  </si>
  <si>
    <t>A_4420110</t>
  </si>
  <si>
    <t>Commercial Large Base Revenue</t>
  </si>
  <si>
    <t>A_4420120</t>
  </si>
  <si>
    <t>Commercial Large Sales Fuel Adjustment</t>
  </si>
  <si>
    <t>A_4420130</t>
  </si>
  <si>
    <t>Commercial Large Capacity Revenue</t>
  </si>
  <si>
    <t>A_4420140</t>
  </si>
  <si>
    <t>Commercial Large Conservation Revenue</t>
  </si>
  <si>
    <t>A_4420150</t>
  </si>
  <si>
    <t>Commercial Large Environmental Revenue</t>
  </si>
  <si>
    <t>A_4420160</t>
  </si>
  <si>
    <t>Commercial Large Franchise Revenue</t>
  </si>
  <si>
    <t>A_4420170</t>
  </si>
  <si>
    <t>Commercial Large Gross Receipts Tax Revenue</t>
  </si>
  <si>
    <t>A_4420190</t>
  </si>
  <si>
    <t>Commercial Large Storm Revenue</t>
  </si>
  <si>
    <t>A_4420191</t>
  </si>
  <si>
    <t>Commercial Large CETM Revenue</t>
  </si>
  <si>
    <t>INDUSTRIAL</t>
  </si>
  <si>
    <t>Industrial</t>
  </si>
  <si>
    <t>INDUSTRIAL-PHOSPHATE</t>
  </si>
  <si>
    <t>Industrial-Phosphate</t>
  </si>
  <si>
    <t>LARGE_PHOSPHATE</t>
  </si>
  <si>
    <t>Large Phosphate</t>
  </si>
  <si>
    <t>A_4420310</t>
  </si>
  <si>
    <t>Industrial-Phosphate Large Base Revenue</t>
  </si>
  <si>
    <t>A_4420320</t>
  </si>
  <si>
    <t>Industrial-Phosphate Large Sales Fuel Adjustment</t>
  </si>
  <si>
    <t>A_4420330</t>
  </si>
  <si>
    <t>Industrial-Phosphate Large Capacity Revenue</t>
  </si>
  <si>
    <t>A_4420340</t>
  </si>
  <si>
    <t>Industrial-Phosphate Large Conservation Revenue</t>
  </si>
  <si>
    <t>A_4420350</t>
  </si>
  <si>
    <t>Industrial-Phosphate Large Environmental Revenue</t>
  </si>
  <si>
    <t>A_4420370</t>
  </si>
  <si>
    <t>Industrial-Phosphate Large Gross Receipts Tax Rev</t>
  </si>
  <si>
    <t>A_4420390</t>
  </si>
  <si>
    <t>Industrial-Phosphate Large Storm Revenue</t>
  </si>
  <si>
    <t>A_4420391</t>
  </si>
  <si>
    <t>Industrial-Phosphate Large CETM Revenue</t>
  </si>
  <si>
    <t>INDUSTRIAL-OTHER</t>
  </si>
  <si>
    <t>Industrial-Other</t>
  </si>
  <si>
    <t>LARGE_IND_OTHER</t>
  </si>
  <si>
    <t>Large Ind Other</t>
  </si>
  <si>
    <t>A_4420510</t>
  </si>
  <si>
    <t>Industrial-Other Large Base Revenue</t>
  </si>
  <si>
    <t>A_4420520</t>
  </si>
  <si>
    <t>Industrial-Other Large Sales Fuel Adjustment</t>
  </si>
  <si>
    <t>A_4420530</t>
  </si>
  <si>
    <t>Industrial-Other Large Capacity Revenue</t>
  </si>
  <si>
    <t>A_4420540</t>
  </si>
  <si>
    <t>Industrial-Other Large Conservation Revenue</t>
  </si>
  <si>
    <t>A_4420550</t>
  </si>
  <si>
    <t>Industrial-Other Large Environmental Revenue</t>
  </si>
  <si>
    <t>A_4420560</t>
  </si>
  <si>
    <t>Industrial-Other Large Franchise Revenue</t>
  </si>
  <si>
    <t>A_4420570</t>
  </si>
  <si>
    <t>Industrial-Other Large Gross Receipts Tax Revenue</t>
  </si>
  <si>
    <t>A_4420590</t>
  </si>
  <si>
    <t>Industrial-Other Large Storm Revenue</t>
  </si>
  <si>
    <t>A_4420591</t>
  </si>
  <si>
    <t>Industrial-Other Large CETM Revenue</t>
  </si>
  <si>
    <t>OTHER_SALES_PA</t>
  </si>
  <si>
    <t>Other Sales to Public Authorities</t>
  </si>
  <si>
    <t>A_4450010</t>
  </si>
  <si>
    <t>Oth Sales Public Authority Base Revenue</t>
  </si>
  <si>
    <t>A_4450020</t>
  </si>
  <si>
    <t>Oth Sales Public Authority Sales Fuel Adjustment</t>
  </si>
  <si>
    <t>A_4450030</t>
  </si>
  <si>
    <t>Oth Sales Public Authority Capacity Revenue</t>
  </si>
  <si>
    <t>A_4450040</t>
  </si>
  <si>
    <t>Oth Sales Public Authority Conservation Revenue</t>
  </si>
  <si>
    <t>A_4450050</t>
  </si>
  <si>
    <t>Oth Sales Public Authority Environmental Revenue</t>
  </si>
  <si>
    <t>A_4450060</t>
  </si>
  <si>
    <t>Oth Sales Public Authority Franchise Revenue</t>
  </si>
  <si>
    <t>A_4450070</t>
  </si>
  <si>
    <t>Oth Sales Public Authority Gross Receipts Tax Rev</t>
  </si>
  <si>
    <t>A_4450090</t>
  </si>
  <si>
    <t>Oth Sales Public Authority Storm Revenue</t>
  </si>
  <si>
    <t>A_4450091</t>
  </si>
  <si>
    <t>Oth Sales Public Authority CETM Revenue</t>
  </si>
  <si>
    <t>Elec_DCR_Rev</t>
  </si>
  <si>
    <t>Electric Deferred Clause Recovery Revenue</t>
  </si>
  <si>
    <t>DFD_CLS_RECOV</t>
  </si>
  <si>
    <t>Deferred Clause Recovery</t>
  </si>
  <si>
    <t>A_4073020</t>
  </si>
  <si>
    <t>REG DR Defd Fuel and Purchased Power</t>
  </si>
  <si>
    <t>A_4073022</t>
  </si>
  <si>
    <t>REG DR Asset Optimization</t>
  </si>
  <si>
    <t>A_4073030</t>
  </si>
  <si>
    <t>REG DR Defd Capacity</t>
  </si>
  <si>
    <t>A_4073040</t>
  </si>
  <si>
    <t>REG DR Defd Conservation Electric</t>
  </si>
  <si>
    <t>A_4073050</t>
  </si>
  <si>
    <t>REG DR Defd Environmental</t>
  </si>
  <si>
    <t>A_4073090</t>
  </si>
  <si>
    <t>REG DR Defd SPPCRC</t>
  </si>
  <si>
    <t>A_4073213</t>
  </si>
  <si>
    <t>REG DR Defd (CETM) Clean Energy Trans Mechanism</t>
  </si>
  <si>
    <t>A_4074041</t>
  </si>
  <si>
    <t>REG CR Defd Conservation - Elec - Amortiz</t>
  </si>
  <si>
    <t>A_4074051</t>
  </si>
  <si>
    <t>REG CR Defd Environmental - Amortization</t>
  </si>
  <si>
    <t>Elec_Oth_Rev</t>
  </si>
  <si>
    <t>Other Revenues</t>
  </si>
  <si>
    <t>Acc_Unb_Rev</t>
  </si>
  <si>
    <t>Accrued Unbilled Revenue</t>
  </si>
  <si>
    <t>A_4560900</t>
  </si>
  <si>
    <t>Unbilled Revenue</t>
  </si>
  <si>
    <t>INTERCHANGE_SALES</t>
  </si>
  <si>
    <t>Interchange Sales</t>
  </si>
  <si>
    <t>A_4470010</t>
  </si>
  <si>
    <t>Recoverable Retail Non-Separated Sales for Resale</t>
  </si>
  <si>
    <t>A_4470012</t>
  </si>
  <si>
    <t>Recoverable Retail Non-Separated Sales for Resale-Margin</t>
  </si>
  <si>
    <t>MISC_SERV_REV</t>
  </si>
  <si>
    <t>Miscellaneous Service Revenues</t>
  </si>
  <si>
    <t>A_4510800</t>
  </si>
  <si>
    <t>Miscellaneous Service Revenues - Other</t>
  </si>
  <si>
    <t>A_4510100</t>
  </si>
  <si>
    <t>Misc Svc Rev - Connection - Same Day Service</t>
  </si>
  <si>
    <t>A_4510101</t>
  </si>
  <si>
    <t>Misc Svc Rev - Connection - Saturday</t>
  </si>
  <si>
    <t>A_4510102</t>
  </si>
  <si>
    <t>Misc Svc Rev - Reconnect - at Pole</t>
  </si>
  <si>
    <t>A_4510103</t>
  </si>
  <si>
    <t>Misc Svc Rev - Reconnect - Subsequent Subscriber</t>
  </si>
  <si>
    <t>A_4510104</t>
  </si>
  <si>
    <t>Misc Svc Rev - Reconnect - at Meter</t>
  </si>
  <si>
    <t>A_4510107</t>
  </si>
  <si>
    <t>Misc Svc Rev - Late Payment Fee</t>
  </si>
  <si>
    <t>A_4510108</t>
  </si>
  <si>
    <t>Misc Svc Rev - Initial Turn On</t>
  </si>
  <si>
    <t>A_4510109</t>
  </si>
  <si>
    <t>Misc Svc Rev - Temp. Svcs</t>
  </si>
  <si>
    <t>A_4510110</t>
  </si>
  <si>
    <t>Misc Svc Rev - Tampering</t>
  </si>
  <si>
    <t>A_4510111</t>
  </si>
  <si>
    <t>Misc Svc Rev - Returned Check</t>
  </si>
  <si>
    <t>A_4510112</t>
  </si>
  <si>
    <t>Misc Svc Rev - Field Credit Check</t>
  </si>
  <si>
    <t>RENT_ELEC_PROP</t>
  </si>
  <si>
    <t>Rent from Electric Property</t>
  </si>
  <si>
    <t>A_4540010</t>
  </si>
  <si>
    <t>Rental Revenue - Commercial Property</t>
  </si>
  <si>
    <t>A_4540020</t>
  </si>
  <si>
    <t>Rental Revenue - Agricultural Property</t>
  </si>
  <si>
    <t>A_4540030</t>
  </si>
  <si>
    <t>Rental Revenue - Electric Equipment</t>
  </si>
  <si>
    <t>A_4540081</t>
  </si>
  <si>
    <t>Rental Revenue - Pole Attachments - Distribution</t>
  </si>
  <si>
    <t>A_4540040</t>
  </si>
  <si>
    <t>Rental Revenue - Big Bend Station</t>
  </si>
  <si>
    <t>A_4540800</t>
  </si>
  <si>
    <t>Rental Revenue - MetroLink</t>
  </si>
  <si>
    <t>OTH_ELEC_REV</t>
  </si>
  <si>
    <t>Other Electric Revenues</t>
  </si>
  <si>
    <t>A_4560020</t>
  </si>
  <si>
    <t>Other Revenue - At-Cost Job Orders</t>
  </si>
  <si>
    <t>A_4560030</t>
  </si>
  <si>
    <t>Other Revenue - Sales Tax</t>
  </si>
  <si>
    <t>A_4560080</t>
  </si>
  <si>
    <t>Other Revenue - Cogen Maintenance - Transmission</t>
  </si>
  <si>
    <t>A_4560120</t>
  </si>
  <si>
    <t>Other Revenue - Green Power Program</t>
  </si>
  <si>
    <t>A_4560200</t>
  </si>
  <si>
    <t>OATT Pt to Pt Revenue</t>
  </si>
  <si>
    <t>A_4560210</t>
  </si>
  <si>
    <t>OATT Ancillary Scheduling Revenue</t>
  </si>
  <si>
    <t>A_4560660</t>
  </si>
  <si>
    <t>Other Revenue - Gypsum Excluding ECRC</t>
  </si>
  <si>
    <t>A_4560800</t>
  </si>
  <si>
    <t>Other Revenue - Miscellaneous</t>
  </si>
  <si>
    <t>A_4560180</t>
  </si>
  <si>
    <t>Other Revenue - Asset Optimization</t>
  </si>
  <si>
    <t>A_4560190</t>
  </si>
  <si>
    <t>Other Revenue - Lighting Smart Service-Regulated</t>
  </si>
  <si>
    <t>OTH_OPER_REV</t>
  </si>
  <si>
    <t>Other Operating Revenues</t>
  </si>
  <si>
    <t>A_4118030</t>
  </si>
  <si>
    <t>REC Sales - Retail</t>
  </si>
  <si>
    <t>Billed Revenue (excludes Clause, Unbilled, Other Electric Revenue, Rental Revenue, Misc Service Revenue, Interchange Sales)</t>
  </si>
  <si>
    <t>Misc Service Revenue</t>
  </si>
  <si>
    <t xml:space="preserve">Total </t>
  </si>
  <si>
    <t>2024.TOTAL</t>
  </si>
  <si>
    <t>2024 TOTAL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</si>
  <si>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</si>
  <si>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</si>
  <si>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</si>
  <si>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</si>
  <si>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</si>
  <si>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</si>
  <si>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</si>
  <si>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</si>
  <si>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</si>
  <si>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</si>
  <si>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</si>
  <si>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</si>
  <si>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A_4400092</t>
  </si>
  <si>
    <t>Residential Storm Surcharge</t>
  </si>
  <si>
    <t>A_4420192</t>
  </si>
  <si>
    <t>Commercial Large Storm Surcharge</t>
  </si>
  <si>
    <t>A_4420392</t>
  </si>
  <si>
    <t>Industrial-Phosphate Large Storm Surcharge</t>
  </si>
  <si>
    <t>A_4420592</t>
  </si>
  <si>
    <t>Industrial-Other Large Storm Surcharge</t>
  </si>
  <si>
    <t>A_4450092</t>
  </si>
  <si>
    <t>Oth Sales Public Authority Storm Surcharge</t>
  </si>
  <si>
    <t>2023.TOTAL</t>
  </si>
  <si>
    <t>2023 TOTAL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</si>
  <si>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</si>
  <si>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</si>
  <si>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</si>
  <si>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</si>
  <si>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</si>
  <si>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</si>
  <si>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</si>
  <si>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</si>
  <si>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</si>
  <si>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</si>
  <si>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</si>
  <si>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</si>
  <si>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SMALL_COMMERCIAL</t>
  </si>
  <si>
    <t>Small Commercial</t>
  </si>
  <si>
    <t>A_4420010</t>
  </si>
  <si>
    <t>Commercial Small Base Revenue</t>
  </si>
  <si>
    <t>A_4420020</t>
  </si>
  <si>
    <t>Commercial Small Sales Fuel Adjustment Revenue</t>
  </si>
  <si>
    <t>A_4420030</t>
  </si>
  <si>
    <t>Commercial Small Capacity Revenue</t>
  </si>
  <si>
    <t>A_4420040</t>
  </si>
  <si>
    <t>Commercial Small Conservation Revenue</t>
  </si>
  <si>
    <t>A_4420050</t>
  </si>
  <si>
    <t>Commercial Small Environmental Revenue</t>
  </si>
  <si>
    <t>A_4420060</t>
  </si>
  <si>
    <t>Commercial Small Franchise Revenue</t>
  </si>
  <si>
    <t>A_4420070</t>
  </si>
  <si>
    <t>Commercial Small Gross Receipts Tax Revenue</t>
  </si>
  <si>
    <t>A_4420090</t>
  </si>
  <si>
    <t>Commercial Small Storm Revenue</t>
  </si>
  <si>
    <t>A_4420091</t>
  </si>
  <si>
    <t>Commercial Small CETM Revenue</t>
  </si>
  <si>
    <t>A_4420092</t>
  </si>
  <si>
    <t>Commercial Small Storm Surcharge</t>
  </si>
  <si>
    <t>A_4420180</t>
  </si>
  <si>
    <t>Commercial Large Optional Billing Provision</t>
  </si>
  <si>
    <t>SMALL_PHOSPHATE</t>
  </si>
  <si>
    <t>Small Phosphate</t>
  </si>
  <si>
    <t>A_4420210</t>
  </si>
  <si>
    <t>Industrial-Phosphate Small Base Revenue</t>
  </si>
  <si>
    <t>A_4420220</t>
  </si>
  <si>
    <t>Industrial-Phosphate Small Sales Fuel Adjustment</t>
  </si>
  <si>
    <t>A_4420230</t>
  </si>
  <si>
    <t>Industrial-Phosphate Small Capacity Revenue</t>
  </si>
  <si>
    <t>A_4420240</t>
  </si>
  <si>
    <t>Industrial-Phosphate Small Conservation Revenue</t>
  </si>
  <si>
    <t>A_4420250</t>
  </si>
  <si>
    <t>Industrial-Phosphate Small Environmental Revenue</t>
  </si>
  <si>
    <t>A_4420270</t>
  </si>
  <si>
    <t>Industrial-Phosphate Small Gross Receipts Tax Rev</t>
  </si>
  <si>
    <t>A_4420290</t>
  </si>
  <si>
    <t>Industrial-Phosphate Small Storm Revenue</t>
  </si>
  <si>
    <t>A_4420291</t>
  </si>
  <si>
    <t>Industrial-Phosphate Small CETM Revenue</t>
  </si>
  <si>
    <t>A_4420292</t>
  </si>
  <si>
    <t>Industrial Phosphate Small Storm Surcharge</t>
  </si>
  <si>
    <t>A_4420380</t>
  </si>
  <si>
    <t>Industrial-Phosphate Large Optional Billing Provsn</t>
  </si>
  <si>
    <t>SMALL_IND_OTHER</t>
  </si>
  <si>
    <t>Small Ind Other</t>
  </si>
  <si>
    <t>A_4420410</t>
  </si>
  <si>
    <t>Industrial-Other Small Base Revenue</t>
  </si>
  <si>
    <t>A_4420420</t>
  </si>
  <si>
    <t>Industrial-Other Small Sales Fuel Adjustment Rev</t>
  </si>
  <si>
    <t>A_4420430</t>
  </si>
  <si>
    <t>Industrial-Other Small Capacity Revenue</t>
  </si>
  <si>
    <t>A_4420440</t>
  </si>
  <si>
    <t>Industrial-Other Small Conservation Revenue</t>
  </si>
  <si>
    <t>A_4420450</t>
  </si>
  <si>
    <t>Industrial-Other Small Environmental Revenue</t>
  </si>
  <si>
    <t>A_4420460</t>
  </si>
  <si>
    <t>Industrial-Other Small Franchise Revenue</t>
  </si>
  <si>
    <t>A_4420470</t>
  </si>
  <si>
    <t>Industrial-Other Small Gross Receipts Tax Rev</t>
  </si>
  <si>
    <t>A_4420490</t>
  </si>
  <si>
    <t>Industrial-Other Small Storm Revenue</t>
  </si>
  <si>
    <t>A_4420491</t>
  </si>
  <si>
    <t>Industrial-Other Small CETM Revenue</t>
  </si>
  <si>
    <t>A_4420492</t>
  </si>
  <si>
    <t>Industrial-Other Small Storm Surcharge</t>
  </si>
  <si>
    <t>A_4420580</t>
  </si>
  <si>
    <t>Industrial-Other Large Optional Billing Provision</t>
  </si>
  <si>
    <t>ST_HGWAY_LIGHTING</t>
  </si>
  <si>
    <t>Public Street and Highway Lighting</t>
  </si>
  <si>
    <t>ST_HW_LGH</t>
  </si>
  <si>
    <t>A_4440010</t>
  </si>
  <si>
    <t>Public Street HW Lighting Base Revenue</t>
  </si>
  <si>
    <t>A_4440020</t>
  </si>
  <si>
    <t>Public Street HW Lighting Sales Fuel Adjustment</t>
  </si>
  <si>
    <t>A_4440030</t>
  </si>
  <si>
    <t>Public Street HW Lighting Capacity Revenue</t>
  </si>
  <si>
    <t>A_4440040</t>
  </si>
  <si>
    <t>Public Street HW Lighting Conservation Revenue</t>
  </si>
  <si>
    <t>A_4440050</t>
  </si>
  <si>
    <t>Public Street HW Lighting Environmental Revenue</t>
  </si>
  <si>
    <t>A_4440060</t>
  </si>
  <si>
    <t>Public Street HW Lighting Franchise Revenue</t>
  </si>
  <si>
    <t>A_4440070</t>
  </si>
  <si>
    <t>Public Street HW Lighting Gross Receipts Tax Rev</t>
  </si>
  <si>
    <t>A_4440090</t>
  </si>
  <si>
    <t>Public Street HW Lighting Storm Revenue</t>
  </si>
  <si>
    <t>A_4440091</t>
  </si>
  <si>
    <t>Public Street HW Lighting CETM Revenue</t>
  </si>
  <si>
    <t>A_4440092</t>
  </si>
  <si>
    <t>Public Street HW Lighting Storm Surcharge</t>
  </si>
  <si>
    <t>A_4074031</t>
  </si>
  <si>
    <t>REG CR Defd Capacity - Amortization</t>
  </si>
  <si>
    <t>A_4074091</t>
  </si>
  <si>
    <t>REG CR Defd SPPCRC - Amortization</t>
  </si>
  <si>
    <t>A_4470011</t>
  </si>
  <si>
    <t>Non-Recoverable Retail Non-Separated Sales Resale</t>
  </si>
  <si>
    <t>A_4510113</t>
  </si>
  <si>
    <t>Misc Svc Rev - Billing Adjustments</t>
  </si>
  <si>
    <t>A_4540700</t>
  </si>
  <si>
    <t>Rental Revenue - Intercompany</t>
  </si>
  <si>
    <t>A_4540701</t>
  </si>
  <si>
    <t>Rental Revenue - Intercompany - Asset Usage Fee</t>
  </si>
  <si>
    <t>A_4550000</t>
  </si>
  <si>
    <t>Interdepartmental Rents</t>
  </si>
  <si>
    <t>A_4550001</t>
  </si>
  <si>
    <t>Interdepartmental Rents - Asset Usage Fee</t>
  </si>
  <si>
    <t>A_4560050</t>
  </si>
  <si>
    <t>Other Revenue - Training Modules</t>
  </si>
  <si>
    <t>A_4560230</t>
  </si>
  <si>
    <t>OATT GSI Penalty Revenue</t>
  </si>
  <si>
    <t>A_4560401</t>
  </si>
  <si>
    <t>Pt to Pt Transmission Non Separated Sale-Retail</t>
  </si>
  <si>
    <t>A_4560411</t>
  </si>
  <si>
    <t>Ancillary Transmission Non Separated-Retail</t>
  </si>
  <si>
    <t>A_4118010</t>
  </si>
  <si>
    <t>SO2 Allowance Sales - Retail</t>
  </si>
  <si>
    <t>*Note - these balances were recorded from ERP prior to monthly Bad Debt JE.  Once entry is made each month, the balance will change</t>
  </si>
  <si>
    <t>DOCKET No. 20240026-EI</t>
  </si>
  <si>
    <t>Witness: J. Chronister / R. Latta / K. Sparkman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</si>
</sst>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00_);_(* \(#,##0.000000\);_(* &quot;-&quot;??_);_(@_)"/>
    <numFmt numFmtId="166" formatCode="_(* #,##0_);_(* \(#,##0\);_(* &quot;-&quot;??_);_(@_)"/>
    <numFmt numFmtId="167" formatCode="0.000%"/>
    <numFmt numFmtId="168" formatCode="0.0000%"/>
    <numFmt numFmtId="169" formatCode="_(* #,##0_);_(* \(#,##0\);_(* &quot;-&quot;???_);_(@_)"/>
  </numFmts>
  <fonts count="4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FF"/>
      <name val="Arial"/>
      <family val="2"/>
    </font>
    <font>
      <b/>
      <sz val="10"/>
      <color rgb="FF0033CC"/>
      <name val="Arial"/>
      <family val="2"/>
    </font>
    <font>
      <sz val="12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9"/>
      <color rgb="FF0000FF"/>
      <name val="Arial"/>
      <family val="2"/>
    </font>
    <font>
      <b/>
      <sz val="9"/>
      <color rgb="FF000099"/>
      <name val="Calibri"/>
      <family val="2"/>
      <scheme val="minor"/>
    </font>
    <font>
      <b/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Arial Black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8" tint="-0.499984740745262"/>
      </top>
      <bottom style="medium">
        <color theme="5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13" fillId="0" borderId="0"/>
    <xf numFmtId="39" fontId="18" fillId="0" borderId="0"/>
    <xf numFmtId="44" fontId="18" fillId="0" borderId="0" applyFont="0" applyFill="0" applyBorder="0" applyAlignment="0" applyProtection="0"/>
    <xf numFmtId="0" fontId="3" fillId="0" borderId="0"/>
    <xf numFmtId="0" fontId="18" fillId="0" borderId="0"/>
    <xf numFmtId="0" fontId="3" fillId="0" borderId="0"/>
    <xf numFmtId="0" fontId="3" fillId="0" borderId="0"/>
  </cellStyleXfs>
  <cellXfs count="258">
    <xf numFmtId="0" fontId="0" fillId="0" borderId="0" xfId="0"/>
    <xf numFmtId="0" fontId="2" fillId="0" borderId="1" xfId="0" applyFont="1" applyBorder="1"/>
    <xf numFmtId="0" fontId="2" fillId="0" borderId="1" xfId="3" applyFont="1" applyBorder="1"/>
    <xf numFmtId="0" fontId="2" fillId="0" borderId="0" xfId="0" applyFont="1"/>
    <xf numFmtId="0" fontId="2" fillId="0" borderId="0" xfId="3" applyFont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3" quotePrefix="1" applyFont="1" applyAlignment="1">
      <alignment horizontal="center"/>
    </xf>
    <xf numFmtId="0" fontId="2" fillId="0" borderId="1" xfId="3" applyFont="1" applyBorder="1" applyAlignment="1">
      <alignment horizontal="center"/>
    </xf>
    <xf numFmtId="164" fontId="2" fillId="0" borderId="0" xfId="4" applyNumberFormat="1" applyFont="1" applyFill="1" applyAlignment="1"/>
    <xf numFmtId="0" fontId="2" fillId="0" borderId="0" xfId="5" applyFont="1" applyAlignment="1">
      <alignment horizontal="left"/>
    </xf>
    <xf numFmtId="164" fontId="2" fillId="0" borderId="0" xfId="4" applyNumberFormat="1" applyFont="1" applyFill="1" applyAlignment="1">
      <alignment horizontal="left"/>
    </xf>
    <xf numFmtId="164" fontId="2" fillId="0" borderId="0" xfId="4" applyNumberFormat="1" applyFont="1" applyFill="1" applyBorder="1" applyAlignment="1"/>
    <xf numFmtId="165" fontId="2" fillId="0" borderId="0" xfId="6" applyNumberFormat="1" applyFont="1" applyFill="1" applyBorder="1" applyAlignment="1"/>
    <xf numFmtId="0" fontId="2" fillId="0" borderId="0" xfId="3" applyFont="1" applyAlignment="1">
      <alignment horizontal="left"/>
    </xf>
    <xf numFmtId="165" fontId="2" fillId="0" borderId="0" xfId="6" applyNumberFormat="1" applyFont="1" applyFill="1" applyAlignment="1"/>
    <xf numFmtId="166" fontId="2" fillId="0" borderId="0" xfId="6" applyNumberFormat="1" applyFont="1" applyFill="1" applyAlignment="1"/>
    <xf numFmtId="166" fontId="2" fillId="0" borderId="0" xfId="6" applyNumberFormat="1" applyFont="1" applyFill="1" applyBorder="1" applyAlignment="1"/>
    <xf numFmtId="0" fontId="3" fillId="0" borderId="0" xfId="3"/>
    <xf numFmtId="166" fontId="2" fillId="0" borderId="0" xfId="7" applyNumberFormat="1" applyFont="1" applyFill="1" applyBorder="1" applyAlignment="1"/>
    <xf numFmtId="0" fontId="2" fillId="0" borderId="1" xfId="8" applyFont="1" applyBorder="1"/>
    <xf numFmtId="43" fontId="3" fillId="0" borderId="0" xfId="6"/>
    <xf numFmtId="43" fontId="6" fillId="0" borderId="0" xfId="6" applyFont="1"/>
    <xf numFmtId="43" fontId="8" fillId="0" borderId="0" xfId="6" applyFont="1"/>
    <xf numFmtId="43" fontId="3" fillId="0" borderId="0" xfId="6" quotePrefix="1" applyAlignment="1">
      <alignment horizontal="left"/>
    </xf>
    <xf numFmtId="166" fontId="10" fillId="0" borderId="0" xfId="6" applyNumberFormat="1" applyFont="1"/>
    <xf numFmtId="166" fontId="1" fillId="0" borderId="0" xfId="6" applyNumberFormat="1" applyFont="1"/>
    <xf numFmtId="43" fontId="6" fillId="0" borderId="0" xfId="6" quotePrefix="1" applyFont="1" applyAlignment="1">
      <alignment horizontal="left"/>
    </xf>
    <xf numFmtId="168" fontId="6" fillId="0" borderId="0" xfId="10" applyNumberFormat="1" applyFont="1"/>
    <xf numFmtId="10" fontId="1" fillId="0" borderId="0" xfId="10" applyNumberFormat="1" applyFont="1"/>
    <xf numFmtId="168" fontId="11" fillId="0" borderId="0" xfId="10" applyNumberFormat="1" applyFont="1"/>
    <xf numFmtId="43" fontId="3" fillId="0" borderId="0" xfId="6" applyAlignment="1">
      <alignment horizontal="left"/>
    </xf>
    <xf numFmtId="43" fontId="6" fillId="0" borderId="0" xfId="6" applyFont="1" applyAlignment="1">
      <alignment horizontal="left"/>
    </xf>
    <xf numFmtId="43" fontId="6" fillId="4" borderId="0" xfId="6" applyFont="1" applyFill="1" applyAlignment="1">
      <alignment horizontal="left"/>
    </xf>
    <xf numFmtId="43" fontId="6" fillId="4" borderId="0" xfId="6" applyFont="1" applyFill="1"/>
    <xf numFmtId="166" fontId="3" fillId="0" borderId="0" xfId="6" applyNumberFormat="1"/>
    <xf numFmtId="168" fontId="3" fillId="0" borderId="0" xfId="10" applyNumberFormat="1"/>
    <xf numFmtId="168" fontId="10" fillId="0" borderId="0" xfId="10" applyNumberFormat="1" applyFont="1"/>
    <xf numFmtId="168" fontId="1" fillId="0" borderId="0" xfId="10" quotePrefix="1" applyNumberFormat="1" applyFont="1" applyAlignment="1">
      <alignment horizontal="center"/>
    </xf>
    <xf numFmtId="167" fontId="1" fillId="0" borderId="0" xfId="10" applyNumberFormat="1" applyFont="1"/>
    <xf numFmtId="168" fontId="1" fillId="0" borderId="0" xfId="10" applyNumberFormat="1" applyFont="1"/>
    <xf numFmtId="168" fontId="3" fillId="0" borderId="0" xfId="10" quotePrefix="1" applyNumberFormat="1" applyAlignment="1">
      <alignment horizontal="center"/>
    </xf>
    <xf numFmtId="43" fontId="6" fillId="0" borderId="0" xfId="6" quotePrefix="1" applyFont="1" applyAlignment="1">
      <alignment horizontal="right"/>
    </xf>
    <xf numFmtId="9" fontId="1" fillId="0" borderId="0" xfId="10" applyFont="1"/>
    <xf numFmtId="166" fontId="1" fillId="0" borderId="0" xfId="6" applyNumberFormat="1" applyFont="1" applyAlignment="1">
      <alignment horizontal="center"/>
    </xf>
    <xf numFmtId="10" fontId="3" fillId="2" borderId="0" xfId="10" applyNumberFormat="1" applyFont="1" applyFill="1"/>
    <xf numFmtId="43" fontId="3" fillId="2" borderId="0" xfId="6" applyFill="1"/>
    <xf numFmtId="166" fontId="10" fillId="0" borderId="0" xfId="6" applyNumberFormat="1" applyFont="1" applyFill="1"/>
    <xf numFmtId="164" fontId="2" fillId="0" borderId="0" xfId="4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7" fontId="2" fillId="0" borderId="0" xfId="2" applyNumberFormat="1" applyFont="1" applyFill="1" applyAlignment="1">
      <alignment horizontal="center"/>
    </xf>
    <xf numFmtId="166" fontId="2" fillId="0" borderId="0" xfId="6" applyNumberFormat="1" applyFont="1" applyFill="1" applyAlignment="1">
      <alignment horizontal="center"/>
    </xf>
    <xf numFmtId="166" fontId="2" fillId="0" borderId="0" xfId="6" applyNumberFormat="1" applyFont="1" applyFill="1" applyBorder="1" applyAlignment="1">
      <alignment horizontal="center"/>
    </xf>
    <xf numFmtId="167" fontId="2" fillId="0" borderId="0" xfId="2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13" fillId="0" borderId="0" xfId="11"/>
    <xf numFmtId="0" fontId="6" fillId="0" borderId="0" xfId="11" applyFont="1" applyAlignment="1">
      <alignment horizontal="center"/>
    </xf>
    <xf numFmtId="0" fontId="3" fillId="0" borderId="0" xfId="11" applyFont="1"/>
    <xf numFmtId="17" fontId="7" fillId="0" borderId="0" xfId="11" applyNumberFormat="1" applyFont="1" applyAlignment="1">
      <alignment horizontal="center"/>
    </xf>
    <xf numFmtId="0" fontId="9" fillId="0" borderId="0" xfId="11" applyFont="1"/>
    <xf numFmtId="166" fontId="10" fillId="0" borderId="0" xfId="11" applyNumberFormat="1" applyFont="1"/>
    <xf numFmtId="166" fontId="6" fillId="0" borderId="0" xfId="11" applyNumberFormat="1" applyFont="1"/>
    <xf numFmtId="166" fontId="6" fillId="3" borderId="0" xfId="11" applyNumberFormat="1" applyFont="1" applyFill="1"/>
    <xf numFmtId="166" fontId="3" fillId="0" borderId="0" xfId="11" applyNumberFormat="1" applyFont="1"/>
    <xf numFmtId="166" fontId="1" fillId="0" borderId="0" xfId="11" applyNumberFormat="1" applyFont="1"/>
    <xf numFmtId="0" fontId="1" fillId="0" borderId="0" xfId="11" applyFont="1"/>
    <xf numFmtId="43" fontId="3" fillId="0" borderId="0" xfId="11" applyNumberFormat="1" applyFont="1"/>
    <xf numFmtId="169" fontId="6" fillId="0" borderId="3" xfId="11" applyNumberFormat="1" applyFont="1" applyBorder="1"/>
    <xf numFmtId="169" fontId="6" fillId="4" borderId="3" xfId="11" applyNumberFormat="1" applyFont="1" applyFill="1" applyBorder="1"/>
    <xf numFmtId="169" fontId="6" fillId="0" borderId="0" xfId="11" applyNumberFormat="1" applyFont="1"/>
    <xf numFmtId="169" fontId="13" fillId="0" borderId="0" xfId="11" applyNumberFormat="1"/>
    <xf numFmtId="166" fontId="11" fillId="0" borderId="0" xfId="11" applyNumberFormat="1" applyFont="1"/>
    <xf numFmtId="168" fontId="6" fillId="0" borderId="4" xfId="11" applyNumberFormat="1" applyFont="1" applyBorder="1"/>
    <xf numFmtId="0" fontId="3" fillId="0" borderId="0" xfId="11" applyFont="1" applyAlignment="1">
      <alignment horizontal="center"/>
    </xf>
    <xf numFmtId="0" fontId="3" fillId="0" borderId="0" xfId="11" quotePrefix="1" applyFont="1" applyAlignment="1">
      <alignment horizontal="center"/>
    </xf>
    <xf numFmtId="0" fontId="13" fillId="0" borderId="0" xfId="11" applyAlignment="1">
      <alignment horizontal="center"/>
    </xf>
    <xf numFmtId="0" fontId="8" fillId="0" borderId="0" xfId="11" applyFont="1"/>
    <xf numFmtId="166" fontId="6" fillId="0" borderId="4" xfId="11" applyNumberFormat="1" applyFont="1" applyBorder="1"/>
    <xf numFmtId="166" fontId="13" fillId="0" borderId="0" xfId="11" applyNumberFormat="1"/>
    <xf numFmtId="0" fontId="12" fillId="0" borderId="0" xfId="11" applyFont="1" applyAlignment="1">
      <alignment horizontal="center"/>
    </xf>
    <xf numFmtId="4" fontId="13" fillId="0" borderId="0" xfId="11" applyNumberFormat="1"/>
    <xf numFmtId="43" fontId="13" fillId="0" borderId="0" xfId="11" applyNumberFormat="1"/>
    <xf numFmtId="169" fontId="13" fillId="6" borderId="0" xfId="11" applyNumberFormat="1" applyFill="1"/>
    <xf numFmtId="166" fontId="3" fillId="6" borderId="0" xfId="11" applyNumberFormat="1" applyFont="1" applyFill="1"/>
    <xf numFmtId="166" fontId="13" fillId="6" borderId="0" xfId="11" applyNumberFormat="1" applyFill="1"/>
    <xf numFmtId="0" fontId="6" fillId="0" borderId="0" xfId="11" applyFont="1"/>
    <xf numFmtId="0" fontId="3" fillId="0" borderId="0" xfId="11" quotePrefix="1" applyFont="1" applyAlignment="1">
      <alignment horizontal="right"/>
    </xf>
    <xf numFmtId="166" fontId="6" fillId="7" borderId="0" xfId="11" applyNumberFormat="1" applyFont="1" applyFill="1"/>
    <xf numFmtId="166" fontId="11" fillId="7" borderId="0" xfId="11" applyNumberFormat="1" applyFont="1" applyFill="1"/>
    <xf numFmtId="166" fontId="6" fillId="8" borderId="0" xfId="11" applyNumberFormat="1" applyFont="1" applyFill="1"/>
    <xf numFmtId="166" fontId="11" fillId="8" borderId="0" xfId="11" applyNumberFormat="1" applyFont="1" applyFill="1"/>
    <xf numFmtId="168" fontId="6" fillId="5" borderId="0" xfId="10" applyNumberFormat="1" applyFont="1" applyFill="1"/>
    <xf numFmtId="168" fontId="11" fillId="5" borderId="0" xfId="10" applyNumberFormat="1" applyFont="1" applyFill="1"/>
    <xf numFmtId="167" fontId="0" fillId="0" borderId="0" xfId="0" applyNumberFormat="1"/>
    <xf numFmtId="0" fontId="6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166" fontId="10" fillId="0" borderId="0" xfId="0" applyNumberFormat="1" applyFont="1"/>
    <xf numFmtId="166" fontId="6" fillId="0" borderId="0" xfId="0" applyNumberFormat="1" applyFont="1"/>
    <xf numFmtId="166" fontId="1" fillId="0" borderId="0" xfId="0" applyNumberFormat="1" applyFont="1"/>
    <xf numFmtId="0" fontId="1" fillId="0" borderId="0" xfId="0" applyFont="1"/>
    <xf numFmtId="169" fontId="6" fillId="0" borderId="3" xfId="0" applyNumberFormat="1" applyFont="1" applyBorder="1"/>
    <xf numFmtId="169" fontId="6" fillId="4" borderId="3" xfId="0" applyNumberFormat="1" applyFont="1" applyFill="1" applyBorder="1"/>
    <xf numFmtId="169" fontId="6" fillId="9" borderId="3" xfId="0" applyNumberFormat="1" applyFont="1" applyFill="1" applyBorder="1"/>
    <xf numFmtId="169" fontId="6" fillId="0" borderId="0" xfId="0" applyNumberFormat="1" applyFont="1"/>
    <xf numFmtId="166" fontId="11" fillId="0" borderId="0" xfId="0" applyNumberFormat="1" applyFont="1"/>
    <xf numFmtId="166" fontId="1" fillId="10" borderId="0" xfId="6" applyNumberFormat="1" applyFont="1" applyFill="1"/>
    <xf numFmtId="168" fontId="6" fillId="0" borderId="0" xfId="10" applyNumberFormat="1" applyFont="1" applyFill="1"/>
    <xf numFmtId="168" fontId="10" fillId="5" borderId="0" xfId="10" applyNumberFormat="1" applyFont="1" applyFill="1"/>
    <xf numFmtId="168" fontId="6" fillId="0" borderId="4" xfId="0" applyNumberFormat="1" applyFont="1" applyBorder="1"/>
    <xf numFmtId="0" fontId="3" fillId="0" borderId="0" xfId="0" quotePrefix="1" applyFont="1" applyAlignment="1">
      <alignment horizontal="center"/>
    </xf>
    <xf numFmtId="166" fontId="16" fillId="9" borderId="0" xfId="6" applyNumberFormat="1" applyFont="1" applyFill="1"/>
    <xf numFmtId="166" fontId="6" fillId="0" borderId="4" xfId="0" applyNumberFormat="1" applyFont="1" applyBorder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166" fontId="1" fillId="10" borderId="0" xfId="6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166" fontId="6" fillId="11" borderId="0" xfId="6" applyNumberFormat="1" applyFont="1" applyFill="1"/>
    <xf numFmtId="14" fontId="16" fillId="4" borderId="5" xfId="6" quotePrefix="1" applyNumberFormat="1" applyFont="1" applyFill="1" applyBorder="1" applyAlignment="1">
      <alignment horizontal="right"/>
    </xf>
    <xf numFmtId="4" fontId="0" fillId="0" borderId="0" xfId="0" applyNumberFormat="1"/>
    <xf numFmtId="166" fontId="6" fillId="0" borderId="0" xfId="6" applyNumberFormat="1" applyFont="1"/>
    <xf numFmtId="166" fontId="16" fillId="0" borderId="0" xfId="6" applyNumberFormat="1" applyFont="1"/>
    <xf numFmtId="166" fontId="8" fillId="5" borderId="4" xfId="6" applyNumberFormat="1" applyFont="1" applyFill="1" applyBorder="1"/>
    <xf numFmtId="10" fontId="17" fillId="9" borderId="0" xfId="10" applyNumberFormat="1" applyFont="1" applyFill="1"/>
    <xf numFmtId="169" fontId="0" fillId="2" borderId="0" xfId="0" applyNumberFormat="1" applyFill="1"/>
    <xf numFmtId="166" fontId="0" fillId="2" borderId="0" xfId="0" applyNumberFormat="1" applyFill="1"/>
    <xf numFmtId="39" fontId="19" fillId="6" borderId="6" xfId="12" applyFont="1" applyFill="1" applyBorder="1" applyAlignment="1">
      <alignment vertical="center"/>
    </xf>
    <xf numFmtId="41" fontId="20" fillId="0" borderId="6" xfId="6" quotePrefix="1" applyNumberFormat="1" applyFont="1" applyFill="1" applyBorder="1" applyAlignment="1" applyProtection="1">
      <alignment horizontal="center" vertical="center"/>
    </xf>
    <xf numFmtId="39" fontId="21" fillId="0" borderId="0" xfId="12" applyFont="1"/>
    <xf numFmtId="39" fontId="20" fillId="12" borderId="7" xfId="12" applyFont="1" applyFill="1" applyBorder="1" applyAlignment="1">
      <alignment horizontal="center" vertical="center"/>
    </xf>
    <xf numFmtId="39" fontId="21" fillId="13" borderId="6" xfId="12" applyFont="1" applyFill="1" applyBorder="1" applyAlignment="1">
      <alignment vertical="center" wrapText="1"/>
    </xf>
    <xf numFmtId="39" fontId="21" fillId="13" borderId="6" xfId="12" applyFont="1" applyFill="1" applyBorder="1" applyAlignment="1">
      <alignment vertical="center"/>
    </xf>
    <xf numFmtId="41" fontId="22" fillId="0" borderId="6" xfId="6" quotePrefix="1" applyNumberFormat="1" applyFont="1" applyFill="1" applyBorder="1" applyAlignment="1" applyProtection="1">
      <alignment horizontal="center" vertical="center"/>
    </xf>
    <xf numFmtId="39" fontId="20" fillId="14" borderId="8" xfId="12" applyFont="1" applyFill="1" applyBorder="1" applyAlignment="1">
      <alignment horizontal="center" vertical="center"/>
    </xf>
    <xf numFmtId="41" fontId="22" fillId="15" borderId="6" xfId="6" quotePrefix="1" applyNumberFormat="1" applyFont="1" applyFill="1" applyBorder="1" applyAlignment="1" applyProtection="1">
      <alignment horizontal="center" vertical="center"/>
    </xf>
    <xf numFmtId="39" fontId="20" fillId="16" borderId="9" xfId="12" applyFont="1" applyFill="1" applyBorder="1" applyAlignment="1">
      <alignment horizontal="center" vertical="center"/>
    </xf>
    <xf numFmtId="39" fontId="21" fillId="13" borderId="0" xfId="12" applyFont="1" applyFill="1" applyAlignment="1">
      <alignment vertical="center" wrapText="1"/>
    </xf>
    <xf numFmtId="39" fontId="23" fillId="2" borderId="10" xfId="12" applyFont="1" applyFill="1" applyBorder="1" applyAlignment="1">
      <alignment horizontal="centerContinuous" vertical="center"/>
    </xf>
    <xf numFmtId="39" fontId="20" fillId="0" borderId="0" xfId="12" applyFont="1"/>
    <xf numFmtId="41" fontId="20" fillId="0" borderId="11" xfId="6" quotePrefix="1" applyNumberFormat="1" applyFont="1" applyFill="1" applyBorder="1" applyAlignment="1" applyProtection="1">
      <alignment horizontal="center" vertical="center"/>
    </xf>
    <xf numFmtId="41" fontId="20" fillId="0" borderId="0" xfId="6" quotePrefix="1" applyNumberFormat="1" applyFont="1" applyFill="1" applyBorder="1" applyAlignment="1" applyProtection="1">
      <alignment horizontal="center" vertical="center"/>
    </xf>
    <xf numFmtId="39" fontId="21" fillId="0" borderId="12" xfId="12" applyFont="1" applyBorder="1" applyAlignment="1">
      <alignment wrapText="1"/>
    </xf>
    <xf numFmtId="41" fontId="21" fillId="0" borderId="13" xfId="12" applyNumberFormat="1" applyFont="1" applyBorder="1" applyAlignment="1">
      <alignment wrapText="1"/>
    </xf>
    <xf numFmtId="39" fontId="19" fillId="6" borderId="6" xfId="12" applyFont="1" applyFill="1" applyBorder="1" applyAlignment="1">
      <alignment horizontal="left" vertical="center" indent="1"/>
    </xf>
    <xf numFmtId="39" fontId="21" fillId="0" borderId="0" xfId="12" applyFont="1" applyAlignment="1">
      <alignment horizontal="left" vertical="center" indent="1"/>
    </xf>
    <xf numFmtId="39" fontId="21" fillId="6" borderId="6" xfId="12" applyFont="1" applyFill="1" applyBorder="1" applyAlignment="1">
      <alignment horizontal="left" vertical="center" indent="1"/>
    </xf>
    <xf numFmtId="39" fontId="18" fillId="17" borderId="0" xfId="12" applyFill="1"/>
    <xf numFmtId="39" fontId="24" fillId="5" borderId="6" xfId="12" applyFont="1" applyFill="1" applyBorder="1" applyAlignment="1">
      <alignment vertical="center" wrapText="1"/>
    </xf>
    <xf numFmtId="0" fontId="25" fillId="0" borderId="6" xfId="6" quotePrefix="1" applyNumberFormat="1" applyFont="1" applyFill="1" applyBorder="1" applyAlignment="1" applyProtection="1">
      <alignment horizontal="center" vertical="center"/>
      <protection locked="0"/>
    </xf>
    <xf numFmtId="39" fontId="21" fillId="0" borderId="0" xfId="12" applyFont="1" applyAlignment="1">
      <alignment horizontal="center"/>
    </xf>
    <xf numFmtId="39" fontId="26" fillId="2" borderId="14" xfId="12" applyFont="1" applyFill="1" applyBorder="1" applyAlignment="1">
      <alignment horizontal="center" vertical="center"/>
    </xf>
    <xf numFmtId="39" fontId="27" fillId="18" borderId="15" xfId="12" applyFont="1" applyFill="1" applyBorder="1" applyAlignment="1">
      <alignment horizontal="center" vertical="center"/>
    </xf>
    <xf numFmtId="39" fontId="18" fillId="0" borderId="0" xfId="12"/>
    <xf numFmtId="39" fontId="28" fillId="0" borderId="16" xfId="12" applyFont="1" applyBorder="1" applyAlignment="1" applyProtection="1">
      <alignment horizontal="right" vertical="center"/>
      <protection locked="0"/>
    </xf>
    <xf numFmtId="39" fontId="27" fillId="18" borderId="17" xfId="12" applyFont="1" applyFill="1" applyBorder="1" applyAlignment="1" applyProtection="1">
      <alignment horizontal="center" vertical="center"/>
      <protection locked="0"/>
    </xf>
    <xf numFmtId="39" fontId="21" fillId="0" borderId="6" xfId="12" applyFont="1" applyBorder="1" applyAlignment="1">
      <alignment horizontal="center"/>
    </xf>
    <xf numFmtId="39" fontId="21" fillId="0" borderId="18" xfId="12" applyFont="1" applyBorder="1" applyAlignment="1">
      <alignment wrapText="1"/>
    </xf>
    <xf numFmtId="0" fontId="20" fillId="6" borderId="19" xfId="6" quotePrefix="1" applyNumberFormat="1" applyFont="1" applyFill="1" applyBorder="1" applyAlignment="1" applyProtection="1">
      <alignment horizontal="center" vertical="center"/>
    </xf>
    <xf numFmtId="39" fontId="19" fillId="6" borderId="20" xfId="12" applyFont="1" applyFill="1" applyBorder="1" applyAlignment="1">
      <alignment vertical="center"/>
    </xf>
    <xf numFmtId="39" fontId="28" fillId="0" borderId="17" xfId="12" applyFont="1" applyBorder="1" applyAlignment="1" applyProtection="1">
      <alignment horizontal="right" vertical="center"/>
      <protection locked="0"/>
    </xf>
    <xf numFmtId="39" fontId="30" fillId="0" borderId="0" xfId="12" applyFont="1" applyAlignment="1" applyProtection="1">
      <alignment horizontal="left"/>
      <protection locked="0"/>
    </xf>
    <xf numFmtId="0" fontId="20" fillId="6" borderId="6" xfId="6" quotePrefix="1" applyNumberFormat="1" applyFont="1" applyFill="1" applyBorder="1" applyAlignment="1" applyProtection="1">
      <alignment horizontal="center" vertical="center"/>
    </xf>
    <xf numFmtId="39" fontId="23" fillId="2" borderId="21" xfId="12" applyFont="1" applyFill="1" applyBorder="1" applyAlignment="1">
      <alignment horizontal="centerContinuous" vertical="center"/>
    </xf>
    <xf numFmtId="39" fontId="21" fillId="2" borderId="22" xfId="12" applyFont="1" applyFill="1" applyBorder="1" applyAlignment="1">
      <alignment horizontal="centerContinuous" vertical="center"/>
    </xf>
    <xf numFmtId="0" fontId="22" fillId="5" borderId="6" xfId="6" quotePrefix="1" applyNumberFormat="1" applyFont="1" applyFill="1" applyBorder="1" applyAlignment="1" applyProtection="1">
      <alignment horizontal="center" vertical="center"/>
    </xf>
    <xf numFmtId="41" fontId="20" fillId="19" borderId="19" xfId="6" quotePrefix="1" applyNumberFormat="1" applyFont="1" applyFill="1" applyBorder="1" applyAlignment="1" applyProtection="1">
      <alignment horizontal="center" vertical="center"/>
    </xf>
    <xf numFmtId="39" fontId="18" fillId="20" borderId="0" xfId="12" applyFill="1"/>
    <xf numFmtId="0" fontId="18" fillId="0" borderId="0" xfId="12" applyNumberFormat="1"/>
    <xf numFmtId="39" fontId="19" fillId="6" borderId="19" xfId="12" applyFont="1" applyFill="1" applyBorder="1" applyAlignment="1">
      <alignment vertical="center"/>
    </xf>
    <xf numFmtId="39" fontId="31" fillId="5" borderId="0" xfId="12" applyFont="1" applyFill="1"/>
    <xf numFmtId="39" fontId="21" fillId="0" borderId="0" xfId="12" applyFont="1" applyProtection="1">
      <protection locked="0"/>
    </xf>
    <xf numFmtId="39" fontId="22" fillId="0" borderId="6" xfId="12" applyFont="1" applyBorder="1"/>
    <xf numFmtId="39" fontId="32" fillId="0" borderId="0" xfId="12" applyFont="1"/>
    <xf numFmtId="41" fontId="21" fillId="19" borderId="13" xfId="12" applyNumberFormat="1" applyFont="1" applyFill="1" applyBorder="1" applyAlignment="1" applyProtection="1">
      <alignment wrapText="1"/>
      <protection locked="0"/>
    </xf>
    <xf numFmtId="39" fontId="21" fillId="0" borderId="0" xfId="12" applyFont="1" applyAlignment="1" applyProtection="1">
      <alignment horizontal="left"/>
      <protection locked="0"/>
    </xf>
    <xf numFmtId="41" fontId="20" fillId="21" borderId="23" xfId="13" applyNumberFormat="1" applyFont="1" applyFill="1" applyBorder="1" applyAlignment="1" applyProtection="1">
      <alignment horizontal="center" vertical="center"/>
      <protection locked="0"/>
    </xf>
    <xf numFmtId="0" fontId="21" fillId="0" borderId="0" xfId="12" applyNumberFormat="1" applyFont="1" applyProtection="1">
      <protection locked="0"/>
    </xf>
    <xf numFmtId="39" fontId="19" fillId="0" borderId="0" xfId="12" quotePrefix="1" applyFont="1" applyAlignment="1" applyProtection="1">
      <alignment horizontal="left" vertical="center"/>
      <protection locked="0"/>
    </xf>
    <xf numFmtId="39" fontId="34" fillId="22" borderId="24" xfId="12" applyFont="1" applyFill="1" applyBorder="1" applyAlignment="1" applyProtection="1">
      <alignment horizontal="center" vertical="center"/>
      <protection locked="0"/>
    </xf>
    <xf numFmtId="39" fontId="34" fillId="22" borderId="25" xfId="12" applyFont="1" applyFill="1" applyBorder="1" applyAlignment="1" applyProtection="1">
      <alignment horizontal="center" vertical="center"/>
      <protection locked="0"/>
    </xf>
    <xf numFmtId="39" fontId="35" fillId="22" borderId="26" xfId="12" applyFont="1" applyFill="1" applyBorder="1" applyAlignment="1" applyProtection="1">
      <alignment horizontal="left" vertical="center" indent="13"/>
      <protection locked="0"/>
    </xf>
    <xf numFmtId="39" fontId="34" fillId="22" borderId="27" xfId="12" applyFont="1" applyFill="1" applyBorder="1" applyAlignment="1" applyProtection="1">
      <alignment horizontal="center" vertical="center"/>
      <protection locked="0"/>
    </xf>
    <xf numFmtId="41" fontId="21" fillId="0" borderId="0" xfId="6" quotePrefix="1" applyNumberFormat="1" applyFont="1" applyFill="1" applyBorder="1" applyAlignment="1" applyProtection="1">
      <alignment horizontal="center" vertical="center"/>
    </xf>
    <xf numFmtId="41" fontId="36" fillId="23" borderId="24" xfId="6" quotePrefix="1" applyNumberFormat="1" applyFont="1" applyFill="1" applyBorder="1" applyAlignment="1" applyProtection="1">
      <alignment horizontal="center" vertical="center"/>
      <protection locked="0"/>
    </xf>
    <xf numFmtId="41" fontId="36" fillId="23" borderId="2" xfId="6" quotePrefix="1" applyNumberFormat="1" applyFont="1" applyFill="1" applyBorder="1" applyAlignment="1" applyProtection="1">
      <alignment horizontal="center" vertical="center"/>
      <protection locked="0"/>
    </xf>
    <xf numFmtId="41" fontId="37" fillId="23" borderId="6" xfId="6" quotePrefix="1" applyNumberFormat="1" applyFont="1" applyFill="1" applyBorder="1" applyAlignment="1" applyProtection="1">
      <alignment horizontal="center" vertical="center" wrapText="1"/>
      <protection locked="0"/>
    </xf>
    <xf numFmtId="41" fontId="38" fillId="23" borderId="26" xfId="6" quotePrefix="1" applyNumberFormat="1" applyFont="1" applyFill="1" applyBorder="1" applyAlignment="1" applyProtection="1">
      <alignment horizontal="center" vertical="center"/>
      <protection locked="0"/>
    </xf>
    <xf numFmtId="41" fontId="38" fillId="23" borderId="1" xfId="6" quotePrefix="1" applyNumberFormat="1" applyFont="1" applyFill="1" applyBorder="1" applyAlignment="1" applyProtection="1">
      <alignment horizontal="center" vertical="center"/>
      <protection locked="0"/>
    </xf>
    <xf numFmtId="41" fontId="36" fillId="23" borderId="6" xfId="6" quotePrefix="1" applyNumberFormat="1" applyFont="1" applyFill="1" applyBorder="1" applyAlignment="1" applyProtection="1">
      <alignment horizontal="center" vertical="center"/>
      <protection locked="0"/>
    </xf>
    <xf numFmtId="39" fontId="12" fillId="0" borderId="0" xfId="12" applyFont="1"/>
    <xf numFmtId="41" fontId="39" fillId="0" borderId="0" xfId="6" quotePrefix="1" applyNumberFormat="1" applyFont="1" applyFill="1" applyBorder="1" applyAlignment="1" applyProtection="1">
      <alignment horizontal="center" vertical="center"/>
    </xf>
    <xf numFmtId="39" fontId="12" fillId="0" borderId="0" xfId="12" applyFont="1" applyProtection="1">
      <protection locked="0"/>
    </xf>
    <xf numFmtId="0" fontId="12" fillId="0" borderId="0" xfId="12" applyNumberFormat="1" applyFont="1" applyProtection="1">
      <protection locked="0"/>
    </xf>
    <xf numFmtId="41" fontId="25" fillId="0" borderId="0" xfId="6" quotePrefix="1" applyNumberFormat="1" applyFont="1" applyFill="1" applyBorder="1" applyAlignment="1" applyProtection="1">
      <alignment horizontal="center" vertical="center"/>
    </xf>
    <xf numFmtId="0" fontId="19" fillId="13" borderId="6" xfId="14" applyFont="1" applyFill="1" applyBorder="1"/>
    <xf numFmtId="43" fontId="19" fillId="13" borderId="6" xfId="14" applyNumberFormat="1" applyFont="1" applyFill="1" applyBorder="1"/>
    <xf numFmtId="0" fontId="21" fillId="0" borderId="28" xfId="14" applyFont="1" applyBorder="1" applyAlignment="1">
      <alignment horizontal="left" indent="2"/>
    </xf>
    <xf numFmtId="43" fontId="21" fillId="0" borderId="0" xfId="14" applyNumberFormat="1" applyFont="1" applyAlignment="1">
      <alignment horizontal="left" indent="2"/>
    </xf>
    <xf numFmtId="43" fontId="21" fillId="0" borderId="13" xfId="14" applyNumberFormat="1" applyFont="1" applyBorder="1" applyAlignment="1">
      <alignment wrapText="1"/>
    </xf>
    <xf numFmtId="43" fontId="21" fillId="19" borderId="13" xfId="14" applyNumberFormat="1" applyFont="1" applyFill="1" applyBorder="1" applyAlignment="1" applyProtection="1">
      <alignment wrapText="1"/>
      <protection locked="0"/>
    </xf>
    <xf numFmtId="39" fontId="19" fillId="5" borderId="6" xfId="12" applyFont="1" applyFill="1" applyBorder="1"/>
    <xf numFmtId="43" fontId="19" fillId="5" borderId="6" xfId="12" applyNumberFormat="1" applyFont="1" applyFill="1" applyBorder="1" applyAlignment="1">
      <alignment wrapText="1"/>
    </xf>
    <xf numFmtId="43" fontId="19" fillId="5" borderId="6" xfId="12" applyNumberFormat="1" applyFont="1" applyFill="1" applyBorder="1"/>
    <xf numFmtId="43" fontId="3" fillId="0" borderId="0" xfId="6" applyFont="1"/>
    <xf numFmtId="0" fontId="12" fillId="0" borderId="0" xfId="14" applyFont="1" applyProtection="1">
      <protection locked="0"/>
    </xf>
    <xf numFmtId="0" fontId="6" fillId="24" borderId="0" xfId="0" applyFont="1" applyFill="1" applyAlignment="1">
      <alignment horizontal="center"/>
    </xf>
    <xf numFmtId="43" fontId="2" fillId="0" borderId="0" xfId="1" applyFont="1" applyFill="1" applyAlignment="1"/>
    <xf numFmtId="43" fontId="2" fillId="0" borderId="0" xfId="1" applyFont="1" applyFill="1" applyBorder="1" applyAlignment="1"/>
    <xf numFmtId="0" fontId="12" fillId="0" borderId="0" xfId="15" applyFont="1" applyProtection="1">
      <protection locked="0"/>
    </xf>
    <xf numFmtId="0" fontId="19" fillId="13" borderId="6" xfId="15" applyFont="1" applyFill="1" applyBorder="1"/>
    <xf numFmtId="43" fontId="19" fillId="13" borderId="6" xfId="15" applyNumberFormat="1" applyFont="1" applyFill="1" applyBorder="1"/>
    <xf numFmtId="0" fontId="21" fillId="0" borderId="28" xfId="15" applyFont="1" applyBorder="1" applyAlignment="1">
      <alignment horizontal="left" indent="2"/>
    </xf>
    <xf numFmtId="43" fontId="21" fillId="0" borderId="0" xfId="15" applyNumberFormat="1" applyFont="1" applyAlignment="1">
      <alignment horizontal="left" indent="2"/>
    </xf>
    <xf numFmtId="43" fontId="21" fillId="19" borderId="13" xfId="15" applyNumberFormat="1" applyFont="1" applyFill="1" applyBorder="1" applyAlignment="1" applyProtection="1">
      <alignment wrapText="1"/>
      <protection locked="0"/>
    </xf>
    <xf numFmtId="43" fontId="21" fillId="0" borderId="13" xfId="15" applyNumberFormat="1" applyFont="1" applyBorder="1" applyAlignment="1">
      <alignment wrapText="1"/>
    </xf>
    <xf numFmtId="0" fontId="40" fillId="0" borderId="0" xfId="0" applyFont="1"/>
    <xf numFmtId="0" fontId="3" fillId="0" borderId="0" xfId="16"/>
    <xf numFmtId="0" fontId="6" fillId="0" borderId="0" xfId="16" applyFont="1" applyAlignment="1">
      <alignment horizontal="center"/>
    </xf>
    <xf numFmtId="17" fontId="7" fillId="0" borderId="0" xfId="16" applyNumberFormat="1" applyFont="1" applyAlignment="1">
      <alignment horizontal="center"/>
    </xf>
    <xf numFmtId="0" fontId="9" fillId="0" borderId="0" xfId="16" applyFont="1"/>
    <xf numFmtId="166" fontId="10" fillId="0" borderId="0" xfId="16" applyNumberFormat="1" applyFont="1"/>
    <xf numFmtId="166" fontId="10" fillId="0" borderId="0" xfId="17" applyNumberFormat="1" applyFont="1"/>
    <xf numFmtId="166" fontId="6" fillId="0" borderId="0" xfId="16" applyNumberFormat="1" applyFont="1"/>
    <xf numFmtId="166" fontId="6" fillId="3" borderId="0" xfId="16" applyNumberFormat="1" applyFont="1" applyFill="1"/>
    <xf numFmtId="166" fontId="6" fillId="0" borderId="0" xfId="17" applyNumberFormat="1" applyFont="1"/>
    <xf numFmtId="0" fontId="3" fillId="0" borderId="0" xfId="17"/>
    <xf numFmtId="166" fontId="3" fillId="0" borderId="0" xfId="16" applyNumberFormat="1"/>
    <xf numFmtId="166" fontId="1" fillId="0" borderId="0" xfId="17" applyNumberFormat="1" applyFont="1"/>
    <xf numFmtId="166" fontId="11" fillId="7" borderId="0" xfId="17" applyNumberFormat="1" applyFont="1" applyFill="1"/>
    <xf numFmtId="166" fontId="11" fillId="8" borderId="0" xfId="17" applyNumberFormat="1" applyFont="1" applyFill="1"/>
    <xf numFmtId="0" fontId="1" fillId="0" borderId="0" xfId="17" applyFont="1"/>
    <xf numFmtId="43" fontId="3" fillId="0" borderId="0" xfId="16" applyNumberFormat="1"/>
    <xf numFmtId="0" fontId="1" fillId="0" borderId="0" xfId="16" applyFont="1"/>
    <xf numFmtId="166" fontId="1" fillId="0" borderId="0" xfId="16" applyNumberFormat="1" applyFont="1"/>
    <xf numFmtId="169" fontId="6" fillId="0" borderId="3" xfId="16" applyNumberFormat="1" applyFont="1" applyBorder="1"/>
    <xf numFmtId="169" fontId="6" fillId="4" borderId="3" xfId="16" applyNumberFormat="1" applyFont="1" applyFill="1" applyBorder="1"/>
    <xf numFmtId="169" fontId="6" fillId="0" borderId="0" xfId="16" applyNumberFormat="1" applyFont="1"/>
    <xf numFmtId="166" fontId="11" fillId="0" borderId="0" xfId="16" applyNumberFormat="1" applyFont="1"/>
    <xf numFmtId="166" fontId="11" fillId="3" borderId="0" xfId="16" applyNumberFormat="1" applyFont="1" applyFill="1"/>
    <xf numFmtId="168" fontId="6" fillId="0" borderId="4" xfId="16" applyNumberFormat="1" applyFont="1" applyBorder="1"/>
    <xf numFmtId="0" fontId="3" fillId="0" borderId="0" xfId="16" applyAlignment="1">
      <alignment horizontal="center"/>
    </xf>
    <xf numFmtId="0" fontId="3" fillId="0" borderId="0" xfId="16" quotePrefix="1" applyAlignment="1">
      <alignment horizontal="center"/>
    </xf>
    <xf numFmtId="0" fontId="8" fillId="0" borderId="0" xfId="16" applyFont="1"/>
    <xf numFmtId="166" fontId="6" fillId="0" borderId="4" xfId="16" applyNumberFormat="1" applyFont="1" applyBorder="1"/>
    <xf numFmtId="0" fontId="12" fillId="0" borderId="0" xfId="16" applyFont="1" applyAlignment="1">
      <alignment horizontal="center"/>
    </xf>
    <xf numFmtId="4" fontId="12" fillId="0" borderId="0" xfId="16" applyNumberFormat="1" applyFont="1" applyAlignment="1">
      <alignment horizontal="center"/>
    </xf>
    <xf numFmtId="4" fontId="3" fillId="0" borderId="0" xfId="16" applyNumberFormat="1"/>
    <xf numFmtId="169" fontId="3" fillId="0" borderId="0" xfId="16" applyNumberFormat="1"/>
    <xf numFmtId="169" fontId="3" fillId="6" borderId="0" xfId="16" applyNumberFormat="1" applyFill="1"/>
    <xf numFmtId="166" fontId="3" fillId="6" borderId="0" xfId="16" applyNumberFormat="1" applyFill="1"/>
    <xf numFmtId="0" fontId="6" fillId="0" borderId="0" xfId="16" applyFont="1" applyAlignment="1">
      <alignment horizontal="right"/>
    </xf>
    <xf numFmtId="0" fontId="3" fillId="0" borderId="0" xfId="16" quotePrefix="1" applyAlignment="1">
      <alignment horizontal="right"/>
    </xf>
    <xf numFmtId="9" fontId="40" fillId="0" borderId="0" xfId="2" applyFont="1"/>
    <xf numFmtId="9" fontId="41" fillId="0" borderId="0" xfId="2" applyFont="1"/>
    <xf numFmtId="0" fontId="2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18">
    <cellStyle name="Comma" xfId="1" builtinId="3"/>
    <cellStyle name="Comma 10" xfId="6" xr:uid="{00000000-0005-0000-0000-000001000000}"/>
    <cellStyle name="Comma 3" xfId="7" xr:uid="{00000000-0005-0000-0000-000002000000}"/>
    <cellStyle name="Currency 2" xfId="4" xr:uid="{00000000-0005-0000-0000-000003000000}"/>
    <cellStyle name="Currency 7 2" xfId="13" xr:uid="{D8709F38-0B07-4C78-B9FC-A09A04102AA0}"/>
    <cellStyle name="Normal" xfId="0" builtinId="0"/>
    <cellStyle name="Normal 2" xfId="9" xr:uid="{00000000-0005-0000-0000-000006000000}"/>
    <cellStyle name="Normal 3" xfId="11" xr:uid="{0B8E0A5D-4E8D-4D59-9F9A-FA359B23D8D0}"/>
    <cellStyle name="Normal 3 2" xfId="17" xr:uid="{93588D06-4F40-49CF-9FE5-D2BF2F381444}"/>
    <cellStyle name="Normal 4" xfId="14" xr:uid="{F1326005-A514-47C1-81C7-0CD4A0AFA41F}"/>
    <cellStyle name="Normal 5" xfId="16" xr:uid="{FC0595D8-3D09-49E1-9E5A-BB26D36ACEC1}"/>
    <cellStyle name="Normal 6" xfId="15" xr:uid="{D05BBD54-1879-4316-AEA0-99B21E91984B}"/>
    <cellStyle name="Normal 9 21" xfId="12" xr:uid="{5DFB36BC-6441-486D-BE29-F128C648093D}"/>
    <cellStyle name="Normal_B-6 2007" xfId="8" xr:uid="{00000000-0005-0000-0000-000007000000}"/>
    <cellStyle name="Normal_MFR_2008 Actual" xfId="3" xr:uid="{00000000-0005-0000-0000-000008000000}"/>
    <cellStyle name="Normal_Sheet1" xfId="5" xr:uid="{00000000-0005-0000-0000-000009000000}"/>
    <cellStyle name="Percent" xfId="2" builtinId="5"/>
    <cellStyle name="Percent 2" xfId="10" xr:uid="{00000000-0005-0000-0000-00000B000000}"/>
  </cellStyles>
  <dxfs count="142"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border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</dxfs>
  <tableStyles count="1" defaultTableStyle="TableStyleMedium2" defaultPivotStyle="PivotStyleLight16">
    <tableStyle name="Invisible" pivot="0" table="0" count="0" xr9:uid="{6AF0FB5B-569B-4010-911D-5413A872886A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822178</xdr:colOff>
      <xdr:row>21</xdr:row>
      <xdr:rowOff>7471</xdr:rowOff>
    </xdr:from>
    <xdr:to>
      <xdr:col>17</xdr:col>
      <xdr:colOff>2454</xdr:colOff>
      <xdr:row>25</xdr:row>
      <xdr:rowOff>40239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7278" y="388471"/>
          <a:ext cx="1851086" cy="794768"/>
        </a:xfrm>
        <a:prstGeom prst="rect">
          <a:avLst/>
        </a:prstGeom>
      </xdr:spPr>
    </xdr:pic>
    <xdr:clientData/>
  </xdr:twoCellAnchor>
  <xdr:twoCellAnchor>
    <xdr:from>
      <xdr:col>14</xdr:col>
      <xdr:colOff>35510</xdr:colOff>
      <xdr:row>26</xdr:row>
      <xdr:rowOff>39684</xdr:rowOff>
    </xdr:from>
    <xdr:to>
      <xdr:col>14</xdr:col>
      <xdr:colOff>778714</xdr:colOff>
      <xdr:row>27</xdr:row>
      <xdr:rowOff>77784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4250" y="1373184"/>
          <a:ext cx="743204" cy="2286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xdr:twoCellAnchor>
    <xdr:from>
      <xdr:col>14</xdr:col>
      <xdr:colOff>29641</xdr:colOff>
      <xdr:row>28</xdr:row>
      <xdr:rowOff>52289</xdr:rowOff>
    </xdr:from>
    <xdr:to>
      <xdr:col>14</xdr:col>
      <xdr:colOff>782787</xdr:colOff>
      <xdr:row>28</xdr:row>
      <xdr:rowOff>268941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188381" y="1682969"/>
          <a:ext cx="753146" cy="21665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SAVE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784860</xdr:colOff>
          <xdr:row>0</xdr:row>
          <xdr:rowOff>0</xdr:rowOff>
        </xdr:to>
        <xdr:sp macro="" textlink="">
          <xdr:nvSpPr>
            <xdr:cNvPr id="13313" name="FPMExcelClientSheetOptionstb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822178</xdr:colOff>
      <xdr:row>21</xdr:row>
      <xdr:rowOff>7471</xdr:rowOff>
    </xdr:from>
    <xdr:to>
      <xdr:col>17</xdr:col>
      <xdr:colOff>2454</xdr:colOff>
      <xdr:row>25</xdr:row>
      <xdr:rowOff>40239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7278" y="388471"/>
          <a:ext cx="1851086" cy="794768"/>
        </a:xfrm>
        <a:prstGeom prst="rect">
          <a:avLst/>
        </a:prstGeom>
      </xdr:spPr>
    </xdr:pic>
    <xdr:clientData/>
  </xdr:twoCellAnchor>
  <xdr:twoCellAnchor>
    <xdr:from>
      <xdr:col>14</xdr:col>
      <xdr:colOff>35510</xdr:colOff>
      <xdr:row>26</xdr:row>
      <xdr:rowOff>39684</xdr:rowOff>
    </xdr:from>
    <xdr:to>
      <xdr:col>14</xdr:col>
      <xdr:colOff>778714</xdr:colOff>
      <xdr:row>27</xdr:row>
      <xdr:rowOff>77784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194250" y="1373184"/>
          <a:ext cx="743204" cy="2286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xdr:twoCellAnchor>
    <xdr:from>
      <xdr:col>14</xdr:col>
      <xdr:colOff>29641</xdr:colOff>
      <xdr:row>28</xdr:row>
      <xdr:rowOff>52289</xdr:rowOff>
    </xdr:from>
    <xdr:to>
      <xdr:col>14</xdr:col>
      <xdr:colOff>782787</xdr:colOff>
      <xdr:row>28</xdr:row>
      <xdr:rowOff>268941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188381" y="1682969"/>
          <a:ext cx="753146" cy="21665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SAVE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784860</xdr:colOff>
          <xdr:row>0</xdr:row>
          <xdr:rowOff>0</xdr:rowOff>
        </xdr:to>
        <xdr:sp macro="" textlink="">
          <xdr:nvSpPr>
            <xdr:cNvPr id="9217" name="FPMExcelClientSheetOptionstb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822178</xdr:colOff>
      <xdr:row>21</xdr:row>
      <xdr:rowOff>7471</xdr:rowOff>
    </xdr:from>
    <xdr:to>
      <xdr:col>17</xdr:col>
      <xdr:colOff>2454</xdr:colOff>
      <xdr:row>25</xdr:row>
      <xdr:rowOff>40239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7278" y="388471"/>
          <a:ext cx="1851086" cy="794768"/>
        </a:xfrm>
        <a:prstGeom prst="rect">
          <a:avLst/>
        </a:prstGeom>
      </xdr:spPr>
    </xdr:pic>
    <xdr:clientData/>
  </xdr:twoCellAnchor>
  <xdr:twoCellAnchor>
    <xdr:from>
      <xdr:col>14</xdr:col>
      <xdr:colOff>35510</xdr:colOff>
      <xdr:row>26</xdr:row>
      <xdr:rowOff>39684</xdr:rowOff>
    </xdr:from>
    <xdr:to>
      <xdr:col>14</xdr:col>
      <xdr:colOff>778714</xdr:colOff>
      <xdr:row>27</xdr:row>
      <xdr:rowOff>77784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194250" y="1373184"/>
          <a:ext cx="743204" cy="2286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xdr:twoCellAnchor>
    <xdr:from>
      <xdr:col>14</xdr:col>
      <xdr:colOff>29641</xdr:colOff>
      <xdr:row>28</xdr:row>
      <xdr:rowOff>52289</xdr:rowOff>
    </xdr:from>
    <xdr:to>
      <xdr:col>14</xdr:col>
      <xdr:colOff>782787</xdr:colOff>
      <xdr:row>28</xdr:row>
      <xdr:rowOff>268941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188381" y="1682969"/>
          <a:ext cx="753146" cy="21665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SAVE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784860</xdr:colOff>
          <xdr:row>0</xdr:row>
          <xdr:rowOff>0</xdr:rowOff>
        </xdr:to>
        <xdr:sp macro="" textlink="">
          <xdr:nvSpPr>
            <xdr:cNvPr id="7169" name="FPMExcelClientSheetOptionstb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472440</xdr:colOff>
      <xdr:row>3</xdr:row>
      <xdr:rowOff>31364</xdr:rowOff>
    </xdr:from>
    <xdr:to>
      <xdr:col>9</xdr:col>
      <xdr:colOff>190500</xdr:colOff>
      <xdr:row>39</xdr:row>
      <xdr:rowOff>126784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" y="534284"/>
          <a:ext cx="5204460" cy="6130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GS_CORP\VOL1\SHARDATA\BUDGET_FIN\Actuals\2015\2015_05%20PGS%20Capital%20Expenditur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Forecasts\Short%20Term%20Forecasting\2021\4+8\4+8%20EE%20Model%20-%20Final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Forecasts\Short%20Term%20Forecasting\Re-RUN\2021\2021%20Budget%20EE%20-%20NT%20(RE-RUN)%20-%20v9.xlsm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https://tecoenergy.sharepoint.com/sites/Controller/RateCase/MFR%20%20Final/Working%20Files%20(Schd.%20A-G)/Schedule%20C/Worksheet%20in%20C%20%20Users%20abuettikofer%20AppData%20Local%20Microsoft%20Windows%20Temporary%20Internet%20Files%20Content.Outlook%20BHVXXRG7%20Interface%20-%20Excel%20JE%20Upload.docx?BAEB0ADA" TargetMode="External"/><Relationship Id="rId1" Type="http://schemas.openxmlformats.org/officeDocument/2006/relationships/externalLinkPath" Target="file:///\\BAEB0ADA\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Journal%20Entries\JE%2060150%20Bad%20Debt\2023\Budget%20and%20Forecasts\Bad%20Debt%202023%207+5F%20+%202024B.xlsb" TargetMode="External"/><Relationship Id="rId1" Type="http://schemas.openxmlformats.org/officeDocument/2006/relationships/externalLinkPath" Target="file:///Y:\Journal%20Entries\JE%2060150%20Bad%20Debt\2023\Budget%20and%20Forecasts\Bad%20Debt%202023%207+5F%20+%202024B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sxr/AppData/Local/Microsoft/Windows/Temporary%20Internet%20Files/Content.Outlook/38VS9KT9/Capital/2015_07%20PGS%20Capital%20Expenditures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Cognos/epp1/Analyst/System/Analyst.xl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22\202205%20System%20Re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sxr/AppData/Local/Microsoft/Windows/Temporary%20Internet%20Files/Content.Outlook/38VS9KT9/Capital/2015_08%20PGS%20Capital%20Expenditur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Svcs\Monthly%20Closeout\2017_ME_REPORTS\Deferred%20Debits%202017\Page%209%20Deferred%20Debit%2001Jan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orecasts\Short%20Term%20Forecasting\2022\4+8\4+8%20EE%20Mode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Files/Bad%20Debt/2021_JE%2060150_BADDEBT%20Relook%207+5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Journal%20Entries\JE%2060150%20Bad%20Debt\2022\6-2022_JE%2060150_BADDE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roject List"/>
      <sheetName val="Actuals"/>
      <sheetName val="Budget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hecklist"/>
      <sheetName val="Drivers "/>
      <sheetName val="Financial Statements ---&gt;"/>
      <sheetName val="FERC - Forecast (2021)"/>
      <sheetName val="FERC - Income St Detail (Frcst)"/>
      <sheetName val="FERC - Budget (2022)"/>
      <sheetName val="FERC - Incme St Detail (budget)"/>
      <sheetName val="Capital"/>
      <sheetName val="Surv Report"/>
      <sheetName val="Data Sources ---&gt;"/>
      <sheetName val="Actual &amp; Forecast"/>
      <sheetName val="Budget"/>
      <sheetName val="Statements ---&gt;"/>
      <sheetName val="IS ACCTS"/>
      <sheetName val="BS ACCTS"/>
      <sheetName val="O&amp;M"/>
      <sheetName val="RNEL"/>
      <sheetName val="SOP"/>
      <sheetName val="SOP worksheet"/>
      <sheetName val="Tax"/>
      <sheetName val="Revenues ---&gt;"/>
      <sheetName val="Total Revs"/>
      <sheetName val="OOR"/>
      <sheetName val="BTL-Other"/>
      <sheetName val="Earnings Estimate ---&gt;"/>
      <sheetName val="2021 Forecast"/>
      <sheetName val="2022 Budget"/>
      <sheetName val="Earnings Est. Detail ---&gt;"/>
      <sheetName val="2021 Forecast - Detail"/>
      <sheetName val="2022 Budget - Detail"/>
      <sheetName val="Major Forecasts ---&gt;"/>
      <sheetName val="Electric CF Impact"/>
      <sheetName val="GAAP Adj (Forecast)"/>
      <sheetName val="Mgmt Adj. (Forecast)"/>
      <sheetName val="Check Tabs ---&gt;"/>
      <sheetName val="IS Check"/>
      <sheetName val="BS Check"/>
      <sheetName val="Check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rivers "/>
      <sheetName val="Financial Statements ---&gt;"/>
      <sheetName val="FERC - Forecast (2021)"/>
      <sheetName val="FERC - Income St Detail (Frcst)"/>
      <sheetName val="FERC - Budget (2022)"/>
      <sheetName val="FERC - Incme St Detail (budget)"/>
      <sheetName val="Capital"/>
      <sheetName val="Electric CF impact"/>
      <sheetName val="Data Sources ---&gt;"/>
      <sheetName val="Actual &amp; Forecast"/>
      <sheetName val="Budget"/>
      <sheetName val="Statements ---&gt;"/>
      <sheetName val="IS ACCTS"/>
      <sheetName val="BS ACCTS"/>
      <sheetName val="O&amp;M"/>
      <sheetName val="RNEL"/>
      <sheetName val="SOP worksheet"/>
      <sheetName val="SOP"/>
      <sheetName val="Tax"/>
      <sheetName val="Revenues ---&gt;"/>
      <sheetName val="Total Revs"/>
      <sheetName val="OOR"/>
      <sheetName val="BTL-Other"/>
      <sheetName val="Recon ---&gt;"/>
      <sheetName val="2019 Actuals"/>
      <sheetName val="2020 Q1F"/>
      <sheetName val="2021 Budget"/>
      <sheetName val="2022 Budget"/>
      <sheetName val="RECONS Variance (detail)"/>
      <sheetName val="Check Tabs ---&gt;"/>
      <sheetName val="IS Check"/>
      <sheetName val="BS Check"/>
      <sheetName val="Check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7+5F + 2024B "/>
      <sheetName val="Total Revenue 2024B"/>
      <sheetName val="Unbilled Ratio 2024B"/>
      <sheetName val="Total Revenue 2023 7+5F"/>
      <sheetName val="1730100 7+5F"/>
      <sheetName val="5+7F - scenario 2"/>
      <sheetName val="5+7F - original calculation"/>
      <sheetName val="Total Revenue 2023 5+7F"/>
      <sheetName val="1730100 5+7F"/>
      <sheetName val="2+10F - scenario 2"/>
      <sheetName val="2+10F - original calculation"/>
      <sheetName val="Total Billed 2023 2+10F"/>
      <sheetName val="2023B"/>
      <sheetName val="Total Billed 2023B"/>
      <sheetName val="Unbilled Revenue 2023B"/>
      <sheetName val="2022 5+7F"/>
      <sheetName val="2022 2+10F (2)"/>
      <sheetName val="2022 2+10F"/>
      <sheetName val="5+7F Total Revenue"/>
      <sheetName val="2+10 Total Revenue"/>
      <sheetName val="2020 7+5, 2021 &amp; 2022 Tot Bil"/>
      <sheetName val="Unbilled Revenue"/>
    </sheetNames>
    <sheetDataSet>
      <sheetData sheetId="0" refreshError="1"/>
      <sheetData sheetId="1">
        <row r="6">
          <cell r="DT6">
            <v>213564017.18000001</v>
          </cell>
          <cell r="DU6">
            <v>191503550.66</v>
          </cell>
          <cell r="DV6">
            <v>198098928.44999999</v>
          </cell>
          <cell r="DW6">
            <v>232628812.09</v>
          </cell>
          <cell r="DX6">
            <v>245445759.97999999</v>
          </cell>
          <cell r="DY6">
            <v>267605891.81999999</v>
          </cell>
          <cell r="DZ6">
            <v>305081830.83000004</v>
          </cell>
          <cell r="EA6">
            <v>300184739.09820306</v>
          </cell>
          <cell r="EB6">
            <v>301017130.94820309</v>
          </cell>
          <cell r="EC6">
            <v>278689990.66820312</v>
          </cell>
          <cell r="ED6">
            <v>239681136.8082031</v>
          </cell>
          <cell r="EE6">
            <v>218162323.0282031</v>
          </cell>
          <cell r="EF6">
            <v>203730026.3889167</v>
          </cell>
          <cell r="EG6">
            <v>190036128.88091668</v>
          </cell>
          <cell r="EH6">
            <v>184400824.10541669</v>
          </cell>
          <cell r="EI6">
            <v>193493611.30766669</v>
          </cell>
          <cell r="EJ6">
            <v>213762603.1389167</v>
          </cell>
          <cell r="EK6">
            <v>246241997.76816669</v>
          </cell>
          <cell r="EL6">
            <v>259022361.40316668</v>
          </cell>
          <cell r="EM6">
            <v>257271029.43916669</v>
          </cell>
          <cell r="EN6">
            <v>263608334.9041667</v>
          </cell>
          <cell r="EO6">
            <v>236534282.9641667</v>
          </cell>
          <cell r="EP6">
            <v>203219473.20916671</v>
          </cell>
          <cell r="EQ6">
            <v>193579187.39416668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S CapEx Support (2)"/>
      <sheetName val="PGS CapEx pg 9"/>
      <sheetName val="PGS CapEx Support"/>
      <sheetName val="Project List"/>
      <sheetName val="New Revenue Mains"/>
      <sheetName val="Actuals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ytum"/>
      <sheetName val="DialogBase"/>
      <sheetName val="Analyst"/>
    </sheetNames>
    <definedNames>
      <definedName name="AdaytumSheetClose"/>
    </defined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tem Report"/>
      <sheetName val="System Report Pg. 1"/>
      <sheetName val="Peak Data Summary"/>
      <sheetName val="Peak Data"/>
      <sheetName val="Avail Cap"/>
      <sheetName val="Peak MW"/>
      <sheetName val="Generation"/>
      <sheetName val="Sales"/>
      <sheetName val="Purchases"/>
      <sheetName val="Cogen Wheeling"/>
      <sheetName val="MCKAY BAY"/>
      <sheetName val="HILLS CTY"/>
      <sheetName val="IPP(Calpine)"/>
      <sheetName val="IPP (Osprey)"/>
      <sheetName val="Trans Sched"/>
      <sheetName val="NSI &amp; Received-Delivered"/>
      <sheetName val="Losses"/>
      <sheetName val="Inadv Unadjust Retail NEL"/>
      <sheetName val="FTMS"/>
      <sheetName val="202205 System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S CapEx"/>
      <sheetName val="PGS CapEx Support"/>
      <sheetName val="Project List"/>
      <sheetName val="New Revenue Mains"/>
      <sheetName val="Actuals"/>
      <sheetName val="Budget"/>
      <sheetName val="20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_DD_SUMMARY"/>
      <sheetName val="pivot"/>
      <sheetName val="query"/>
      <sheetName val="FP query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Notes"/>
      <sheetName val="Drivers "/>
      <sheetName val="Financial Statements ---&gt;"/>
      <sheetName val="HFM"/>
      <sheetName val="GAAP"/>
      <sheetName val="Capital"/>
      <sheetName val="Data Sources ---&gt;"/>
      <sheetName val="Data"/>
      <sheetName val="Statements ---&gt;"/>
      <sheetName val="IS ACCTS"/>
      <sheetName val="BS ACCTS"/>
      <sheetName val="O&amp;M"/>
      <sheetName val="RNEL"/>
      <sheetName val="SOP"/>
      <sheetName val="SOP worksheet"/>
      <sheetName val="Tax"/>
      <sheetName val="Revenues ---&gt;"/>
      <sheetName val="Total Revs"/>
      <sheetName val="OOR"/>
      <sheetName val="BTL-Other"/>
      <sheetName val="ROI"/>
      <sheetName val="Earnings Estimate ---&gt;"/>
      <sheetName val="EE"/>
      <sheetName val="EE - Detail"/>
      <sheetName val="Major Forecasts ---&gt;"/>
      <sheetName val="Electric CF Impact"/>
      <sheetName val="GAAP Adj (Forecast)"/>
      <sheetName val="Mgmt Adj. (Forecast)"/>
      <sheetName val="Check Tabs ---&gt;"/>
      <sheetName val="IS Check"/>
      <sheetName val="BS Check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ook Chronister"/>
      <sheetName val="Data with with ratios"/>
      <sheetName val="Data"/>
      <sheetName val="7+5 Data with Projections"/>
      <sheetName val="4+8 Data with Projections "/>
      <sheetName val="IS Approach 7+5F"/>
      <sheetName val="JE Upload 60150"/>
      <sheetName val="March Entry"/>
      <sheetName val="February Entry"/>
      <sheetName val="January Entry"/>
      <sheetName val="Total Revenue"/>
      <sheetName val="Actual Bad Debt Exp Calc"/>
      <sheetName val="Actual Reserve Balance Calc"/>
      <sheetName val="Rolling 12 Mth Avg"/>
      <sheetName val="Write-Off Rate Calc"/>
      <sheetName val="Support Queries"/>
      <sheetName val="Support - Revenue Recap"/>
      <sheetName val="Budget Variance Analysis"/>
      <sheetName val="Total AR Estimation"/>
      <sheetName val="Budgeted Bad Debt Calc"/>
      <sheetName val="Forecasts Over Time"/>
      <sheetName val="Chart &amp; Grid AR Agings"/>
      <sheetName val="Historical Grid WO Activity"/>
      <sheetName val="Historical WO Age of Customer"/>
      <sheetName val="Tracking 1440020"/>
      <sheetName val="&lt;= JE Backup + History =&gt;"/>
      <sheetName val="1440020 6790020 Misc AR 1430000"/>
      <sheetName val="Proof Total Billed+Misc Svc Rev"/>
      <sheetName val="Historical Grid Bad Debt Exp"/>
      <sheetName val="Historical Grid Revenues"/>
      <sheetName val="Chart Bad Debt vs. Write-off"/>
      <sheetName val="Longer Term Bad Debt vs Net WO"/>
      <sheetName val="Chart &amp; Grid Net WO Ratios"/>
      <sheetName val="Chart &amp; Grid AR vs Deposits"/>
      <sheetName val="Chart &amp; Grid 144 Reserve"/>
      <sheetName val="RA &amp; Integrity Controls"/>
      <sheetName val="OLD Proced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 60150"/>
      <sheetName val="Income Statement Approach"/>
      <sheetName val="May Entry"/>
      <sheetName val="April Entry"/>
      <sheetName val="March Entry"/>
      <sheetName val="February Entry"/>
      <sheetName val="January Entry"/>
      <sheetName val="Total Revenue"/>
      <sheetName val="IS Approach 2022B"/>
      <sheetName val="Actual Bad Debt Exp Calc"/>
      <sheetName val="Actual Reserve Balance Calc"/>
      <sheetName val="Rolling 12 Mth Avg"/>
      <sheetName val="Write-Off Rate Calc"/>
      <sheetName val="Support Queries"/>
      <sheetName val="Budget Variance Analysis"/>
      <sheetName val="Total AR Estimation"/>
      <sheetName val="Budgeted Bad Debt Calc"/>
      <sheetName val="Support - Revenue Recap"/>
      <sheetName val="Forecasts Over Time"/>
      <sheetName val="Chart &amp; Grid AR Agings"/>
      <sheetName val="Historical Grid WO Activity"/>
      <sheetName val="Historical WO Age of Customer"/>
      <sheetName val="Tracking 1440020"/>
      <sheetName val="&lt;= JE Backup + History =&gt;"/>
      <sheetName val="1440020 6790020 Misc AR 1430000"/>
      <sheetName val="Proof Total Billed+Misc Svc Rev"/>
      <sheetName val="Historical Grid Bad Debt Exp"/>
      <sheetName val="Historical Grid Revenues"/>
      <sheetName val="Chart Bad Debt vs. Write-off"/>
      <sheetName val="Longer Term Bad Debt vs Net WO"/>
      <sheetName val="Chart &amp; Grid Net WO Ratios"/>
      <sheetName val="Chart &amp; Grid AR vs Deposits"/>
      <sheetName val="Chart &amp; Grid 144 Reserve"/>
      <sheetName val="RA &amp; Integrity Controls"/>
      <sheetName val="OLD Proced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M8" dT="2023-11-16T16:44:09.23" personId="{00000000-0000-0000-0000-000000000000}" id="{C34EC510-D9FD-46BB-88B7-D30103C4C4E4}">
    <text>Customer Reserve Manual Adjustment of $2M</text>
  </threadedComment>
  <threadedComment ref="CR16" dT="2023-08-22T21:07:36.67" personId="{00000000-0000-0000-0000-000000000000}" id="{35FB91E7-3876-4444-B19B-704E2076DE9D}">
    <text>American Info Age</text>
  </threadedComment>
  <threadedComment ref="DG16" dT="2023-08-22T21:08:59.08" personId="{00000000-0000-0000-0000-000000000000}" id="{C64ACB6A-5E0B-44EA-942C-1C021CDA7E0D}">
    <text>Customer Reserve Adjustment (CE Initiative)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M8" dT="2023-06-14T20:02:17.00" personId="{00000000-0000-0000-0000-000000000000}" id="{1E23E1F7-9E43-41D2-8EAE-2E13D02269F9}">
    <text>Customer Reserve Manual Adjustment of $2M</text>
  </threadedComment>
  <threadedComment ref="CR16" dT="2023-08-22T21:07:36.67" personId="{00000000-0000-0000-0000-000000000000}" id="{C280F783-441B-4801-A209-BA57A1928738}">
    <text>American Info Age</text>
  </threadedComment>
  <threadedComment ref="DG16" dT="2023-08-22T21:08:59.08" personId="{00000000-0000-0000-0000-000000000000}" id="{91380F87-8CB9-4F00-BC43-A2AE2D9A825C}">
    <text>Customer Reserve Adjustment (CE Initiative)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3.emf"/><Relationship Id="rId5" Type="http://schemas.openxmlformats.org/officeDocument/2006/relationships/control" Target="../activeX/activeX2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7" Type="http://schemas.openxmlformats.org/officeDocument/2006/relationships/image" Target="../media/image4.emf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3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V51"/>
  <sheetViews>
    <sheetView tabSelected="1" view="pageBreakPreview" zoomScaleNormal="100" zoomScaleSheetLayoutView="100" workbookViewId="0">
      <selection activeCell="Q7" sqref="Q7"/>
    </sheetView>
  </sheetViews>
  <sheetFormatPr defaultColWidth="9.109375" defaultRowHeight="13.2" x14ac:dyDescent="0.25"/>
  <cols>
    <col min="1" max="1" width="4.6640625" customWidth="1"/>
    <col min="3" max="5" width="9.33203125" customWidth="1"/>
    <col min="6" max="6" width="11.33203125" customWidth="1"/>
    <col min="7" max="17" width="9.33203125" customWidth="1"/>
    <col min="18" max="18" width="16" bestFit="1" customWidth="1"/>
    <col min="19" max="19" width="9.33203125" customWidth="1"/>
    <col min="21" max="21" width="9.33203125" customWidth="1"/>
    <col min="22" max="22" width="3.44140625" customWidth="1"/>
    <col min="23" max="23" width="42.109375" bestFit="1" customWidth="1"/>
  </cols>
  <sheetData>
    <row r="1" spans="1:22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9"/>
      <c r="I1" s="9" t="s">
        <v>1</v>
      </c>
      <c r="J1" s="1"/>
      <c r="K1" s="1"/>
      <c r="L1" s="1"/>
      <c r="M1" s="1"/>
      <c r="N1" s="1"/>
      <c r="O1" s="1"/>
      <c r="P1" s="1"/>
      <c r="Q1" s="1"/>
      <c r="R1" s="1"/>
      <c r="S1" s="1" t="s">
        <v>2</v>
      </c>
    </row>
    <row r="2" spans="1:22" ht="15" customHeight="1" x14ac:dyDescent="0.25">
      <c r="A2" s="3" t="s">
        <v>3</v>
      </c>
      <c r="B2" s="3"/>
      <c r="C2" s="3"/>
      <c r="D2" s="3"/>
      <c r="E2" s="3"/>
      <c r="F2" s="3" t="s">
        <v>4</v>
      </c>
      <c r="G2" s="4" t="s">
        <v>5</v>
      </c>
      <c r="H2" s="4"/>
      <c r="I2" s="4"/>
      <c r="J2" s="5"/>
      <c r="K2" s="5"/>
      <c r="L2" s="3"/>
      <c r="M2" s="5"/>
      <c r="N2" s="5"/>
      <c r="O2" s="5"/>
      <c r="P2" s="5" t="s">
        <v>6</v>
      </c>
      <c r="Q2" s="3"/>
      <c r="R2" s="3"/>
      <c r="S2" s="6"/>
    </row>
    <row r="3" spans="1:22" ht="15" customHeight="1" x14ac:dyDescent="0.25">
      <c r="A3" s="3"/>
      <c r="B3" s="3"/>
      <c r="C3" s="3"/>
      <c r="D3" s="3"/>
      <c r="E3" s="3"/>
      <c r="F3" s="3"/>
      <c r="G3" s="4" t="s">
        <v>7</v>
      </c>
      <c r="H3" s="4"/>
      <c r="I3" s="4"/>
      <c r="J3" s="7"/>
      <c r="K3" s="6"/>
      <c r="L3" s="3"/>
      <c r="M3" s="3"/>
      <c r="N3" s="3"/>
      <c r="O3" s="7"/>
      <c r="P3" s="7" t="s">
        <v>8</v>
      </c>
      <c r="Q3" s="6" t="s">
        <v>9</v>
      </c>
      <c r="R3" s="3"/>
      <c r="S3" s="7"/>
    </row>
    <row r="4" spans="1:22" ht="15" customHeight="1" x14ac:dyDescent="0.25">
      <c r="A4" s="3" t="s">
        <v>10</v>
      </c>
      <c r="B4" s="3"/>
      <c r="C4" s="3"/>
      <c r="D4" s="3"/>
      <c r="E4" s="3"/>
      <c r="F4" s="3"/>
      <c r="G4" s="4"/>
      <c r="H4" s="3"/>
      <c r="I4" s="3"/>
      <c r="J4" s="7"/>
      <c r="K4" s="6"/>
      <c r="L4" s="7"/>
      <c r="M4" s="3"/>
      <c r="N4" s="3"/>
      <c r="O4" s="3"/>
      <c r="P4" s="7" t="s">
        <v>8</v>
      </c>
      <c r="Q4" s="6" t="s">
        <v>11</v>
      </c>
      <c r="R4" s="3"/>
      <c r="S4" s="7"/>
    </row>
    <row r="5" spans="1:22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7"/>
      <c r="K5" s="6"/>
      <c r="L5" s="7"/>
      <c r="M5" s="3"/>
      <c r="N5" s="3"/>
      <c r="O5" s="3"/>
      <c r="P5" s="7" t="s">
        <v>8</v>
      </c>
      <c r="Q5" s="6" t="s">
        <v>12</v>
      </c>
      <c r="R5" s="3"/>
      <c r="S5" s="7"/>
    </row>
    <row r="6" spans="1:22" ht="15" customHeight="1" x14ac:dyDescent="0.25">
      <c r="A6" s="4" t="s">
        <v>602</v>
      </c>
      <c r="B6" s="4"/>
      <c r="C6" s="3"/>
      <c r="D6" s="3"/>
      <c r="E6" s="3"/>
      <c r="F6" s="3"/>
      <c r="G6" s="3"/>
      <c r="H6" s="3"/>
      <c r="I6" s="3"/>
      <c r="J6" s="4" t="s">
        <v>13</v>
      </c>
      <c r="K6" s="3"/>
      <c r="L6" s="3"/>
      <c r="M6" s="3"/>
      <c r="N6" s="3"/>
      <c r="O6" s="3"/>
      <c r="P6" s="3"/>
      <c r="Q6" s="4" t="s">
        <v>603</v>
      </c>
      <c r="R6" s="3"/>
      <c r="S6" s="3"/>
    </row>
    <row r="7" spans="1:22" ht="15" customHeight="1" thickBot="1" x14ac:dyDescent="0.3">
      <c r="A7" s="2"/>
      <c r="B7" s="2"/>
      <c r="C7" s="1"/>
      <c r="D7" s="1"/>
      <c r="E7" s="1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2"/>
      <c r="R7" s="1"/>
      <c r="S7" s="1"/>
    </row>
    <row r="8" spans="1:22" ht="15" customHeight="1" x14ac:dyDescent="0.25">
      <c r="A8" s="4"/>
      <c r="B8" s="4"/>
      <c r="C8" s="8"/>
      <c r="D8" s="8"/>
      <c r="E8" s="8"/>
      <c r="F8" s="8"/>
      <c r="G8" s="8"/>
      <c r="H8" s="8" t="s">
        <v>14</v>
      </c>
      <c r="I8" s="8"/>
      <c r="J8" s="55" t="s">
        <v>15</v>
      </c>
      <c r="K8" s="4"/>
      <c r="L8" s="55" t="s">
        <v>16</v>
      </c>
      <c r="M8" s="4"/>
      <c r="N8" s="55" t="s">
        <v>17</v>
      </c>
      <c r="O8" s="8"/>
      <c r="P8" s="8" t="s">
        <v>18</v>
      </c>
      <c r="Q8" s="8"/>
      <c r="R8" s="55"/>
      <c r="S8" s="8"/>
    </row>
    <row r="9" spans="1:22" ht="15" customHeight="1" x14ac:dyDescent="0.25">
      <c r="A9" s="4"/>
      <c r="B9" s="4"/>
      <c r="C9" s="55"/>
      <c r="D9" s="55"/>
      <c r="E9" s="55"/>
      <c r="F9" s="55"/>
      <c r="G9" s="8"/>
      <c r="H9" s="55"/>
      <c r="I9" s="8"/>
      <c r="J9" s="55" t="s">
        <v>19</v>
      </c>
      <c r="K9" s="4"/>
      <c r="L9" s="55" t="s">
        <v>20</v>
      </c>
      <c r="M9" s="4"/>
      <c r="N9" s="55" t="s">
        <v>21</v>
      </c>
      <c r="O9" s="8"/>
      <c r="P9" s="55"/>
      <c r="Q9" s="55"/>
      <c r="R9" s="8"/>
      <c r="S9" s="55"/>
    </row>
    <row r="10" spans="1:22" ht="15" customHeight="1" x14ac:dyDescent="0.25">
      <c r="A10" s="4"/>
      <c r="B10" s="55"/>
      <c r="C10" s="55"/>
      <c r="D10" s="55"/>
      <c r="E10" s="55"/>
      <c r="F10" s="55"/>
      <c r="G10" s="55"/>
      <c r="H10" s="55" t="s">
        <v>22</v>
      </c>
      <c r="I10" s="55"/>
      <c r="J10" s="55" t="s">
        <v>23</v>
      </c>
      <c r="K10" s="4"/>
      <c r="L10" s="55" t="s">
        <v>24</v>
      </c>
      <c r="M10" s="4"/>
      <c r="N10" s="55" t="s">
        <v>25</v>
      </c>
      <c r="O10" s="55"/>
      <c r="P10" s="55" t="s">
        <v>26</v>
      </c>
      <c r="Q10" s="55"/>
      <c r="R10" s="55"/>
      <c r="S10" s="55"/>
    </row>
    <row r="11" spans="1:22" ht="15" customHeight="1" x14ac:dyDescent="0.25">
      <c r="A11" s="4" t="s">
        <v>27</v>
      </c>
      <c r="B11" s="55"/>
      <c r="C11" s="55"/>
      <c r="D11" s="255" t="s">
        <v>28</v>
      </c>
      <c r="E11" s="255"/>
      <c r="F11" s="55"/>
      <c r="G11" s="55"/>
      <c r="H11" s="55" t="s">
        <v>29</v>
      </c>
      <c r="I11" s="55"/>
      <c r="J11" s="55" t="s">
        <v>30</v>
      </c>
      <c r="K11" s="4"/>
      <c r="L11" s="55" t="s">
        <v>31</v>
      </c>
      <c r="M11" s="4"/>
      <c r="N11" s="55" t="s">
        <v>31</v>
      </c>
      <c r="O11" s="55"/>
      <c r="P11" s="55" t="s">
        <v>32</v>
      </c>
      <c r="Q11" s="55"/>
      <c r="R11" s="55"/>
      <c r="S11" s="55"/>
    </row>
    <row r="12" spans="1:22" ht="15" customHeight="1" thickBot="1" x14ac:dyDescent="0.3">
      <c r="A12" s="2" t="s">
        <v>33</v>
      </c>
      <c r="B12" s="9"/>
      <c r="C12" s="9"/>
      <c r="D12" s="9"/>
      <c r="E12" s="9"/>
      <c r="F12" s="9"/>
      <c r="G12" s="9"/>
      <c r="H12" s="9"/>
      <c r="I12" s="9"/>
      <c r="J12" s="9" t="s">
        <v>29</v>
      </c>
      <c r="K12" s="2"/>
      <c r="L12" s="9" t="s">
        <v>34</v>
      </c>
      <c r="M12" s="2"/>
      <c r="N12" s="2"/>
      <c r="O12" s="9"/>
      <c r="P12" s="9" t="s">
        <v>35</v>
      </c>
      <c r="Q12" s="9"/>
      <c r="R12" s="9"/>
      <c r="S12" s="9"/>
      <c r="U12" s="253" t="s">
        <v>36</v>
      </c>
      <c r="V12" s="253"/>
    </row>
    <row r="13" spans="1:22" ht="15" customHeight="1" x14ac:dyDescent="0.25">
      <c r="A13" s="4">
        <v>1</v>
      </c>
      <c r="B13" s="10"/>
      <c r="C13" s="12"/>
      <c r="D13" s="10"/>
      <c r="E13" s="10"/>
      <c r="F13" s="13"/>
      <c r="G13" s="4"/>
      <c r="H13" s="55"/>
      <c r="I13" s="55"/>
      <c r="J13" s="55"/>
      <c r="K13" s="55"/>
      <c r="L13" s="55"/>
      <c r="M13" s="55"/>
      <c r="N13" s="55"/>
      <c r="O13" s="49"/>
      <c r="P13" s="49"/>
      <c r="Q13" s="10"/>
      <c r="R13" s="14"/>
      <c r="S13" s="13"/>
      <c r="U13" s="253"/>
      <c r="V13" s="253"/>
    </row>
    <row r="14" spans="1:22" ht="15" customHeight="1" x14ac:dyDescent="0.25">
      <c r="A14" s="4">
        <v>2</v>
      </c>
      <c r="B14" s="10"/>
      <c r="C14" s="15"/>
      <c r="D14" s="4">
        <v>2020</v>
      </c>
      <c r="E14" s="4" t="s">
        <v>37</v>
      </c>
      <c r="F14" s="4"/>
      <c r="G14" s="4"/>
      <c r="H14" s="50">
        <v>3330.4184270000001</v>
      </c>
      <c r="I14" s="50"/>
      <c r="J14" s="50">
        <v>1861708.7807700001</v>
      </c>
      <c r="K14" s="50"/>
      <c r="L14" s="50"/>
      <c r="M14" s="50"/>
      <c r="N14" s="50">
        <f>+J14-L14</f>
        <v>1861708.7807700001</v>
      </c>
      <c r="O14" s="55"/>
      <c r="P14" s="51">
        <f>+H14/N14</f>
        <v>1.7889040764058404E-3</v>
      </c>
      <c r="Q14" s="4"/>
      <c r="R14" s="16"/>
      <c r="S14" s="4"/>
      <c r="T14" s="94"/>
      <c r="U14" s="253">
        <f>P14-'2024 - 2025 Support Data'!CU13</f>
        <v>-1.1530663576730937E-13</v>
      </c>
      <c r="V14" s="254"/>
    </row>
    <row r="15" spans="1:22" ht="15" customHeight="1" x14ac:dyDescent="0.25">
      <c r="A15" s="4">
        <v>3</v>
      </c>
      <c r="B15" s="10"/>
      <c r="C15" s="12"/>
      <c r="D15" s="4"/>
      <c r="E15" s="4"/>
      <c r="F15" s="4"/>
      <c r="G15" s="4"/>
      <c r="H15" s="50"/>
      <c r="I15" s="50"/>
      <c r="J15" s="50"/>
      <c r="K15" s="50"/>
      <c r="L15" s="50"/>
      <c r="M15" s="50"/>
      <c r="N15" s="50"/>
      <c r="O15" s="49"/>
      <c r="P15" s="51"/>
      <c r="Q15" s="17"/>
      <c r="R15" s="14"/>
      <c r="S15" s="18"/>
      <c r="T15" s="94"/>
      <c r="U15" s="253"/>
      <c r="V15" s="254"/>
    </row>
    <row r="16" spans="1:22" ht="15" customHeight="1" x14ac:dyDescent="0.25">
      <c r="A16" s="4">
        <v>4</v>
      </c>
      <c r="B16" s="10"/>
      <c r="C16" s="15"/>
      <c r="D16" s="4">
        <v>2021</v>
      </c>
      <c r="E16" s="4" t="s">
        <v>37</v>
      </c>
      <c r="F16" s="4"/>
      <c r="G16" s="4"/>
      <c r="H16" s="50">
        <v>6326.1644100100002</v>
      </c>
      <c r="I16" s="50"/>
      <c r="J16" s="50">
        <v>2058930.91753</v>
      </c>
      <c r="K16" s="50"/>
      <c r="L16" s="50"/>
      <c r="M16" s="50"/>
      <c r="N16" s="50">
        <f>+J16-L16</f>
        <v>2058930.91753</v>
      </c>
      <c r="O16" s="55"/>
      <c r="P16" s="51">
        <f>+H16/N16</f>
        <v>3.0725481637816163E-3</v>
      </c>
      <c r="Q16" s="4"/>
      <c r="R16" s="16"/>
      <c r="S16" s="4"/>
      <c r="T16" s="94"/>
      <c r="U16" s="253">
        <f>P16-'2024 - 2025 Support Data'!DG13</f>
        <v>0</v>
      </c>
      <c r="V16" s="254"/>
    </row>
    <row r="17" spans="1:22" ht="15" customHeight="1" x14ac:dyDescent="0.25">
      <c r="A17" s="4">
        <v>5</v>
      </c>
      <c r="B17" s="10"/>
      <c r="C17" s="12"/>
      <c r="D17" s="4"/>
      <c r="E17" s="4"/>
      <c r="F17" s="13"/>
      <c r="G17" s="4"/>
      <c r="H17" s="50"/>
      <c r="I17" s="50"/>
      <c r="J17" s="50"/>
      <c r="K17" s="50"/>
      <c r="L17" s="50"/>
      <c r="M17" s="50"/>
      <c r="N17" s="50"/>
      <c r="O17" s="52"/>
      <c r="P17" s="51"/>
      <c r="Q17" s="17"/>
      <c r="R17" s="14"/>
      <c r="S17" s="18"/>
      <c r="T17" s="94"/>
      <c r="U17" s="253"/>
      <c r="V17" s="254"/>
    </row>
    <row r="18" spans="1:22" ht="15" customHeight="1" x14ac:dyDescent="0.25">
      <c r="A18" s="4">
        <v>6</v>
      </c>
      <c r="B18" s="10"/>
      <c r="C18" s="15"/>
      <c r="D18" s="4">
        <v>2022</v>
      </c>
      <c r="E18" s="4" t="s">
        <v>37</v>
      </c>
      <c r="F18" s="4"/>
      <c r="G18" s="4"/>
      <c r="H18" s="50">
        <v>5707.8096638550005</v>
      </c>
      <c r="I18" s="50"/>
      <c r="J18" s="50">
        <v>2424891.9016100001</v>
      </c>
      <c r="K18" s="50"/>
      <c r="L18" s="50"/>
      <c r="M18" s="50"/>
      <c r="N18" s="50">
        <f>+J18-L18</f>
        <v>2424891.9016100001</v>
      </c>
      <c r="O18" s="55"/>
      <c r="P18" s="51">
        <f>+H18/N18</f>
        <v>2.3538408702117059E-3</v>
      </c>
      <c r="Q18" s="4"/>
      <c r="R18" s="207"/>
      <c r="S18" s="4"/>
      <c r="T18" s="94"/>
      <c r="U18" s="253">
        <f>P18-'2024 - 2025 Support Data'!DS13</f>
        <v>0</v>
      </c>
      <c r="V18" s="254"/>
    </row>
    <row r="19" spans="1:22" ht="15" customHeight="1" x14ac:dyDescent="0.25">
      <c r="A19" s="4">
        <v>7</v>
      </c>
      <c r="B19" s="10"/>
      <c r="C19" s="12"/>
      <c r="D19" s="4"/>
      <c r="E19" s="4"/>
      <c r="F19" s="18"/>
      <c r="G19" s="4"/>
      <c r="H19" s="50"/>
      <c r="I19" s="50"/>
      <c r="J19" s="50"/>
      <c r="K19" s="50"/>
      <c r="L19" s="50"/>
      <c r="M19" s="50"/>
      <c r="N19" s="50"/>
      <c r="O19" s="53"/>
      <c r="P19" s="54"/>
      <c r="Q19" s="17"/>
      <c r="R19" s="208"/>
      <c r="S19" s="18"/>
      <c r="T19" s="94"/>
      <c r="U19" s="253"/>
      <c r="V19" s="254"/>
    </row>
    <row r="20" spans="1:22" ht="15" customHeight="1" x14ac:dyDescent="0.25">
      <c r="A20" s="4">
        <v>8</v>
      </c>
      <c r="B20" s="10"/>
      <c r="C20" s="15"/>
      <c r="D20" s="4">
        <v>2023</v>
      </c>
      <c r="E20" s="4" t="s">
        <v>37</v>
      </c>
      <c r="F20" s="4"/>
      <c r="G20" s="4"/>
      <c r="H20" s="50">
        <f>'2023 Support Data'!EE10/1000</f>
        <v>8581.2263399999993</v>
      </c>
      <c r="I20" s="50"/>
      <c r="J20" s="50">
        <f>'2023 Support Data'!EE11/1000</f>
        <v>2869753.2894889996</v>
      </c>
      <c r="K20" s="50"/>
      <c r="L20" s="50"/>
      <c r="M20" s="50"/>
      <c r="N20" s="50">
        <f>+J20-L20</f>
        <v>2869753.2894889996</v>
      </c>
      <c r="O20" s="55"/>
      <c r="P20" s="51">
        <f>+H20/N20</f>
        <v>2.9902313803177164E-3</v>
      </c>
      <c r="Q20" s="4"/>
      <c r="R20" s="207"/>
      <c r="S20" s="4"/>
      <c r="U20" s="253">
        <f>P20-'2023 Support Data'!EE13</f>
        <v>0</v>
      </c>
      <c r="V20" s="254"/>
    </row>
    <row r="21" spans="1:22" ht="15" customHeight="1" x14ac:dyDescent="0.25">
      <c r="A21" s="4">
        <v>9</v>
      </c>
      <c r="B21" s="10"/>
      <c r="C21" s="15"/>
      <c r="D21" s="4"/>
      <c r="E21" s="4"/>
      <c r="F21" s="4"/>
      <c r="G21" s="4"/>
      <c r="H21" s="50"/>
      <c r="I21" s="50"/>
      <c r="J21" s="50"/>
      <c r="K21" s="50"/>
      <c r="L21" s="50"/>
      <c r="M21" s="50"/>
      <c r="N21" s="50"/>
      <c r="O21" s="55"/>
      <c r="P21" s="51"/>
      <c r="Q21" s="4"/>
      <c r="R21" s="4"/>
      <c r="S21" s="4"/>
      <c r="U21" s="253"/>
      <c r="V21" s="254"/>
    </row>
    <row r="22" spans="1:22" ht="15" customHeight="1" x14ac:dyDescent="0.25">
      <c r="A22" s="4">
        <v>10</v>
      </c>
      <c r="B22" s="10"/>
      <c r="C22" s="12"/>
      <c r="D22" s="4">
        <v>2024</v>
      </c>
      <c r="E22" s="4" t="s">
        <v>38</v>
      </c>
      <c r="F22" s="18"/>
      <c r="G22" s="4"/>
      <c r="H22" s="50">
        <v>6147.8509999999997</v>
      </c>
      <c r="I22" s="50"/>
      <c r="J22" s="50">
        <v>2748100.3678411101</v>
      </c>
      <c r="K22" s="50"/>
      <c r="L22" s="50"/>
      <c r="M22" s="50"/>
      <c r="N22" s="50">
        <f>+J22-L22</f>
        <v>2748100.3678411101</v>
      </c>
      <c r="O22" s="53"/>
      <c r="P22" s="51">
        <f>+H22/N22</f>
        <v>2.2371275343300912E-3</v>
      </c>
      <c r="Q22" s="17"/>
      <c r="R22" s="14"/>
      <c r="S22" s="18"/>
      <c r="U22" s="253">
        <f>P22-'2024 - 2025 Support Data'!EQ13</f>
        <v>0</v>
      </c>
      <c r="V22" s="254"/>
    </row>
    <row r="23" spans="1:22" ht="15" customHeight="1" x14ac:dyDescent="0.25">
      <c r="A23" s="4">
        <v>11</v>
      </c>
      <c r="B23" s="10"/>
      <c r="C23" s="15"/>
      <c r="D23" s="4"/>
      <c r="E23" s="4"/>
      <c r="F23" s="4"/>
      <c r="G23" s="4"/>
      <c r="H23" s="50"/>
      <c r="I23" s="50"/>
      <c r="J23" s="50"/>
      <c r="K23" s="50"/>
      <c r="L23" s="50"/>
      <c r="M23" s="50"/>
      <c r="N23" s="50"/>
      <c r="O23" s="55"/>
      <c r="P23" s="51"/>
      <c r="Q23" s="4"/>
      <c r="R23" s="16"/>
      <c r="S23" s="4"/>
      <c r="U23" s="253"/>
      <c r="V23" s="254"/>
    </row>
    <row r="24" spans="1:22" ht="15" customHeight="1" x14ac:dyDescent="0.25">
      <c r="A24" s="4">
        <v>12</v>
      </c>
      <c r="B24" s="10"/>
      <c r="C24" s="15"/>
      <c r="D24" s="4">
        <v>2025</v>
      </c>
      <c r="E24" s="4" t="s">
        <v>38</v>
      </c>
      <c r="F24" s="4"/>
      <c r="G24" s="4"/>
      <c r="H24" s="50">
        <v>5815.3819999999996</v>
      </c>
      <c r="I24" s="50"/>
      <c r="J24" s="50">
        <v>2599484.8677014997</v>
      </c>
      <c r="K24" s="50"/>
      <c r="L24" s="50"/>
      <c r="M24" s="50"/>
      <c r="N24" s="50">
        <f>+J24-L24</f>
        <v>2599484.8677014997</v>
      </c>
      <c r="O24" s="55"/>
      <c r="P24" s="51">
        <f>+H24/N24</f>
        <v>2.2371286220034974E-3</v>
      </c>
      <c r="Q24" s="4"/>
      <c r="R24" s="4"/>
      <c r="S24" s="4"/>
      <c r="U24" s="253">
        <f>P24-'2024 - 2025 Support Data'!FC13</f>
        <v>0</v>
      </c>
      <c r="V24" s="254"/>
    </row>
    <row r="25" spans="1:22" ht="15" customHeight="1" x14ac:dyDescent="0.25">
      <c r="A25" s="4">
        <v>13</v>
      </c>
      <c r="B25" s="10"/>
      <c r="C25" s="12"/>
      <c r="D25" s="4"/>
      <c r="E25" s="4"/>
      <c r="F25" s="18"/>
      <c r="G25" s="4"/>
      <c r="H25" s="4"/>
      <c r="I25" s="4"/>
      <c r="J25" s="4"/>
      <c r="K25" s="4"/>
      <c r="L25" s="4"/>
      <c r="M25" s="4"/>
      <c r="N25" s="4"/>
      <c r="O25" s="18"/>
      <c r="P25" s="18"/>
      <c r="Q25" s="17"/>
      <c r="R25" s="14"/>
      <c r="S25" s="18"/>
      <c r="U25" s="216"/>
    </row>
    <row r="26" spans="1:22" ht="15" customHeight="1" x14ac:dyDescent="0.25">
      <c r="A26" s="4">
        <v>14</v>
      </c>
      <c r="B26" s="10"/>
      <c r="C26" s="1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6"/>
      <c r="S26" s="4"/>
    </row>
    <row r="27" spans="1:22" ht="15" customHeight="1" x14ac:dyDescent="0.25">
      <c r="A27" s="4">
        <v>15</v>
      </c>
      <c r="B27" s="10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22" ht="15" customHeight="1" x14ac:dyDescent="0.25">
      <c r="A28" s="4">
        <v>16</v>
      </c>
      <c r="B28" s="10"/>
      <c r="C28" s="12"/>
      <c r="D28" s="4"/>
      <c r="E28" s="4"/>
      <c r="F28" s="18"/>
      <c r="G28" s="4"/>
      <c r="H28" s="4"/>
      <c r="I28" s="4"/>
      <c r="J28" s="4"/>
      <c r="K28" s="4"/>
      <c r="L28" s="4"/>
      <c r="M28" s="4"/>
      <c r="N28" s="4"/>
      <c r="O28" s="18"/>
      <c r="P28" s="17"/>
      <c r="Q28" s="17"/>
      <c r="R28" s="14"/>
      <c r="S28" s="18"/>
    </row>
    <row r="29" spans="1:22" ht="15" customHeight="1" x14ac:dyDescent="0.25">
      <c r="A29" s="4">
        <v>17</v>
      </c>
      <c r="B29" s="10"/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16"/>
      <c r="S29" s="4"/>
    </row>
    <row r="30" spans="1:22" ht="15" customHeight="1" x14ac:dyDescent="0.25">
      <c r="A30" s="4">
        <v>18</v>
      </c>
      <c r="B30" s="10"/>
      <c r="C30" s="12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8"/>
      <c r="R30" s="14"/>
      <c r="S30" s="18"/>
    </row>
    <row r="31" spans="1:22" ht="15" customHeight="1" x14ac:dyDescent="0.25">
      <c r="A31" s="4">
        <v>19</v>
      </c>
      <c r="B31" s="10"/>
      <c r="C31" s="1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22" ht="15" customHeight="1" x14ac:dyDescent="0.25">
      <c r="A32" s="4">
        <v>20</v>
      </c>
      <c r="B32" s="10"/>
      <c r="C32" s="12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8"/>
      <c r="R32" s="14"/>
      <c r="S32" s="18"/>
    </row>
    <row r="33" spans="1:19" ht="15" customHeight="1" x14ac:dyDescent="0.25">
      <c r="A33" s="4">
        <v>21</v>
      </c>
      <c r="B33" s="1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" customHeight="1" x14ac:dyDescent="0.25">
      <c r="A34" s="4">
        <v>22</v>
      </c>
      <c r="B34" s="10"/>
      <c r="C34" s="12"/>
      <c r="D34" s="4"/>
      <c r="E34" s="4"/>
      <c r="F34" s="18"/>
      <c r="G34" s="4"/>
      <c r="H34" s="4"/>
      <c r="I34" s="4"/>
      <c r="J34" s="4"/>
      <c r="K34" s="4"/>
      <c r="L34" s="4"/>
      <c r="M34" s="4"/>
      <c r="N34" s="4"/>
      <c r="O34" s="18"/>
      <c r="P34" s="17"/>
      <c r="Q34" s="17"/>
      <c r="R34" s="14"/>
      <c r="S34" s="18"/>
    </row>
    <row r="35" spans="1:19" ht="15" customHeight="1" x14ac:dyDescent="0.25">
      <c r="A35" s="4">
        <v>23</v>
      </c>
      <c r="B35" s="10"/>
      <c r="C35" s="12"/>
      <c r="D35" s="4"/>
      <c r="E35" s="4"/>
      <c r="F35" s="18"/>
      <c r="G35" s="4"/>
      <c r="H35" s="4"/>
      <c r="I35" s="4"/>
      <c r="J35" s="4"/>
      <c r="K35" s="4"/>
      <c r="L35" s="4"/>
      <c r="M35" s="4"/>
      <c r="N35" s="4"/>
      <c r="O35" s="18"/>
      <c r="P35" s="17"/>
    </row>
    <row r="36" spans="1:19" ht="15" customHeight="1" x14ac:dyDescent="0.25">
      <c r="A36" s="4">
        <v>24</v>
      </c>
      <c r="B36" s="10"/>
      <c r="C36" s="12"/>
      <c r="D36" s="4"/>
      <c r="E36" s="4"/>
      <c r="F36" s="18"/>
      <c r="G36" s="4"/>
      <c r="H36" s="4"/>
      <c r="I36" s="4"/>
      <c r="J36" s="4"/>
      <c r="K36" s="4"/>
      <c r="L36" s="4"/>
      <c r="M36" s="4"/>
      <c r="N36" s="4"/>
      <c r="O36" s="18"/>
      <c r="P36" s="17"/>
    </row>
    <row r="37" spans="1:19" ht="15" customHeight="1" x14ac:dyDescent="0.25">
      <c r="A37" s="4">
        <v>25</v>
      </c>
      <c r="B37" s="10"/>
      <c r="C37" s="10"/>
      <c r="D37" s="4"/>
      <c r="E37" s="4"/>
      <c r="F37" s="18"/>
      <c r="G37" s="18"/>
      <c r="H37" s="19"/>
      <c r="I37" s="19"/>
      <c r="J37" s="19"/>
      <c r="K37" s="19"/>
      <c r="L37" s="19"/>
      <c r="M37" s="19"/>
      <c r="N37" s="4"/>
      <c r="O37" s="18"/>
      <c r="P37" s="18"/>
    </row>
    <row r="38" spans="1:19" ht="15" customHeight="1" x14ac:dyDescent="0.25">
      <c r="A38" s="4">
        <v>26</v>
      </c>
      <c r="B38" s="10"/>
      <c r="C38" s="11"/>
      <c r="D38" s="4"/>
      <c r="E38" s="4"/>
      <c r="F38" s="18"/>
      <c r="G38" s="19"/>
      <c r="H38" s="19"/>
      <c r="I38" s="19"/>
      <c r="J38" s="19"/>
      <c r="K38" s="19"/>
      <c r="L38" s="19"/>
      <c r="M38" s="19"/>
      <c r="N38" s="4"/>
      <c r="O38" s="18"/>
      <c r="P38" s="17"/>
    </row>
    <row r="39" spans="1:19" ht="15" customHeight="1" x14ac:dyDescent="0.25">
      <c r="A39" s="4">
        <v>27</v>
      </c>
      <c r="B39" s="1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9" ht="15" customHeight="1" x14ac:dyDescent="0.25">
      <c r="A40" s="4">
        <v>28</v>
      </c>
      <c r="B40" s="1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9" ht="15" customHeight="1" x14ac:dyDescent="0.25">
      <c r="A41" s="4">
        <v>29</v>
      </c>
      <c r="B41" s="1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5" customHeight="1" x14ac:dyDescent="0.25">
      <c r="A42" s="4">
        <v>30</v>
      </c>
      <c r="B42" s="1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5" customHeight="1" x14ac:dyDescent="0.25">
      <c r="A43" s="4">
        <v>31</v>
      </c>
      <c r="B43" s="1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5" customHeight="1" x14ac:dyDescent="0.25">
      <c r="A44" s="4">
        <v>32</v>
      </c>
      <c r="B44" s="1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7"/>
      <c r="S44" s="4"/>
    </row>
    <row r="45" spans="1:19" ht="15" customHeight="1" x14ac:dyDescent="0.25">
      <c r="A45" s="4">
        <v>33</v>
      </c>
      <c r="B45" s="1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5" customHeight="1" x14ac:dyDescent="0.25">
      <c r="A46" s="4">
        <v>34</v>
      </c>
      <c r="B46" s="1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5" customHeight="1" x14ac:dyDescent="0.25">
      <c r="A47" s="4">
        <v>36</v>
      </c>
      <c r="B47" s="1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5" customHeight="1" x14ac:dyDescent="0.25">
      <c r="A48" s="4">
        <v>37</v>
      </c>
      <c r="B48" s="1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5" customHeight="1" x14ac:dyDescent="0.25">
      <c r="A49" s="4">
        <v>38</v>
      </c>
      <c r="Q49" s="20"/>
      <c r="R49" s="20"/>
      <c r="S49" s="20"/>
    </row>
    <row r="50" spans="1:19" ht="15" customHeight="1" thickBot="1" x14ac:dyDescent="0.3">
      <c r="A50" s="2">
        <v>39</v>
      </c>
      <c r="B50" s="21" t="s">
        <v>39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A51" s="3" t="s">
        <v>40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3" t="s">
        <v>41</v>
      </c>
      <c r="R51" s="4"/>
      <c r="S51" s="4"/>
    </row>
  </sheetData>
  <mergeCells count="1">
    <mergeCell ref="D11:E11"/>
  </mergeCells>
  <pageMargins left="1" right="0" top="1" bottom="0" header="0" footer="0"/>
  <pageSetup scale="70" orientation="landscape" r:id="rId1"/>
  <customProperties>
    <customPr name="EpmWorksheetKeyString_GUID" r:id="rId2"/>
    <customPr name="FPMExcelClientCellBasedFunctionStatus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9AE2-160D-4E85-9665-486FAC9D2C64}">
  <sheetPr codeName="Sheet2">
    <pageSetUpPr fitToPage="1"/>
  </sheetPr>
  <dimension ref="A1:FC81"/>
  <sheetViews>
    <sheetView zoomScale="70" zoomScaleNormal="70" workbookViewId="0">
      <pane xSplit="3" ySplit="1" topLeftCell="DT2" activePane="bottomRight" state="frozenSplit"/>
      <selection pane="topRight" activeCell="BY1" sqref="BY1:BY1048576"/>
      <selection pane="bottomLeft" activeCell="B26" sqref="B26"/>
      <selection pane="bottomRight" activeCell="DV87" sqref="DV87"/>
    </sheetView>
  </sheetViews>
  <sheetFormatPr defaultColWidth="8.88671875" defaultRowHeight="13.2" x14ac:dyDescent="0.25"/>
  <cols>
    <col min="1" max="1" width="2.44140625" style="56" bestFit="1" customWidth="1"/>
    <col min="2" max="2" width="46.6640625" style="58" bestFit="1" customWidth="1"/>
    <col min="3" max="33" width="14" style="56" hidden="1" customWidth="1"/>
    <col min="34" max="34" width="15.33203125" style="56" hidden="1" customWidth="1"/>
    <col min="35" max="35" width="16.44140625" style="56" hidden="1" customWidth="1"/>
    <col min="36" max="55" width="14" style="56" hidden="1" customWidth="1"/>
    <col min="56" max="59" width="15.33203125" style="56" hidden="1" customWidth="1"/>
    <col min="60" max="65" width="14" style="56" hidden="1" customWidth="1"/>
    <col min="66" max="69" width="15.33203125" style="56" hidden="1" customWidth="1"/>
    <col min="70" max="75" width="14" style="56" hidden="1" customWidth="1"/>
    <col min="76" max="77" width="14.33203125" style="56" hidden="1" customWidth="1"/>
    <col min="78" max="81" width="15.6640625" style="56" hidden="1" customWidth="1"/>
    <col min="82" max="87" width="14.33203125" style="56" hidden="1" customWidth="1"/>
    <col min="88" max="88" width="15.33203125" style="56" hidden="1" customWidth="1"/>
    <col min="89" max="102" width="14.33203125" style="56" hidden="1" customWidth="1"/>
    <col min="103" max="109" width="15" style="56" hidden="1" customWidth="1"/>
    <col min="110" max="111" width="15.44140625" style="56" hidden="1" customWidth="1"/>
    <col min="112" max="123" width="16.109375" style="56" hidden="1" customWidth="1"/>
    <col min="124" max="127" width="14.33203125" style="56" bestFit="1" customWidth="1"/>
    <col min="128" max="128" width="15.6640625" style="56" bestFit="1" customWidth="1"/>
    <col min="129" max="132" width="14.33203125" style="56" bestFit="1" customWidth="1"/>
    <col min="133" max="159" width="14.6640625" style="56" bestFit="1" customWidth="1"/>
    <col min="160" max="16384" width="8.88671875" style="56"/>
  </cols>
  <sheetData>
    <row r="1" spans="1:159" x14ac:dyDescent="0.25">
      <c r="B1" s="22"/>
      <c r="C1" s="57" t="s">
        <v>42</v>
      </c>
      <c r="D1" s="57" t="s">
        <v>42</v>
      </c>
      <c r="E1" s="57" t="s">
        <v>42</v>
      </c>
      <c r="F1" s="57" t="s">
        <v>42</v>
      </c>
      <c r="G1" s="57" t="s">
        <v>42</v>
      </c>
      <c r="H1" s="57" t="s">
        <v>42</v>
      </c>
      <c r="I1" s="57" t="s">
        <v>42</v>
      </c>
      <c r="J1" s="57" t="s">
        <v>42</v>
      </c>
      <c r="K1" s="57" t="s">
        <v>42</v>
      </c>
      <c r="L1" s="57" t="s">
        <v>42</v>
      </c>
      <c r="M1" s="57" t="s">
        <v>42</v>
      </c>
      <c r="N1" s="57" t="s">
        <v>42</v>
      </c>
      <c r="O1" s="57" t="s">
        <v>42</v>
      </c>
      <c r="P1" s="57" t="s">
        <v>42</v>
      </c>
      <c r="Q1" s="57" t="s">
        <v>42</v>
      </c>
      <c r="R1" s="57" t="s">
        <v>42</v>
      </c>
      <c r="S1" s="57" t="s">
        <v>42</v>
      </c>
      <c r="T1" s="57" t="s">
        <v>42</v>
      </c>
      <c r="U1" s="57" t="s">
        <v>42</v>
      </c>
      <c r="V1" s="57" t="s">
        <v>42</v>
      </c>
      <c r="W1" s="57" t="s">
        <v>42</v>
      </c>
      <c r="X1" s="57" t="s">
        <v>42</v>
      </c>
      <c r="Y1" s="57" t="s">
        <v>42</v>
      </c>
      <c r="Z1" s="57" t="s">
        <v>42</v>
      </c>
      <c r="AA1" s="57" t="s">
        <v>42</v>
      </c>
      <c r="AB1" s="57" t="s">
        <v>42</v>
      </c>
      <c r="AC1" s="57" t="s">
        <v>42</v>
      </c>
      <c r="AD1" s="57" t="s">
        <v>42</v>
      </c>
      <c r="AE1" s="57" t="s">
        <v>42</v>
      </c>
      <c r="AF1" s="57" t="s">
        <v>42</v>
      </c>
      <c r="AG1" s="57" t="s">
        <v>42</v>
      </c>
      <c r="AH1" s="57" t="s">
        <v>42</v>
      </c>
      <c r="AI1" s="57" t="s">
        <v>42</v>
      </c>
      <c r="AJ1" s="57" t="s">
        <v>42</v>
      </c>
      <c r="AK1" s="57" t="s">
        <v>42</v>
      </c>
      <c r="AL1" s="57" t="s">
        <v>42</v>
      </c>
      <c r="AM1" s="57" t="s">
        <v>42</v>
      </c>
      <c r="AN1" s="57" t="s">
        <v>42</v>
      </c>
      <c r="AO1" s="57" t="s">
        <v>42</v>
      </c>
      <c r="AP1" s="57" t="s">
        <v>42</v>
      </c>
      <c r="AQ1" s="57" t="s">
        <v>42</v>
      </c>
      <c r="AR1" s="57" t="s">
        <v>42</v>
      </c>
      <c r="AS1" s="57" t="s">
        <v>42</v>
      </c>
      <c r="AT1" s="57" t="s">
        <v>42</v>
      </c>
      <c r="AU1" s="57" t="s">
        <v>42</v>
      </c>
      <c r="AV1" s="57" t="s">
        <v>42</v>
      </c>
      <c r="AW1" s="57" t="s">
        <v>42</v>
      </c>
      <c r="AX1" s="57" t="s">
        <v>42</v>
      </c>
      <c r="AY1" s="57" t="s">
        <v>42</v>
      </c>
      <c r="AZ1" s="57" t="s">
        <v>37</v>
      </c>
      <c r="BA1" s="57" t="s">
        <v>37</v>
      </c>
      <c r="BB1" s="57" t="s">
        <v>37</v>
      </c>
      <c r="BC1" s="57" t="s">
        <v>37</v>
      </c>
      <c r="BD1" s="57" t="s">
        <v>37</v>
      </c>
      <c r="BE1" s="57" t="s">
        <v>37</v>
      </c>
      <c r="BF1" s="57" t="s">
        <v>37</v>
      </c>
      <c r="BG1" s="57" t="s">
        <v>37</v>
      </c>
      <c r="BH1" s="57" t="s">
        <v>37</v>
      </c>
      <c r="BI1" s="57" t="s">
        <v>37</v>
      </c>
      <c r="BJ1" s="57" t="s">
        <v>37</v>
      </c>
      <c r="BK1" s="57" t="s">
        <v>37</v>
      </c>
      <c r="BL1" s="57" t="s">
        <v>37</v>
      </c>
      <c r="BM1" s="57" t="s">
        <v>37</v>
      </c>
      <c r="BN1" s="57" t="s">
        <v>37</v>
      </c>
      <c r="BO1" s="57" t="s">
        <v>37</v>
      </c>
      <c r="BP1" s="57" t="s">
        <v>37</v>
      </c>
      <c r="BQ1" s="57" t="s">
        <v>37</v>
      </c>
      <c r="BR1" s="57" t="s">
        <v>37</v>
      </c>
      <c r="BS1" s="57" t="s">
        <v>37</v>
      </c>
      <c r="BT1" s="57" t="s">
        <v>37</v>
      </c>
      <c r="BU1" s="57" t="s">
        <v>37</v>
      </c>
      <c r="BV1" s="57" t="s">
        <v>37</v>
      </c>
      <c r="BW1" s="57" t="s">
        <v>37</v>
      </c>
      <c r="BX1" s="57" t="s">
        <v>37</v>
      </c>
      <c r="BY1" s="57" t="s">
        <v>37</v>
      </c>
      <c r="BZ1" s="57" t="s">
        <v>37</v>
      </c>
      <c r="CA1" s="57" t="s">
        <v>37</v>
      </c>
      <c r="CB1" s="57" t="s">
        <v>37</v>
      </c>
      <c r="CC1" s="57" t="s">
        <v>37</v>
      </c>
      <c r="CD1" s="57" t="s">
        <v>37</v>
      </c>
      <c r="CE1" s="57" t="s">
        <v>37</v>
      </c>
      <c r="CF1" s="57" t="s">
        <v>37</v>
      </c>
      <c r="CG1" s="57" t="s">
        <v>37</v>
      </c>
      <c r="CH1" s="57" t="s">
        <v>37</v>
      </c>
      <c r="CI1" s="57" t="s">
        <v>37</v>
      </c>
      <c r="CJ1" s="57" t="s">
        <v>37</v>
      </c>
      <c r="CK1" s="57" t="s">
        <v>37</v>
      </c>
      <c r="CL1" s="57" t="s">
        <v>37</v>
      </c>
      <c r="CM1" s="57" t="s">
        <v>37</v>
      </c>
      <c r="CN1" s="57" t="s">
        <v>37</v>
      </c>
      <c r="CO1" s="57" t="s">
        <v>37</v>
      </c>
      <c r="CP1" s="57" t="s">
        <v>37</v>
      </c>
      <c r="CQ1" s="57" t="s">
        <v>37</v>
      </c>
      <c r="CR1" s="57" t="s">
        <v>37</v>
      </c>
      <c r="CS1" s="57" t="s">
        <v>37</v>
      </c>
      <c r="CT1" s="57" t="s">
        <v>37</v>
      </c>
      <c r="CU1" s="57" t="s">
        <v>37</v>
      </c>
      <c r="CV1" s="57" t="s">
        <v>37</v>
      </c>
      <c r="CW1" s="57" t="s">
        <v>37</v>
      </c>
      <c r="CX1" s="57" t="s">
        <v>37</v>
      </c>
      <c r="CY1" s="57" t="s">
        <v>37</v>
      </c>
      <c r="CZ1" s="57" t="s">
        <v>37</v>
      </c>
      <c r="DA1" s="57" t="s">
        <v>37</v>
      </c>
      <c r="DB1" s="57" t="s">
        <v>37</v>
      </c>
      <c r="DC1" s="57" t="s">
        <v>37</v>
      </c>
      <c r="DD1" s="57" t="s">
        <v>37</v>
      </c>
      <c r="DE1" s="57" t="s">
        <v>37</v>
      </c>
      <c r="DF1" s="57" t="s">
        <v>37</v>
      </c>
      <c r="DG1" s="57" t="s">
        <v>37</v>
      </c>
      <c r="DH1" s="57" t="s">
        <v>37</v>
      </c>
      <c r="DI1" s="57" t="s">
        <v>37</v>
      </c>
      <c r="DJ1" s="57" t="s">
        <v>37</v>
      </c>
      <c r="DK1" s="57" t="s">
        <v>37</v>
      </c>
      <c r="DL1" s="57" t="s">
        <v>37</v>
      </c>
      <c r="DM1" s="57" t="s">
        <v>37</v>
      </c>
      <c r="DN1" s="57" t="s">
        <v>37</v>
      </c>
      <c r="DO1" s="57" t="s">
        <v>43</v>
      </c>
      <c r="DP1" s="57" t="s">
        <v>43</v>
      </c>
      <c r="DQ1" s="57" t="s">
        <v>43</v>
      </c>
      <c r="DR1" s="57" t="s">
        <v>43</v>
      </c>
      <c r="DS1" s="57" t="s">
        <v>43</v>
      </c>
      <c r="DT1" s="95" t="s">
        <v>37</v>
      </c>
      <c r="DU1" s="95" t="s">
        <v>37</v>
      </c>
      <c r="DV1" s="95" t="s">
        <v>37</v>
      </c>
      <c r="DW1" s="95" t="s">
        <v>37</v>
      </c>
      <c r="DX1" s="95" t="s">
        <v>37</v>
      </c>
      <c r="DY1" s="95" t="s">
        <v>37</v>
      </c>
      <c r="DZ1" s="95" t="s">
        <v>37</v>
      </c>
      <c r="EA1" s="206" t="s">
        <v>43</v>
      </c>
      <c r="EB1" s="206" t="s">
        <v>43</v>
      </c>
      <c r="EC1" s="206" t="s">
        <v>43</v>
      </c>
      <c r="ED1" s="206" t="s">
        <v>43</v>
      </c>
      <c r="EE1" s="206" t="s">
        <v>43</v>
      </c>
      <c r="EF1" s="95" t="s">
        <v>38</v>
      </c>
      <c r="EG1" s="95" t="s">
        <v>38</v>
      </c>
      <c r="EH1" s="95" t="s">
        <v>38</v>
      </c>
      <c r="EI1" s="95" t="s">
        <v>38</v>
      </c>
      <c r="EJ1" s="95" t="s">
        <v>38</v>
      </c>
      <c r="EK1" s="95" t="s">
        <v>38</v>
      </c>
      <c r="EL1" s="95" t="s">
        <v>38</v>
      </c>
      <c r="EM1" s="95" t="s">
        <v>38</v>
      </c>
      <c r="EN1" s="95" t="s">
        <v>38</v>
      </c>
      <c r="EO1" s="95" t="s">
        <v>38</v>
      </c>
      <c r="EP1" s="95" t="s">
        <v>38</v>
      </c>
      <c r="EQ1" s="95" t="s">
        <v>38</v>
      </c>
      <c r="ER1" s="95" t="s">
        <v>38</v>
      </c>
      <c r="ES1" s="95" t="s">
        <v>38</v>
      </c>
      <c r="ET1" s="95" t="s">
        <v>38</v>
      </c>
      <c r="EU1" s="95" t="s">
        <v>38</v>
      </c>
      <c r="EV1" s="95" t="s">
        <v>38</v>
      </c>
      <c r="EW1" s="95" t="s">
        <v>38</v>
      </c>
      <c r="EX1" s="95" t="s">
        <v>38</v>
      </c>
      <c r="EY1" s="95" t="s">
        <v>38</v>
      </c>
      <c r="EZ1" s="95" t="s">
        <v>38</v>
      </c>
      <c r="FA1" s="95" t="s">
        <v>38</v>
      </c>
      <c r="FB1" s="95" t="s">
        <v>38</v>
      </c>
      <c r="FC1" s="95" t="s">
        <v>38</v>
      </c>
    </row>
    <row r="2" spans="1:159" x14ac:dyDescent="0.25">
      <c r="A2" s="58"/>
      <c r="B2" s="23" t="s">
        <v>44</v>
      </c>
      <c r="C2" s="59">
        <v>41244</v>
      </c>
      <c r="D2" s="59">
        <v>41275</v>
      </c>
      <c r="E2" s="59">
        <v>41306</v>
      </c>
      <c r="F2" s="59">
        <v>41334</v>
      </c>
      <c r="G2" s="59">
        <v>41365</v>
      </c>
      <c r="H2" s="59">
        <v>41395</v>
      </c>
      <c r="I2" s="59">
        <v>41426</v>
      </c>
      <c r="J2" s="59">
        <v>41456</v>
      </c>
      <c r="K2" s="59">
        <v>41487</v>
      </c>
      <c r="L2" s="59">
        <v>41518</v>
      </c>
      <c r="M2" s="59">
        <v>41548</v>
      </c>
      <c r="N2" s="59">
        <v>41579</v>
      </c>
      <c r="O2" s="59">
        <v>41609</v>
      </c>
      <c r="P2" s="59">
        <v>41640</v>
      </c>
      <c r="Q2" s="59">
        <v>41671</v>
      </c>
      <c r="R2" s="59">
        <v>41699</v>
      </c>
      <c r="S2" s="59">
        <v>41730</v>
      </c>
      <c r="T2" s="59">
        <v>41760</v>
      </c>
      <c r="U2" s="59">
        <v>41791</v>
      </c>
      <c r="V2" s="59">
        <v>41821</v>
      </c>
      <c r="W2" s="59">
        <v>41852</v>
      </c>
      <c r="X2" s="59">
        <v>41883</v>
      </c>
      <c r="Y2" s="59">
        <v>41913</v>
      </c>
      <c r="Z2" s="59">
        <v>41944</v>
      </c>
      <c r="AA2" s="59">
        <v>41974</v>
      </c>
      <c r="AB2" s="59">
        <v>42005</v>
      </c>
      <c r="AC2" s="59">
        <v>42036</v>
      </c>
      <c r="AD2" s="59">
        <v>42064</v>
      </c>
      <c r="AE2" s="59">
        <v>42095</v>
      </c>
      <c r="AF2" s="59">
        <v>42125</v>
      </c>
      <c r="AG2" s="59">
        <v>42156</v>
      </c>
      <c r="AH2" s="59">
        <v>42186</v>
      </c>
      <c r="AI2" s="59">
        <v>42217</v>
      </c>
      <c r="AJ2" s="59">
        <v>42248</v>
      </c>
      <c r="AK2" s="59">
        <v>42278</v>
      </c>
      <c r="AL2" s="59">
        <v>42309</v>
      </c>
      <c r="AM2" s="59">
        <v>42339</v>
      </c>
      <c r="AN2" s="59">
        <v>42370</v>
      </c>
      <c r="AO2" s="59">
        <v>42428</v>
      </c>
      <c r="AP2" s="59">
        <v>42460</v>
      </c>
      <c r="AQ2" s="59">
        <v>42461</v>
      </c>
      <c r="AR2" s="59">
        <v>42491</v>
      </c>
      <c r="AS2" s="59">
        <v>42522</v>
      </c>
      <c r="AT2" s="59">
        <v>42552</v>
      </c>
      <c r="AU2" s="59">
        <v>42583</v>
      </c>
      <c r="AV2" s="59">
        <v>42614</v>
      </c>
      <c r="AW2" s="59">
        <v>42644</v>
      </c>
      <c r="AX2" s="59">
        <v>42675</v>
      </c>
      <c r="AY2" s="59">
        <v>42705</v>
      </c>
      <c r="AZ2" s="59">
        <v>42736</v>
      </c>
      <c r="BA2" s="59">
        <f>+AZ2+31</f>
        <v>42767</v>
      </c>
      <c r="BB2" s="59">
        <f t="shared" ref="BB2:CH2" si="0">+BA2+31</f>
        <v>42798</v>
      </c>
      <c r="BC2" s="59">
        <f t="shared" si="0"/>
        <v>42829</v>
      </c>
      <c r="BD2" s="59">
        <f t="shared" si="0"/>
        <v>42860</v>
      </c>
      <c r="BE2" s="59">
        <f t="shared" si="0"/>
        <v>42891</v>
      </c>
      <c r="BF2" s="59">
        <f t="shared" si="0"/>
        <v>42922</v>
      </c>
      <c r="BG2" s="59">
        <f t="shared" si="0"/>
        <v>42953</v>
      </c>
      <c r="BH2" s="59">
        <f t="shared" si="0"/>
        <v>42984</v>
      </c>
      <c r="BI2" s="59">
        <f t="shared" si="0"/>
        <v>43015</v>
      </c>
      <c r="BJ2" s="59">
        <f t="shared" si="0"/>
        <v>43046</v>
      </c>
      <c r="BK2" s="59">
        <f t="shared" si="0"/>
        <v>43077</v>
      </c>
      <c r="BL2" s="59">
        <f t="shared" si="0"/>
        <v>43108</v>
      </c>
      <c r="BM2" s="59">
        <f t="shared" si="0"/>
        <v>43139</v>
      </c>
      <c r="BN2" s="59">
        <f t="shared" si="0"/>
        <v>43170</v>
      </c>
      <c r="BO2" s="59">
        <f t="shared" si="0"/>
        <v>43201</v>
      </c>
      <c r="BP2" s="59">
        <f t="shared" si="0"/>
        <v>43232</v>
      </c>
      <c r="BQ2" s="59">
        <f t="shared" si="0"/>
        <v>43263</v>
      </c>
      <c r="BR2" s="59">
        <f t="shared" si="0"/>
        <v>43294</v>
      </c>
      <c r="BS2" s="59">
        <f t="shared" si="0"/>
        <v>43325</v>
      </c>
      <c r="BT2" s="59">
        <f t="shared" si="0"/>
        <v>43356</v>
      </c>
      <c r="BU2" s="59">
        <f t="shared" si="0"/>
        <v>43387</v>
      </c>
      <c r="BV2" s="59">
        <f t="shared" si="0"/>
        <v>43418</v>
      </c>
      <c r="BW2" s="59">
        <f t="shared" si="0"/>
        <v>43449</v>
      </c>
      <c r="BX2" s="59">
        <f t="shared" si="0"/>
        <v>43480</v>
      </c>
      <c r="BY2" s="59">
        <f t="shared" si="0"/>
        <v>43511</v>
      </c>
      <c r="BZ2" s="59">
        <f t="shared" si="0"/>
        <v>43542</v>
      </c>
      <c r="CA2" s="59">
        <f t="shared" si="0"/>
        <v>43573</v>
      </c>
      <c r="CB2" s="59">
        <f t="shared" si="0"/>
        <v>43604</v>
      </c>
      <c r="CC2" s="59">
        <f t="shared" si="0"/>
        <v>43635</v>
      </c>
      <c r="CD2" s="59">
        <f t="shared" si="0"/>
        <v>43666</v>
      </c>
      <c r="CE2" s="59">
        <f t="shared" si="0"/>
        <v>43697</v>
      </c>
      <c r="CF2" s="59">
        <f t="shared" si="0"/>
        <v>43728</v>
      </c>
      <c r="CG2" s="59">
        <f t="shared" si="0"/>
        <v>43759</v>
      </c>
      <c r="CH2" s="59">
        <f t="shared" si="0"/>
        <v>43790</v>
      </c>
      <c r="CI2" s="59">
        <f>+CH2+31</f>
        <v>43821</v>
      </c>
      <c r="CJ2" s="59">
        <f>+CI2+31</f>
        <v>43852</v>
      </c>
      <c r="CK2" s="59">
        <f>+CJ2+31</f>
        <v>43883</v>
      </c>
      <c r="CL2" s="59">
        <f t="shared" ref="CL2:CT2" si="1">+CK2+31</f>
        <v>43914</v>
      </c>
      <c r="CM2" s="59">
        <f t="shared" si="1"/>
        <v>43945</v>
      </c>
      <c r="CN2" s="59">
        <f t="shared" si="1"/>
        <v>43976</v>
      </c>
      <c r="CO2" s="59">
        <f t="shared" si="1"/>
        <v>44007</v>
      </c>
      <c r="CP2" s="59">
        <f t="shared" si="1"/>
        <v>44038</v>
      </c>
      <c r="CQ2" s="59">
        <f t="shared" si="1"/>
        <v>44069</v>
      </c>
      <c r="CR2" s="59">
        <f t="shared" si="1"/>
        <v>44100</v>
      </c>
      <c r="CS2" s="59">
        <f t="shared" si="1"/>
        <v>44131</v>
      </c>
      <c r="CT2" s="59">
        <f t="shared" si="1"/>
        <v>44162</v>
      </c>
      <c r="CU2" s="59">
        <f>+CT2+31</f>
        <v>44193</v>
      </c>
      <c r="CV2" s="59">
        <f t="shared" ref="CV2:FC2" si="2">+CU2+31</f>
        <v>44224</v>
      </c>
      <c r="CW2" s="59">
        <f t="shared" si="2"/>
        <v>44255</v>
      </c>
      <c r="CX2" s="59">
        <f t="shared" si="2"/>
        <v>44286</v>
      </c>
      <c r="CY2" s="59">
        <f>+CX2+30</f>
        <v>44316</v>
      </c>
      <c r="CZ2" s="59">
        <f>+CX2+31</f>
        <v>44317</v>
      </c>
      <c r="DA2" s="59">
        <f t="shared" si="2"/>
        <v>44348</v>
      </c>
      <c r="DB2" s="59">
        <f t="shared" si="2"/>
        <v>44379</v>
      </c>
      <c r="DC2" s="59">
        <f t="shared" si="2"/>
        <v>44410</v>
      </c>
      <c r="DD2" s="59">
        <f t="shared" si="2"/>
        <v>44441</v>
      </c>
      <c r="DE2" s="59">
        <f t="shared" si="2"/>
        <v>44472</v>
      </c>
      <c r="DF2" s="59">
        <f t="shared" si="2"/>
        <v>44503</v>
      </c>
      <c r="DG2" s="59">
        <f t="shared" si="2"/>
        <v>44534</v>
      </c>
      <c r="DH2" s="59">
        <f t="shared" si="2"/>
        <v>44565</v>
      </c>
      <c r="DI2" s="59">
        <f t="shared" si="2"/>
        <v>44596</v>
      </c>
      <c r="DJ2" s="59">
        <f t="shared" si="2"/>
        <v>44627</v>
      </c>
      <c r="DK2" s="59">
        <f t="shared" si="2"/>
        <v>44658</v>
      </c>
      <c r="DL2" s="59">
        <f t="shared" si="2"/>
        <v>44689</v>
      </c>
      <c r="DM2" s="59">
        <f t="shared" si="2"/>
        <v>44720</v>
      </c>
      <c r="DN2" s="59">
        <f t="shared" si="2"/>
        <v>44751</v>
      </c>
      <c r="DO2" s="59">
        <f t="shared" si="2"/>
        <v>44782</v>
      </c>
      <c r="DP2" s="59">
        <f>+DO2+31</f>
        <v>44813</v>
      </c>
      <c r="DQ2" s="59">
        <f t="shared" si="2"/>
        <v>44844</v>
      </c>
      <c r="DR2" s="59">
        <f>+DQ2+31</f>
        <v>44875</v>
      </c>
      <c r="DS2" s="59">
        <f t="shared" si="2"/>
        <v>44906</v>
      </c>
      <c r="DT2" s="96">
        <f t="shared" si="2"/>
        <v>44937</v>
      </c>
      <c r="DU2" s="96">
        <f t="shared" si="2"/>
        <v>44968</v>
      </c>
      <c r="DV2" s="96">
        <f t="shared" si="2"/>
        <v>44999</v>
      </c>
      <c r="DW2" s="96">
        <f t="shared" si="2"/>
        <v>45030</v>
      </c>
      <c r="DX2" s="96">
        <f t="shared" si="2"/>
        <v>45061</v>
      </c>
      <c r="DY2" s="96">
        <f t="shared" si="2"/>
        <v>45092</v>
      </c>
      <c r="DZ2" s="96">
        <f t="shared" si="2"/>
        <v>45123</v>
      </c>
      <c r="EA2" s="96">
        <f t="shared" si="2"/>
        <v>45154</v>
      </c>
      <c r="EB2" s="96">
        <f t="shared" si="2"/>
        <v>45185</v>
      </c>
      <c r="EC2" s="96">
        <f t="shared" si="2"/>
        <v>45216</v>
      </c>
      <c r="ED2" s="96">
        <f t="shared" si="2"/>
        <v>45247</v>
      </c>
      <c r="EE2" s="96">
        <f t="shared" si="2"/>
        <v>45278</v>
      </c>
      <c r="EF2" s="96">
        <f t="shared" si="2"/>
        <v>45309</v>
      </c>
      <c r="EG2" s="96">
        <f t="shared" si="2"/>
        <v>45340</v>
      </c>
      <c r="EH2" s="96">
        <f t="shared" si="2"/>
        <v>45371</v>
      </c>
      <c r="EI2" s="96">
        <f t="shared" si="2"/>
        <v>45402</v>
      </c>
      <c r="EJ2" s="96">
        <f t="shared" si="2"/>
        <v>45433</v>
      </c>
      <c r="EK2" s="96">
        <f t="shared" si="2"/>
        <v>45464</v>
      </c>
      <c r="EL2" s="96">
        <f t="shared" si="2"/>
        <v>45495</v>
      </c>
      <c r="EM2" s="96">
        <f t="shared" si="2"/>
        <v>45526</v>
      </c>
      <c r="EN2" s="96">
        <f t="shared" si="2"/>
        <v>45557</v>
      </c>
      <c r="EO2" s="96">
        <f t="shared" si="2"/>
        <v>45588</v>
      </c>
      <c r="EP2" s="96">
        <f t="shared" si="2"/>
        <v>45619</v>
      </c>
      <c r="EQ2" s="96">
        <f t="shared" si="2"/>
        <v>45650</v>
      </c>
      <c r="ER2" s="96">
        <f t="shared" si="2"/>
        <v>45681</v>
      </c>
      <c r="ES2" s="96">
        <f t="shared" si="2"/>
        <v>45712</v>
      </c>
      <c r="ET2" s="96">
        <f t="shared" si="2"/>
        <v>45743</v>
      </c>
      <c r="EU2" s="96">
        <f t="shared" si="2"/>
        <v>45774</v>
      </c>
      <c r="EV2" s="96">
        <f t="shared" si="2"/>
        <v>45805</v>
      </c>
      <c r="EW2" s="96">
        <f t="shared" si="2"/>
        <v>45836</v>
      </c>
      <c r="EX2" s="96">
        <f t="shared" si="2"/>
        <v>45867</v>
      </c>
      <c r="EY2" s="96">
        <f t="shared" si="2"/>
        <v>45898</v>
      </c>
      <c r="EZ2" s="96">
        <f t="shared" si="2"/>
        <v>45929</v>
      </c>
      <c r="FA2" s="96">
        <f t="shared" si="2"/>
        <v>45960</v>
      </c>
      <c r="FB2" s="96">
        <f t="shared" si="2"/>
        <v>45991</v>
      </c>
      <c r="FC2" s="96">
        <f t="shared" si="2"/>
        <v>46022</v>
      </c>
    </row>
    <row r="3" spans="1:159" x14ac:dyDescent="0.25">
      <c r="A3" s="58"/>
      <c r="B3" s="24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DT3"/>
      <c r="DU3"/>
      <c r="DV3"/>
      <c r="DW3"/>
      <c r="DX3"/>
      <c r="DY3"/>
      <c r="DZ3"/>
      <c r="EA3"/>
      <c r="EB3"/>
      <c r="EC3"/>
      <c r="ED3"/>
      <c r="EF3"/>
      <c r="EG3"/>
      <c r="EH3"/>
      <c r="EI3"/>
      <c r="EJ3"/>
      <c r="EK3"/>
      <c r="EL3"/>
      <c r="EM3"/>
      <c r="EN3"/>
      <c r="EO3"/>
      <c r="EP3"/>
      <c r="ER3"/>
      <c r="ES3"/>
      <c r="ET3"/>
      <c r="EU3"/>
      <c r="EV3"/>
      <c r="EW3"/>
      <c r="EX3"/>
      <c r="EY3"/>
      <c r="EZ3"/>
      <c r="FA3"/>
      <c r="FB3"/>
    </row>
    <row r="4" spans="1:159" ht="15.6" x14ac:dyDescent="0.25">
      <c r="A4" s="60">
        <v>1</v>
      </c>
      <c r="B4" s="25" t="s">
        <v>45</v>
      </c>
      <c r="C4" s="26">
        <v>458040</v>
      </c>
      <c r="D4" s="26">
        <v>276869</v>
      </c>
      <c r="E4" s="26">
        <v>4903</v>
      </c>
      <c r="F4" s="26">
        <v>15522</v>
      </c>
      <c r="G4" s="26">
        <v>-4521</v>
      </c>
      <c r="H4" s="26">
        <v>-19485</v>
      </c>
      <c r="I4" s="26">
        <v>-5890</v>
      </c>
      <c r="J4" s="26">
        <v>55811</v>
      </c>
      <c r="K4" s="26">
        <v>178070</v>
      </c>
      <c r="L4" s="26">
        <v>242813</v>
      </c>
      <c r="M4" s="26">
        <v>393890</v>
      </c>
      <c r="N4" s="26">
        <v>413304</v>
      </c>
      <c r="O4" s="26">
        <v>425710</v>
      </c>
      <c r="P4" s="26">
        <v>238753</v>
      </c>
      <c r="Q4" s="26">
        <v>18889</v>
      </c>
      <c r="R4" s="26">
        <v>-33316</v>
      </c>
      <c r="S4" s="26">
        <v>114142</v>
      </c>
      <c r="T4" s="26">
        <v>135155</v>
      </c>
      <c r="U4" s="26">
        <v>40094</v>
      </c>
      <c r="V4" s="26">
        <v>77409</v>
      </c>
      <c r="W4" s="26">
        <v>193773</v>
      </c>
      <c r="X4" s="26">
        <v>326528</v>
      </c>
      <c r="Y4" s="26">
        <v>426934</v>
      </c>
      <c r="Z4" s="26">
        <v>367129</v>
      </c>
      <c r="AA4" s="26">
        <v>471565</v>
      </c>
      <c r="AB4" s="26">
        <v>205123</v>
      </c>
      <c r="AC4" s="26">
        <v>-6251</v>
      </c>
      <c r="AD4" s="26">
        <v>-31546</v>
      </c>
      <c r="AE4" s="26">
        <v>26987</v>
      </c>
      <c r="AF4" s="26">
        <v>-18695</v>
      </c>
      <c r="AG4" s="26">
        <v>41628</v>
      </c>
      <c r="AH4" s="26">
        <v>131703</v>
      </c>
      <c r="AI4" s="26">
        <v>163501</v>
      </c>
      <c r="AJ4" s="26">
        <v>274685</v>
      </c>
      <c r="AK4" s="26">
        <v>301113</v>
      </c>
      <c r="AL4" s="26">
        <v>363569</v>
      </c>
      <c r="AM4" s="26">
        <v>443847</v>
      </c>
      <c r="AN4" s="26">
        <v>141859</v>
      </c>
      <c r="AO4" s="26">
        <v>40018</v>
      </c>
      <c r="AP4" s="26">
        <v>17824</v>
      </c>
      <c r="AQ4" s="26">
        <v>59022</v>
      </c>
      <c r="AR4" s="26">
        <v>-31027</v>
      </c>
      <c r="AS4" s="26">
        <v>253085</v>
      </c>
      <c r="AT4" s="26">
        <v>113956</v>
      </c>
      <c r="AU4" s="26">
        <v>95394</v>
      </c>
      <c r="AV4" s="26">
        <v>283003</v>
      </c>
      <c r="AW4" s="26">
        <v>498611</v>
      </c>
      <c r="AX4" s="26">
        <v>394379</v>
      </c>
      <c r="AY4" s="26">
        <v>369443</v>
      </c>
      <c r="AZ4" s="26">
        <v>252944</v>
      </c>
      <c r="BA4" s="26">
        <v>42019</v>
      </c>
      <c r="BB4" s="26">
        <v>351212.5</v>
      </c>
      <c r="BC4" s="26">
        <v>-159757.85999999999</v>
      </c>
      <c r="BD4" s="26">
        <v>185246.03</v>
      </c>
      <c r="BE4" s="26">
        <v>149515.78000000003</v>
      </c>
      <c r="BF4" s="26">
        <v>225783.33</v>
      </c>
      <c r="BG4" s="26">
        <v>397054.35</v>
      </c>
      <c r="BH4" s="26">
        <v>566242.35</v>
      </c>
      <c r="BI4" s="26">
        <v>657364.69999999995</v>
      </c>
      <c r="BJ4" s="26">
        <v>431461.43</v>
      </c>
      <c r="BK4" s="26">
        <v>356327.94999999995</v>
      </c>
      <c r="BL4" s="26">
        <v>466464.31</v>
      </c>
      <c r="BM4" s="26">
        <v>446343.79</v>
      </c>
      <c r="BN4" s="26">
        <v>279110.71000000002</v>
      </c>
      <c r="BO4" s="48">
        <f>812475.07-452515.55*1</f>
        <v>359959.51999999996</v>
      </c>
      <c r="BP4" s="48">
        <f>-91481.68+452515.55*1</f>
        <v>361033.87</v>
      </c>
      <c r="BQ4" s="26">
        <v>120126.43</v>
      </c>
      <c r="BR4" s="26">
        <v>242514.64</v>
      </c>
      <c r="BS4" s="26">
        <v>269771.33</v>
      </c>
      <c r="BT4" s="26">
        <v>337053.84</v>
      </c>
      <c r="BU4" s="26">
        <v>470818.49</v>
      </c>
      <c r="BV4" s="26">
        <v>506747.63</v>
      </c>
      <c r="BW4" s="26">
        <v>486283.85</v>
      </c>
      <c r="BX4" s="26">
        <f>326339.461</f>
        <v>326339.46100000001</v>
      </c>
      <c r="BY4" s="26">
        <v>244405.23</v>
      </c>
      <c r="BZ4" s="26">
        <v>179896.11</v>
      </c>
      <c r="CA4" s="26">
        <v>224251.5</v>
      </c>
      <c r="CB4" s="26">
        <v>112954.81</v>
      </c>
      <c r="CC4" s="26">
        <v>188062.05</v>
      </c>
      <c r="CD4" s="26">
        <v>185561</v>
      </c>
      <c r="CE4" s="26">
        <v>266703.94</v>
      </c>
      <c r="CF4" s="26">
        <v>378195.45799999998</v>
      </c>
      <c r="CG4" s="26">
        <v>463599.94</v>
      </c>
      <c r="CH4" s="26">
        <v>344269.73</v>
      </c>
      <c r="CI4" s="26">
        <v>448887.02</v>
      </c>
      <c r="CJ4" s="26">
        <v>258451.76</v>
      </c>
      <c r="CK4" s="26">
        <v>197211.897</v>
      </c>
      <c r="CL4" s="26">
        <v>-80761.27</v>
      </c>
      <c r="CM4" s="26">
        <v>-194440</v>
      </c>
      <c r="CN4" s="26">
        <v>83577.710000000006</v>
      </c>
      <c r="CO4" s="26">
        <v>-169513</v>
      </c>
      <c r="CP4" s="26">
        <v>-174725.51</v>
      </c>
      <c r="CQ4" s="26">
        <v>-194491.22</v>
      </c>
      <c r="CR4" s="26">
        <v>198854.07</v>
      </c>
      <c r="CS4" s="26">
        <v>1743107.8</v>
      </c>
      <c r="CT4" s="26">
        <v>419734.51</v>
      </c>
      <c r="CU4" s="26">
        <v>1243411.68</v>
      </c>
      <c r="CV4" s="26">
        <v>327566.17</v>
      </c>
      <c r="CW4" s="26">
        <v>373920.4</v>
      </c>
      <c r="CX4" s="26">
        <v>441784.39999999997</v>
      </c>
      <c r="CY4" s="26">
        <v>271607.63</v>
      </c>
      <c r="CZ4" s="26">
        <v>24255.197799999965</v>
      </c>
      <c r="DA4" s="26">
        <v>341769.53162999998</v>
      </c>
      <c r="DB4" s="26">
        <v>347536.27</v>
      </c>
      <c r="DC4" s="26">
        <v>85557.82058</v>
      </c>
      <c r="DD4" s="26">
        <v>2351679.4500000002</v>
      </c>
      <c r="DE4" s="26">
        <v>502927.92000000004</v>
      </c>
      <c r="DF4" s="26">
        <v>598092.65</v>
      </c>
      <c r="DG4" s="26">
        <v>659466.97</v>
      </c>
      <c r="DH4" s="26">
        <v>168006.12</v>
      </c>
      <c r="DI4" s="26">
        <v>338048</v>
      </c>
      <c r="DJ4" s="26">
        <v>313770.95908700005</v>
      </c>
      <c r="DK4" s="26">
        <v>291233.14232000004</v>
      </c>
      <c r="DL4" s="26">
        <v>373801.91444799997</v>
      </c>
      <c r="DM4" s="26">
        <v>286276</v>
      </c>
      <c r="DN4" s="26">
        <v>395897.3</v>
      </c>
      <c r="DO4" s="26">
        <v>491712.55</v>
      </c>
      <c r="DP4" s="26">
        <v>711544.11</v>
      </c>
      <c r="DQ4" s="26">
        <v>830019.54799999995</v>
      </c>
      <c r="DR4" s="26">
        <v>818026.35</v>
      </c>
      <c r="DS4" s="26">
        <v>689473.67</v>
      </c>
      <c r="DT4" s="26">
        <v>671660.06</v>
      </c>
      <c r="DU4" s="26">
        <v>585558.02</v>
      </c>
      <c r="DV4" s="26">
        <v>389074.72</v>
      </c>
      <c r="DW4" s="26">
        <v>298182.34000000003</v>
      </c>
      <c r="DX4" s="26">
        <v>527387.49</v>
      </c>
      <c r="DY4" s="26">
        <v>423049.89</v>
      </c>
      <c r="DZ4" s="26">
        <v>468099.29</v>
      </c>
      <c r="EA4" s="26">
        <f t="shared" ref="EA4:EQ4" si="3">ROUND(DX6*EA5+EA46,0)</f>
        <v>549094</v>
      </c>
      <c r="EB4" s="26">
        <f t="shared" si="3"/>
        <v>598669</v>
      </c>
      <c r="EC4" s="26">
        <f t="shared" si="3"/>
        <v>682507</v>
      </c>
      <c r="ED4" s="26">
        <f t="shared" si="3"/>
        <v>671552</v>
      </c>
      <c r="EE4" s="26">
        <f t="shared" si="3"/>
        <v>673414</v>
      </c>
      <c r="EF4" s="26">
        <f t="shared" si="3"/>
        <v>623465</v>
      </c>
      <c r="EG4" s="26">
        <f t="shared" si="3"/>
        <v>536197</v>
      </c>
      <c r="EH4" s="26">
        <f t="shared" si="3"/>
        <v>488057</v>
      </c>
      <c r="EI4" s="26">
        <f t="shared" si="3"/>
        <v>455770</v>
      </c>
      <c r="EJ4" s="26">
        <f t="shared" si="3"/>
        <v>425135</v>
      </c>
      <c r="EK4" s="26">
        <f t="shared" si="3"/>
        <v>412528</v>
      </c>
      <c r="EL4" s="26">
        <f t="shared" si="3"/>
        <v>432870</v>
      </c>
      <c r="EM4" s="26">
        <f t="shared" si="3"/>
        <v>478214</v>
      </c>
      <c r="EN4" s="26">
        <f t="shared" si="3"/>
        <v>550875</v>
      </c>
      <c r="EO4" s="26">
        <f t="shared" si="3"/>
        <v>579466</v>
      </c>
      <c r="EP4" s="26">
        <f t="shared" si="3"/>
        <v>575548</v>
      </c>
      <c r="EQ4" s="26">
        <f t="shared" si="3"/>
        <v>589726</v>
      </c>
      <c r="ER4" s="26">
        <f>ROUND(EO6*ER5+ER46,0)</f>
        <v>529158</v>
      </c>
      <c r="ES4" s="26">
        <f t="shared" ref="ES4:FC4" si="4">ROUND(EP6*ES5+ES46,0)</f>
        <v>454628</v>
      </c>
      <c r="ET4" s="26">
        <f t="shared" si="4"/>
        <v>433061</v>
      </c>
      <c r="EU4" s="26">
        <f t="shared" si="4"/>
        <v>445986</v>
      </c>
      <c r="EV4" s="26">
        <f t="shared" si="4"/>
        <v>415546</v>
      </c>
      <c r="EW4" s="26">
        <f t="shared" si="4"/>
        <v>403082</v>
      </c>
      <c r="EX4" s="26">
        <f t="shared" si="4"/>
        <v>422746</v>
      </c>
      <c r="EY4" s="26">
        <f t="shared" si="4"/>
        <v>466845</v>
      </c>
      <c r="EZ4" s="26">
        <f t="shared" si="4"/>
        <v>538520</v>
      </c>
      <c r="FA4" s="26">
        <f t="shared" si="4"/>
        <v>566492</v>
      </c>
      <c r="FB4" s="26">
        <f t="shared" si="4"/>
        <v>562529</v>
      </c>
      <c r="FC4" s="26">
        <f t="shared" si="4"/>
        <v>576789</v>
      </c>
    </row>
    <row r="5" spans="1:159" ht="15.6" x14ac:dyDescent="0.25">
      <c r="A5" s="60">
        <f t="shared" ref="A5:A48" si="5">+A4+1</f>
        <v>2</v>
      </c>
      <c r="B5" s="28" t="s">
        <v>46</v>
      </c>
      <c r="C5" s="29">
        <v>2.3465876806605854E-3</v>
      </c>
      <c r="D5" s="29">
        <v>1.6070471981895461E-3</v>
      </c>
      <c r="E5" s="29">
        <v>3.3924071134300547E-5</v>
      </c>
      <c r="F5" s="29">
        <v>1.1434812111936865E-4</v>
      </c>
      <c r="G5" s="29">
        <v>-3.1691236370744286E-5</v>
      </c>
      <c r="H5" s="29">
        <v>-1.4805384193565161E-4</v>
      </c>
      <c r="I5" s="29">
        <v>-4.373789907296372E-5</v>
      </c>
      <c r="J5" s="29">
        <v>3.942467927421914E-4</v>
      </c>
      <c r="K5" s="29">
        <v>1.1861075321878125E-3</v>
      </c>
      <c r="L5" s="29">
        <v>1.4051193523353051E-3</v>
      </c>
      <c r="M5" s="29">
        <v>2.2224456071544907E-3</v>
      </c>
      <c r="N5" s="29">
        <v>2.2560586960000124E-3</v>
      </c>
      <c r="O5" s="29">
        <v>2.2430976982803228E-3</v>
      </c>
      <c r="P5" s="29">
        <v>1.3940373080848281E-3</v>
      </c>
      <c r="Q5" s="29">
        <v>1.2295069622834267E-4</v>
      </c>
      <c r="R5" s="29">
        <v>-2.2978422025066083E-4</v>
      </c>
      <c r="S5" s="29">
        <v>7.5004618939277271E-4</v>
      </c>
      <c r="T5" s="29">
        <v>1.019461580643484E-4</v>
      </c>
      <c r="U5" s="29">
        <v>2.9138783394381921E-4</v>
      </c>
      <c r="V5" s="29">
        <v>3.942467927421914E-4</v>
      </c>
      <c r="W5" s="29">
        <v>1.1861075321878125E-3</v>
      </c>
      <c r="X5" s="29">
        <v>1.4051193523353051E-3</v>
      </c>
      <c r="Y5" s="29">
        <v>2.1524456071544905E-3</v>
      </c>
      <c r="Z5" s="29">
        <v>2.1560586960000126E-3</v>
      </c>
      <c r="AA5" s="29">
        <v>2.1430976982803229E-3</v>
      </c>
      <c r="AB5" s="29">
        <v>1.3940373080848281E-3</v>
      </c>
      <c r="AC5" s="29">
        <v>2.7295069622834266E-4</v>
      </c>
      <c r="AD5" s="29">
        <v>-7.9784220250660843E-5</v>
      </c>
      <c r="AE5" s="29">
        <v>9.0004618939277267E-4</v>
      </c>
      <c r="AF5" s="29">
        <v>2.5294615806434838E-4</v>
      </c>
      <c r="AG5" s="29">
        <v>4.423878339438192E-4</v>
      </c>
      <c r="AH5" s="29">
        <v>5.4524679274219143E-4</v>
      </c>
      <c r="AI5" s="29">
        <v>1.3371075321878126E-3</v>
      </c>
      <c r="AJ5" s="29">
        <v>1.5561193523353049E-3</v>
      </c>
      <c r="AK5" s="29">
        <v>2.4024456071544903E-3</v>
      </c>
      <c r="AL5" s="29">
        <v>2.4060586960000128E-3</v>
      </c>
      <c r="AM5" s="29">
        <v>2.1430976982803229E-3</v>
      </c>
      <c r="AN5" s="29">
        <v>7.9744085451184915E-4</v>
      </c>
      <c r="AO5" s="29">
        <v>2.4331173032251494E-4</v>
      </c>
      <c r="AP5" s="29">
        <v>1.1713919996029465E-4</v>
      </c>
      <c r="AQ5" s="29">
        <v>3.8011728352559961E-4</v>
      </c>
      <c r="AR5" s="29">
        <v>-2.1686964729965101E-4</v>
      </c>
      <c r="AS5" s="29">
        <v>1.8587211252481845E-3</v>
      </c>
      <c r="AT5" s="29">
        <v>7.8081755275885253E-4</v>
      </c>
      <c r="AU5" s="29">
        <v>6.0484579288677274E-4</v>
      </c>
      <c r="AV5" s="29">
        <v>1.5221523475046222E-3</v>
      </c>
      <c r="AW5" s="29">
        <v>2.500487535542491E-3</v>
      </c>
      <c r="AX5" s="29">
        <v>2.0082690588873798E-3</v>
      </c>
      <c r="AY5" s="29">
        <v>1.8597039559158049E-3</v>
      </c>
      <c r="AZ5" s="29">
        <f t="shared" ref="AZ5:DI5" si="6">AZ4/AW6</f>
        <v>1.4223617551296466E-3</v>
      </c>
      <c r="BA5" s="29">
        <f>BA4/AX6</f>
        <v>2.8162868007914927E-4</v>
      </c>
      <c r="BB5" s="29">
        <f t="shared" si="6"/>
        <v>2.4350129423760551E-3</v>
      </c>
      <c r="BC5" s="29">
        <f t="shared" si="6"/>
        <v>-1.1139096839124158E-3</v>
      </c>
      <c r="BD5" s="29">
        <f t="shared" si="6"/>
        <v>1.399075963064307E-3</v>
      </c>
      <c r="BE5" s="29">
        <f t="shared" si="6"/>
        <v>1.1194759203997583E-3</v>
      </c>
      <c r="BF5" s="29">
        <f t="shared" si="6"/>
        <v>1.558567784697024E-3</v>
      </c>
      <c r="BG5" s="29">
        <f t="shared" si="6"/>
        <v>2.3618055878603756E-3</v>
      </c>
      <c r="BH5" s="29">
        <f t="shared" si="6"/>
        <v>3.1984661092344007E-3</v>
      </c>
      <c r="BI5" s="29">
        <f t="shared" si="6"/>
        <v>3.6059083597662018E-3</v>
      </c>
      <c r="BJ5" s="29">
        <f t="shared" si="6"/>
        <v>2.2639694078154028E-3</v>
      </c>
      <c r="BK5" s="29">
        <f t="shared" si="6"/>
        <v>1.8340492397405351E-3</v>
      </c>
      <c r="BL5" s="29">
        <f t="shared" si="6"/>
        <v>2.6133748297550718E-3</v>
      </c>
      <c r="BM5" s="29">
        <f t="shared" si="6"/>
        <v>2.9805057882653411E-3</v>
      </c>
      <c r="BN5" s="29">
        <f t="shared" si="6"/>
        <v>2.0226885691779183E-3</v>
      </c>
      <c r="BO5" s="29">
        <f t="shared" si="6"/>
        <v>2.2519738977461491E-3</v>
      </c>
      <c r="BP5" s="29">
        <f t="shared" si="6"/>
        <v>2.471061525957277E-3</v>
      </c>
      <c r="BQ5" s="29">
        <f t="shared" si="6"/>
        <v>8.3506204272784104E-4</v>
      </c>
      <c r="BR5" s="29">
        <f t="shared" si="6"/>
        <v>1.6737984139018514E-3</v>
      </c>
      <c r="BS5" s="29">
        <f t="shared" si="6"/>
        <v>1.7619363645085407E-3</v>
      </c>
      <c r="BT5" s="29">
        <f t="shared" si="6"/>
        <v>1.9163085869101997E-3</v>
      </c>
      <c r="BU5" s="29">
        <f t="shared" si="6"/>
        <v>2.4219705999724028E-3</v>
      </c>
      <c r="BV5" s="29">
        <f t="shared" si="6"/>
        <v>2.6480605310558718E-3</v>
      </c>
      <c r="BW5" s="29">
        <f t="shared" si="6"/>
        <v>2.3360520658697943E-3</v>
      </c>
      <c r="BX5" s="29">
        <f t="shared" si="6"/>
        <v>1.7015928842267246E-3</v>
      </c>
      <c r="BY5" s="29">
        <f t="shared" si="6"/>
        <v>1.4678122678088283E-3</v>
      </c>
      <c r="BZ5" s="29">
        <f t="shared" si="6"/>
        <v>1.2143517380636671E-3</v>
      </c>
      <c r="CA5" s="29">
        <f t="shared" si="6"/>
        <v>1.6290595491878766E-3</v>
      </c>
      <c r="CB5" s="29">
        <f t="shared" si="6"/>
        <v>8.1951627494669275E-4</v>
      </c>
      <c r="CC5" s="29">
        <f t="shared" si="6"/>
        <v>1.38605297543918E-3</v>
      </c>
      <c r="CD5" s="29">
        <f t="shared" si="6"/>
        <v>1.3285541695130813E-3</v>
      </c>
      <c r="CE5" s="29">
        <f t="shared" si="6"/>
        <v>1.6151867724812485E-3</v>
      </c>
      <c r="CF5" s="29">
        <f t="shared" si="6"/>
        <v>1.996135822467496E-3</v>
      </c>
      <c r="CG5" s="29">
        <f t="shared" si="6"/>
        <v>2.3913398821976098E-3</v>
      </c>
      <c r="CH5" s="29">
        <f t="shared" si="6"/>
        <v>1.8418537191183942E-3</v>
      </c>
      <c r="CI5" s="29">
        <f t="shared" si="6"/>
        <v>2.235258664663225E-3</v>
      </c>
      <c r="CJ5" s="29">
        <f t="shared" si="6"/>
        <v>1.4186976249228975E-3</v>
      </c>
      <c r="CK5" s="29">
        <f t="shared" si="6"/>
        <v>1.1857906670084588E-3</v>
      </c>
      <c r="CL5" s="29">
        <f t="shared" si="6"/>
        <v>-5.7633622948581619E-4</v>
      </c>
      <c r="CM5" s="29">
        <f t="shared" si="6"/>
        <v>-1.3492188451473832E-3</v>
      </c>
      <c r="CN5" s="29">
        <f t="shared" si="6"/>
        <v>6.1710299156776389E-4</v>
      </c>
      <c r="CO5" s="29">
        <f t="shared" si="6"/>
        <v>-1.2438119357371618E-3</v>
      </c>
      <c r="CP5" s="29">
        <f t="shared" si="6"/>
        <v>-1.1352492243617083E-3</v>
      </c>
      <c r="CQ5" s="29">
        <f t="shared" si="6"/>
        <v>-1.2619790580522517E-3</v>
      </c>
      <c r="CR5" s="29">
        <f t="shared" si="6"/>
        <v>1.3993676238161069E-3</v>
      </c>
      <c r="CS5" s="29">
        <f t="shared" si="6"/>
        <v>1.0847670807474046E-2</v>
      </c>
      <c r="CT5" s="29">
        <f t="shared" si="6"/>
        <v>2.5719445560818343E-3</v>
      </c>
      <c r="CU5" s="29">
        <f t="shared" si="6"/>
        <v>6.7855798765893956E-3</v>
      </c>
      <c r="CV5" s="29">
        <f t="shared" si="6"/>
        <v>1.9168114828032477E-3</v>
      </c>
      <c r="CW5" s="29">
        <f t="shared" si="6"/>
        <v>2.3410543282091092E-3</v>
      </c>
      <c r="CX5" s="29">
        <f t="shared" si="6"/>
        <v>3.1449042283396172E-3</v>
      </c>
      <c r="CY5" s="29">
        <f t="shared" si="6"/>
        <v>1.7235377386354608E-3</v>
      </c>
      <c r="CZ5" s="29">
        <f t="shared" si="6"/>
        <v>1.6830484717840057E-4</v>
      </c>
      <c r="DA5" s="29">
        <f t="shared" si="6"/>
        <v>2.4186523595212408E-3</v>
      </c>
      <c r="DB5" s="29">
        <f t="shared" si="6"/>
        <v>2.2701961796758718E-3</v>
      </c>
      <c r="DC5" s="29">
        <f t="shared" si="6"/>
        <v>5.0629156859149449E-4</v>
      </c>
      <c r="DD5" s="29">
        <f t="shared" si="6"/>
        <v>1.2269202825733783E-2</v>
      </c>
      <c r="DE5" s="29">
        <f t="shared" si="6"/>
        <v>2.5912024487706234E-3</v>
      </c>
      <c r="DF5" s="29">
        <f t="shared" si="6"/>
        <v>2.954891887808482E-3</v>
      </c>
      <c r="DG5" s="29">
        <f t="shared" si="6"/>
        <v>2.8112014979007746E-3</v>
      </c>
      <c r="DH5" s="29">
        <f t="shared" si="6"/>
        <v>7.9254767953936109E-4</v>
      </c>
      <c r="DI5" s="29">
        <f t="shared" si="6"/>
        <v>1.8781958073054573E-3</v>
      </c>
      <c r="DJ5" s="29">
        <f>DJ4/DG6</f>
        <v>1.8845171106205961E-3</v>
      </c>
      <c r="DK5" s="29">
        <f>DK4/DH6</f>
        <v>1.7305179874687706E-3</v>
      </c>
      <c r="DL5" s="29">
        <f>DL4/DI6</f>
        <v>2.2743010488169824E-3</v>
      </c>
      <c r="DM5" s="29">
        <f>DM4/DJ6</f>
        <v>1.7631463602590419E-3</v>
      </c>
      <c r="DN5" s="29">
        <f>DN4/DK6</f>
        <v>2.1446094624375002E-3</v>
      </c>
      <c r="DO5" s="29">
        <f t="shared" ref="DO5:DU5" si="7">DO4/DL6</f>
        <v>2.3796128782848864E-3</v>
      </c>
      <c r="DP5" s="29">
        <f t="shared" si="7"/>
        <v>3.0517819529970436E-3</v>
      </c>
      <c r="DQ5" s="29">
        <f t="shared" si="7"/>
        <v>3.3698553208032288E-3</v>
      </c>
      <c r="DR5" s="29">
        <f t="shared" si="7"/>
        <v>3.2903764546836334E-3</v>
      </c>
      <c r="DS5" s="29">
        <f t="shared" si="7"/>
        <v>2.734985512871308E-3</v>
      </c>
      <c r="DT5" s="29">
        <f t="shared" si="7"/>
        <v>3.1832414875426563E-3</v>
      </c>
      <c r="DU5" s="29">
        <f t="shared" si="7"/>
        <v>3.0895501626144245E-3</v>
      </c>
      <c r="DV5" s="29">
        <f>DV4/DS6</f>
        <v>2.0353046910808084E-3</v>
      </c>
      <c r="DW5" s="29">
        <f>DW4/DT6</f>
        <v>1.3962199434967568E-3</v>
      </c>
      <c r="DX5" s="29">
        <f>DX4/DU6</f>
        <v>2.7539306095495661E-3</v>
      </c>
      <c r="DY5" s="29">
        <f>DY4/DV6</f>
        <v>2.135548603468481E-3</v>
      </c>
      <c r="DZ5" s="29">
        <f>DZ4/DW6</f>
        <v>2.0122154508483694E-3</v>
      </c>
      <c r="EA5" s="29">
        <f>EA29</f>
        <v>2.2371282435097346E-3</v>
      </c>
      <c r="EB5" s="29">
        <f>EB29</f>
        <v>2.2371282435097346E-3</v>
      </c>
      <c r="EC5" s="29">
        <f>EC29</f>
        <v>2.2371282435097346E-3</v>
      </c>
      <c r="ED5" s="29">
        <f>ED29</f>
        <v>2.2371282435097346E-3</v>
      </c>
      <c r="EE5" s="29">
        <f>EE29</f>
        <v>2.2371282435097346E-3</v>
      </c>
      <c r="EF5" s="29">
        <f t="shared" ref="EF5:FC5" si="8">EF29</f>
        <v>2.2371282435097346E-3</v>
      </c>
      <c r="EG5" s="29">
        <f t="shared" si="8"/>
        <v>2.2371282435097346E-3</v>
      </c>
      <c r="EH5" s="29">
        <f t="shared" si="8"/>
        <v>2.2371282435097346E-3</v>
      </c>
      <c r="EI5" s="29">
        <f t="shared" si="8"/>
        <v>2.2371282435097346E-3</v>
      </c>
      <c r="EJ5" s="29">
        <f t="shared" si="8"/>
        <v>2.2371282435097346E-3</v>
      </c>
      <c r="EK5" s="29">
        <f t="shared" si="8"/>
        <v>2.2371282435097346E-3</v>
      </c>
      <c r="EL5" s="29">
        <f t="shared" si="8"/>
        <v>2.2371282435097346E-3</v>
      </c>
      <c r="EM5" s="29">
        <f t="shared" si="8"/>
        <v>2.2371282435097346E-3</v>
      </c>
      <c r="EN5" s="29">
        <f t="shared" si="8"/>
        <v>2.2371282435097346E-3</v>
      </c>
      <c r="EO5" s="29">
        <f t="shared" si="8"/>
        <v>2.2371282435097346E-3</v>
      </c>
      <c r="EP5" s="29">
        <f t="shared" si="8"/>
        <v>2.2371282435097346E-3</v>
      </c>
      <c r="EQ5" s="29">
        <f t="shared" si="8"/>
        <v>2.2371282435097346E-3</v>
      </c>
      <c r="ER5" s="29">
        <f t="shared" si="8"/>
        <v>2.2371282435097346E-3</v>
      </c>
      <c r="ES5" s="29">
        <f t="shared" si="8"/>
        <v>2.2371282435097346E-3</v>
      </c>
      <c r="ET5" s="29">
        <f t="shared" si="8"/>
        <v>2.2371282435097346E-3</v>
      </c>
      <c r="EU5" s="29">
        <f t="shared" si="8"/>
        <v>2.2371282435097346E-3</v>
      </c>
      <c r="EV5" s="29">
        <f t="shared" si="8"/>
        <v>2.2371282435097346E-3</v>
      </c>
      <c r="EW5" s="29">
        <f t="shared" si="8"/>
        <v>2.2371282435097346E-3</v>
      </c>
      <c r="EX5" s="29">
        <f t="shared" si="8"/>
        <v>2.2371282435097346E-3</v>
      </c>
      <c r="EY5" s="29">
        <f t="shared" si="8"/>
        <v>2.2371282435097346E-3</v>
      </c>
      <c r="EZ5" s="29">
        <f t="shared" si="8"/>
        <v>2.2371282435097346E-3</v>
      </c>
      <c r="FA5" s="29">
        <f t="shared" si="8"/>
        <v>2.2371282435097346E-3</v>
      </c>
      <c r="FB5" s="29">
        <f t="shared" si="8"/>
        <v>2.2371282435097346E-3</v>
      </c>
      <c r="FC5" s="29">
        <f t="shared" si="8"/>
        <v>2.2371282435097346E-3</v>
      </c>
    </row>
    <row r="6" spans="1:159" ht="15.6" x14ac:dyDescent="0.25">
      <c r="A6" s="60">
        <f t="shared" si="5"/>
        <v>3</v>
      </c>
      <c r="B6" s="28" t="s">
        <v>47</v>
      </c>
      <c r="C6" s="61">
        <v>135743376</v>
      </c>
      <c r="D6" s="61">
        <v>142657735</v>
      </c>
      <c r="E6" s="61">
        <v>131607527</v>
      </c>
      <c r="F6" s="61">
        <v>134665819</v>
      </c>
      <c r="G6" s="61">
        <v>141563612</v>
      </c>
      <c r="H6" s="61">
        <v>150129727</v>
      </c>
      <c r="I6" s="61">
        <v>172805961</v>
      </c>
      <c r="J6" s="61">
        <v>177232684</v>
      </c>
      <c r="K6" s="61">
        <v>183197361.28</v>
      </c>
      <c r="L6" s="61">
        <v>189786650.99000001</v>
      </c>
      <c r="M6" s="61">
        <v>171267295.80000001</v>
      </c>
      <c r="N6" s="61">
        <v>153630687.58000001</v>
      </c>
      <c r="O6" s="61">
        <v>144988197.90000001</v>
      </c>
      <c r="P6" s="61">
        <v>152179961.19999999</v>
      </c>
      <c r="Q6" s="61">
        <v>148610023</v>
      </c>
      <c r="R6" s="61">
        <v>137596685</v>
      </c>
      <c r="S6" s="61">
        <v>139133366</v>
      </c>
      <c r="T6" s="61">
        <v>161564985</v>
      </c>
      <c r="U6" s="61">
        <v>187913849</v>
      </c>
      <c r="V6" s="61">
        <v>197008160</v>
      </c>
      <c r="W6" s="61">
        <v>193283773</v>
      </c>
      <c r="X6" s="61">
        <v>197849834</v>
      </c>
      <c r="Y6" s="61">
        <v>172695104</v>
      </c>
      <c r="Z6" s="61">
        <v>147970663</v>
      </c>
      <c r="AA6" s="61">
        <v>146796442</v>
      </c>
      <c r="AB6" s="61">
        <v>148008898</v>
      </c>
      <c r="AC6" s="61">
        <v>140156232</v>
      </c>
      <c r="AD6" s="61">
        <v>143178316</v>
      </c>
      <c r="AE6" s="61">
        <v>157806084</v>
      </c>
      <c r="AF6" s="61">
        <v>169387894</v>
      </c>
      <c r="AG6" s="61">
        <v>188012492</v>
      </c>
      <c r="AH6" s="61">
        <v>194516338</v>
      </c>
      <c r="AI6" s="61">
        <v>183818237</v>
      </c>
      <c r="AJ6" s="61">
        <v>192448462</v>
      </c>
      <c r="AK6" s="61">
        <v>177892817</v>
      </c>
      <c r="AL6" s="61">
        <v>164472136</v>
      </c>
      <c r="AM6" s="61">
        <v>152160848</v>
      </c>
      <c r="AN6" s="61">
        <v>155273129</v>
      </c>
      <c r="AO6" s="61">
        <v>143067508</v>
      </c>
      <c r="AP6" s="61">
        <v>136160824</v>
      </c>
      <c r="AQ6" s="61">
        <v>145944465</v>
      </c>
      <c r="AR6" s="61">
        <v>157716233</v>
      </c>
      <c r="AS6" s="61">
        <v>185922914</v>
      </c>
      <c r="AT6" s="61">
        <v>199405513.09</v>
      </c>
      <c r="AU6" s="61">
        <v>196377571.15000001</v>
      </c>
      <c r="AV6" s="61">
        <v>198656887.74000001</v>
      </c>
      <c r="AW6" s="61">
        <v>177833802.88999999</v>
      </c>
      <c r="AX6" s="61">
        <v>149200003.31</v>
      </c>
      <c r="AY6" s="61">
        <v>144234346.31</v>
      </c>
      <c r="AZ6" s="61">
        <v>143420837.71000001</v>
      </c>
      <c r="BA6" s="61">
        <v>132405984.3</v>
      </c>
      <c r="BB6" s="61">
        <v>133558728.04000001</v>
      </c>
      <c r="BC6" s="61">
        <v>144865903.31</v>
      </c>
      <c r="BD6" s="61">
        <v>168114747.47999999</v>
      </c>
      <c r="BE6" s="61">
        <v>177035594.77000001</v>
      </c>
      <c r="BF6" s="61">
        <v>182302109.31999999</v>
      </c>
      <c r="BG6" s="61">
        <v>190577411.74000001</v>
      </c>
      <c r="BH6" s="61">
        <v>194284832.86000001</v>
      </c>
      <c r="BI6" s="61">
        <v>178491161.96000001</v>
      </c>
      <c r="BJ6" s="61">
        <v>149754377.84999999</v>
      </c>
      <c r="BK6" s="61">
        <v>137989957.65000001</v>
      </c>
      <c r="BL6" s="61">
        <v>159841781.63000003</v>
      </c>
      <c r="BM6" s="61">
        <v>146104767.61000001</v>
      </c>
      <c r="BN6" s="61">
        <v>143853299.34</v>
      </c>
      <c r="BO6" s="61">
        <v>144888797.83000001</v>
      </c>
      <c r="BP6" s="61">
        <v>153110711.28</v>
      </c>
      <c r="BQ6" s="61">
        <v>175887037.34999999</v>
      </c>
      <c r="BR6" s="61">
        <v>194394799.84</v>
      </c>
      <c r="BS6" s="61">
        <v>191365576.44999999</v>
      </c>
      <c r="BT6" s="61">
        <v>208164816.66</v>
      </c>
      <c r="BU6" s="61">
        <v>191784688.34999999</v>
      </c>
      <c r="BV6" s="61">
        <v>166509870.06999999</v>
      </c>
      <c r="BW6" s="61">
        <v>148141682.81</v>
      </c>
      <c r="BX6" s="61">
        <v>137657030.47</v>
      </c>
      <c r="BY6" s="61">
        <v>137831076.03</v>
      </c>
      <c r="BZ6" s="61">
        <v>135681718.75999999</v>
      </c>
      <c r="CA6" s="61">
        <v>139671384.31999999</v>
      </c>
      <c r="CB6" s="61">
        <v>165122662.31</v>
      </c>
      <c r="CC6" s="61">
        <v>189463789.86000001</v>
      </c>
      <c r="CD6" s="26">
        <v>193866185</v>
      </c>
      <c r="CE6" s="26">
        <v>186914805.68000001</v>
      </c>
      <c r="CF6" s="26">
        <v>200821062.5</v>
      </c>
      <c r="CG6" s="26">
        <v>182175366.66</v>
      </c>
      <c r="CH6" s="26">
        <v>166312573.11000001</v>
      </c>
      <c r="CI6" s="26">
        <v>140128740.59999999</v>
      </c>
      <c r="CJ6" s="61">
        <v>144113018.21000001</v>
      </c>
      <c r="CK6" s="61">
        <v>135435593.63999999</v>
      </c>
      <c r="CL6" s="61">
        <v>136285072.63</v>
      </c>
      <c r="CM6" s="61">
        <v>153909385.05000001</v>
      </c>
      <c r="CN6" s="61">
        <v>154116043.97</v>
      </c>
      <c r="CO6" s="61">
        <v>142102808.88000003</v>
      </c>
      <c r="CP6" s="61">
        <v>160689592.35000002</v>
      </c>
      <c r="CQ6" s="61">
        <v>163197339.92999998</v>
      </c>
      <c r="CR6" s="61">
        <v>183243245.62</v>
      </c>
      <c r="CS6" s="61">
        <v>170891176.80000001</v>
      </c>
      <c r="CT6" s="61">
        <v>159723076.69000003</v>
      </c>
      <c r="CU6" s="61">
        <v>140476265.07000002</v>
      </c>
      <c r="CV6" s="61">
        <v>157587283.36000001</v>
      </c>
      <c r="CW6" s="61">
        <v>144114671.72</v>
      </c>
      <c r="CX6" s="61">
        <v>141305769.01000002</v>
      </c>
      <c r="CY6" s="61">
        <v>153086448.25999999</v>
      </c>
      <c r="CZ6" s="61">
        <v>168989226.53999999</v>
      </c>
      <c r="DA6" s="61">
        <v>191673369.76999998</v>
      </c>
      <c r="DB6" s="61">
        <v>194090554.46000001</v>
      </c>
      <c r="DC6" s="61">
        <v>202407625.29000002</v>
      </c>
      <c r="DD6" s="61">
        <v>234585450.55999997</v>
      </c>
      <c r="DE6" s="61">
        <v>211982350.50999999</v>
      </c>
      <c r="DF6" s="61">
        <v>179985493.88999999</v>
      </c>
      <c r="DG6" s="61">
        <v>166499395.16</v>
      </c>
      <c r="DH6" s="61">
        <v>168292467.58999997</v>
      </c>
      <c r="DI6" s="61">
        <v>164359030.06</v>
      </c>
      <c r="DJ6" s="61">
        <v>162366554.72999999</v>
      </c>
      <c r="DK6" s="61">
        <v>184601115.93000001</v>
      </c>
      <c r="DL6" s="61">
        <v>206635522.31</v>
      </c>
      <c r="DM6" s="61">
        <v>233156929.60999998</v>
      </c>
      <c r="DN6" s="61">
        <v>246307176.12</v>
      </c>
      <c r="DO6" s="61">
        <v>248611780.83000001</v>
      </c>
      <c r="DP6" s="61">
        <v>252094084.87</v>
      </c>
      <c r="DQ6" s="61">
        <v>210998776.759</v>
      </c>
      <c r="DR6" s="61">
        <v>189528568.61999997</v>
      </c>
      <c r="DS6" s="61">
        <v>191162886.67000002</v>
      </c>
      <c r="DT6" s="97">
        <v>213564017.18000001</v>
      </c>
      <c r="DU6" s="97">
        <v>191503550.66</v>
      </c>
      <c r="DV6" s="97">
        <v>198098928.44999999</v>
      </c>
      <c r="DW6" s="97">
        <v>232628812.09</v>
      </c>
      <c r="DX6" s="97">
        <v>245445759.97999999</v>
      </c>
      <c r="DY6" s="97">
        <v>267605891.81999999</v>
      </c>
      <c r="DZ6" s="97">
        <v>305081830.83000004</v>
      </c>
      <c r="EA6" s="97">
        <v>300184739.09820306</v>
      </c>
      <c r="EB6" s="97">
        <v>301017130.94820309</v>
      </c>
      <c r="EC6" s="97">
        <v>278689990.66820312</v>
      </c>
      <c r="ED6" s="97">
        <v>239681136.8082031</v>
      </c>
      <c r="EE6" s="61">
        <v>218162323.0282031</v>
      </c>
      <c r="EF6" s="97">
        <v>203730026.3889167</v>
      </c>
      <c r="EG6" s="97">
        <v>190036128.88091668</v>
      </c>
      <c r="EH6" s="97">
        <v>184400824.10541669</v>
      </c>
      <c r="EI6" s="97">
        <v>193493611.30766669</v>
      </c>
      <c r="EJ6" s="97">
        <v>213762603.1389167</v>
      </c>
      <c r="EK6" s="97">
        <v>246241997.76816669</v>
      </c>
      <c r="EL6" s="97">
        <v>259022361.40316668</v>
      </c>
      <c r="EM6" s="97">
        <v>257271029.43916669</v>
      </c>
      <c r="EN6" s="97">
        <v>263608334.9041667</v>
      </c>
      <c r="EO6" s="97">
        <v>236534282.9641667</v>
      </c>
      <c r="EP6" s="97">
        <v>203219473.20916671</v>
      </c>
      <c r="EQ6" s="61">
        <v>193579187.39416668</v>
      </c>
      <c r="ER6" s="97">
        <v>199356320.6764167</v>
      </c>
      <c r="ES6" s="97">
        <v>185749832.6184167</v>
      </c>
      <c r="ET6" s="97">
        <v>180178424.50291669</v>
      </c>
      <c r="EU6" s="97">
        <v>188967949.74516672</v>
      </c>
      <c r="EV6" s="97">
        <v>208680585.50641665</v>
      </c>
      <c r="EW6" s="97">
        <v>240719204.85566673</v>
      </c>
      <c r="EX6" s="97">
        <v>253222783.53066668</v>
      </c>
      <c r="EY6" s="97">
        <v>251451342.26666671</v>
      </c>
      <c r="EZ6" s="97">
        <v>257825480.4316667</v>
      </c>
      <c r="FA6" s="97">
        <v>231315379.27166671</v>
      </c>
      <c r="FB6" s="97">
        <v>198865784.0266667</v>
      </c>
      <c r="FC6" s="61">
        <v>189724538.94166672</v>
      </c>
    </row>
    <row r="7" spans="1:159" ht="15.6" x14ac:dyDescent="0.25">
      <c r="A7" s="60">
        <f t="shared" si="5"/>
        <v>4</v>
      </c>
      <c r="B7" s="22" t="s">
        <v>48</v>
      </c>
      <c r="C7" s="30">
        <v>-2.2839602411716453E-2</v>
      </c>
      <c r="D7" s="30">
        <v>-4.4632228230202409E-2</v>
      </c>
      <c r="E7" s="30">
        <v>-5.0132085076188937E-2</v>
      </c>
      <c r="F7" s="30">
        <v>-3.2812254303738464E-2</v>
      </c>
      <c r="G7" s="30">
        <v>-9.6600299986650318E-2</v>
      </c>
      <c r="H7" s="30">
        <v>-7.0379312061111365E-2</v>
      </c>
      <c r="I7" s="30">
        <v>-5.7233458745509225E-2</v>
      </c>
      <c r="J7" s="30">
        <v>-5.0345678743640154E-2</v>
      </c>
      <c r="K7" s="30">
        <v>-3.9481253683559814E-2</v>
      </c>
      <c r="L7" s="30">
        <v>-2.7702783235166839E-2</v>
      </c>
      <c r="M7" s="30">
        <v>-5.903052140578291E-3</v>
      </c>
      <c r="N7" s="30">
        <v>6.2977437053931107E-2</v>
      </c>
      <c r="O7" s="30">
        <v>6.810514201444362E-2</v>
      </c>
      <c r="P7" s="30">
        <v>6.6748754983387171E-2</v>
      </c>
      <c r="Q7" s="30">
        <v>0.12919090866284577</v>
      </c>
      <c r="R7" s="30">
        <v>2.1763993430285344E-2</v>
      </c>
      <c r="S7" s="30">
        <v>-1.7167165810943019E-2</v>
      </c>
      <c r="T7" s="30">
        <v>7.6169178673055171E-2</v>
      </c>
      <c r="U7" s="30">
        <v>8.7426891483216806E-2</v>
      </c>
      <c r="V7" s="30">
        <v>0.11157917125489103</v>
      </c>
      <c r="W7" s="30">
        <v>5.5057625554900236E-2</v>
      </c>
      <c r="X7" s="30">
        <v>4.248551185206817E-2</v>
      </c>
      <c r="Y7" s="30">
        <v>8.3367241441549833E-3</v>
      </c>
      <c r="Z7" s="30">
        <v>-3.6841757783923734E-2</v>
      </c>
      <c r="AA7" s="30">
        <v>1.2471664081563194E-2</v>
      </c>
      <c r="AB7" s="30">
        <v>-2.7408754523982504E-2</v>
      </c>
      <c r="AC7" s="30">
        <v>-5.6885739126761314E-2</v>
      </c>
      <c r="AD7" s="30">
        <v>4.0565156057356999E-2</v>
      </c>
      <c r="AE7" s="30">
        <v>0.13420733312812971</v>
      </c>
      <c r="AF7" s="30">
        <v>4.8419581755291929E-2</v>
      </c>
      <c r="AG7" s="30">
        <v>5.2493736105629907E-4</v>
      </c>
      <c r="AH7" s="30">
        <v>-1.2648318729538865E-2</v>
      </c>
      <c r="AI7" s="30">
        <v>-4.8972222825968914E-2</v>
      </c>
      <c r="AJ7" s="30">
        <v>-2.730036154591875E-2</v>
      </c>
      <c r="AK7" s="30">
        <v>3.0097628013820321E-2</v>
      </c>
      <c r="AL7" s="30">
        <v>0.11151854472666645</v>
      </c>
      <c r="AM7" s="30">
        <v>3.6543160903041549E-2</v>
      </c>
      <c r="AN7" s="30">
        <v>4.9079691141271864E-2</v>
      </c>
      <c r="AO7" s="30">
        <v>2.0771648598543857E-2</v>
      </c>
      <c r="AP7" s="30">
        <v>-4.9012254062270166E-2</v>
      </c>
      <c r="AQ7" s="30">
        <v>-7.5165790185884096E-2</v>
      </c>
      <c r="AR7" s="30">
        <v>-6.8904930124463304E-2</v>
      </c>
      <c r="AS7" s="30">
        <v>-1.1114038103383073E-2</v>
      </c>
      <c r="AT7" s="30">
        <v>2.5135035649293425E-2</v>
      </c>
      <c r="AU7" s="30">
        <v>6.8324744894599387E-2</v>
      </c>
      <c r="AV7" s="30">
        <v>3.2260199304684489E-2</v>
      </c>
      <c r="AW7" s="30">
        <v>-3.3173970144062537E-4</v>
      </c>
      <c r="AX7" s="30">
        <v>-9.285544081460706E-2</v>
      </c>
      <c r="AY7" s="30">
        <v>-5.2092912166209815E-2</v>
      </c>
      <c r="AZ7" s="30">
        <f>AZ6/AN6-1</f>
        <v>-7.6331889273642428E-2</v>
      </c>
      <c r="BA7" s="30">
        <f>BA6/AO6-1</f>
        <v>-7.4520929657906687E-2</v>
      </c>
      <c r="BB7" s="30">
        <f t="shared" ref="BB7:BV7" si="9">BB6/AP6-1</f>
        <v>-1.9110459848568406E-2</v>
      </c>
      <c r="BC7" s="30">
        <f t="shared" si="9"/>
        <v>-7.3902199031665727E-3</v>
      </c>
      <c r="BD7" s="30">
        <f t="shared" si="9"/>
        <v>6.5931795872907983E-2</v>
      </c>
      <c r="BE7" s="30">
        <f t="shared" si="9"/>
        <v>-4.7801096910518481E-2</v>
      </c>
      <c r="BF7" s="30">
        <f t="shared" si="9"/>
        <v>-8.5771970418292987E-2</v>
      </c>
      <c r="BG7" s="30">
        <f t="shared" si="9"/>
        <v>-2.9535752866449494E-2</v>
      </c>
      <c r="BH7" s="30">
        <f t="shared" si="9"/>
        <v>-2.200807094955648E-2</v>
      </c>
      <c r="BI7" s="30">
        <f t="shared" si="9"/>
        <v>3.6964798554448564E-3</v>
      </c>
      <c r="BJ7" s="30">
        <f t="shared" si="9"/>
        <v>3.7156469685066806E-3</v>
      </c>
      <c r="BK7" s="30">
        <f t="shared" si="9"/>
        <v>-4.3293354320607214E-2</v>
      </c>
      <c r="BL7" s="30">
        <f t="shared" si="9"/>
        <v>0.11449482642963993</v>
      </c>
      <c r="BM7" s="30">
        <f t="shared" si="9"/>
        <v>0.10346045446829555</v>
      </c>
      <c r="BN7" s="30">
        <f t="shared" si="9"/>
        <v>7.7078985784566845E-2</v>
      </c>
      <c r="BO7" s="30">
        <f t="shared" si="9"/>
        <v>1.5803939696579228E-4</v>
      </c>
      <c r="BP7" s="30">
        <f t="shared" si="9"/>
        <v>-8.9248780519894377E-2</v>
      </c>
      <c r="BQ7" s="30">
        <f t="shared" si="9"/>
        <v>-6.4877202886356455E-3</v>
      </c>
      <c r="BR7" s="30">
        <f t="shared" si="9"/>
        <v>6.6333245210966618E-2</v>
      </c>
      <c r="BS7" s="30">
        <f t="shared" si="9"/>
        <v>4.1356669859451411E-3</v>
      </c>
      <c r="BT7" s="30">
        <f t="shared" si="9"/>
        <v>7.1441417200084789E-2</v>
      </c>
      <c r="BU7" s="30">
        <f t="shared" si="9"/>
        <v>7.4477224776984041E-2</v>
      </c>
      <c r="BV7" s="30">
        <f t="shared" si="9"/>
        <v>0.11188649347388679</v>
      </c>
      <c r="BW7" s="30">
        <f>BW6/BK6-1</f>
        <v>7.3568579430606018E-2</v>
      </c>
      <c r="BX7" s="30">
        <f t="shared" ref="BX7:DI7" si="10">BX6/BL6-1</f>
        <v>-0.13879194121692817</v>
      </c>
      <c r="BY7" s="30">
        <f t="shared" si="10"/>
        <v>-5.6628484582276761E-2</v>
      </c>
      <c r="BZ7" s="30">
        <f t="shared" si="10"/>
        <v>-5.6804957672095702E-2</v>
      </c>
      <c r="CA7" s="30">
        <f t="shared" si="10"/>
        <v>-3.6009778451759122E-2</v>
      </c>
      <c r="CB7" s="30">
        <f t="shared" si="10"/>
        <v>7.8452715225346026E-2</v>
      </c>
      <c r="CC7" s="30">
        <f t="shared" si="10"/>
        <v>7.7190182486179815E-2</v>
      </c>
      <c r="CD7" s="30">
        <f t="shared" si="10"/>
        <v>-2.7192848802287672E-3</v>
      </c>
      <c r="CE7" s="30">
        <f t="shared" si="10"/>
        <v>-2.3257948752151258E-2</v>
      </c>
      <c r="CF7" s="30">
        <f t="shared" si="10"/>
        <v>-3.5278556087577018E-2</v>
      </c>
      <c r="CG7" s="30">
        <f t="shared" si="10"/>
        <v>-5.0104738666432724E-2</v>
      </c>
      <c r="CH7" s="30">
        <f t="shared" si="10"/>
        <v>-1.1848964864187295E-3</v>
      </c>
      <c r="CI7" s="30">
        <f t="shared" si="10"/>
        <v>-5.4089720448748047E-2</v>
      </c>
      <c r="CJ7" s="30">
        <f t="shared" si="10"/>
        <v>4.6899077496858954E-2</v>
      </c>
      <c r="CK7" s="30">
        <f t="shared" si="10"/>
        <v>-1.7379842478184138E-2</v>
      </c>
      <c r="CL7" s="30">
        <f t="shared" si="10"/>
        <v>4.4468324510780199E-3</v>
      </c>
      <c r="CM7" s="30">
        <f t="shared" si="10"/>
        <v>0.10193928269071528</v>
      </c>
      <c r="CN7" s="30">
        <f t="shared" si="10"/>
        <v>-6.6657224308413032E-2</v>
      </c>
      <c r="CO7" s="30">
        <f t="shared" si="10"/>
        <v>-0.24997378662696612</v>
      </c>
      <c r="CP7" s="30">
        <f t="shared" si="10"/>
        <v>-0.17113140514938163</v>
      </c>
      <c r="CQ7" s="30">
        <f t="shared" si="10"/>
        <v>-0.12688917640159847</v>
      </c>
      <c r="CR7" s="30">
        <f t="shared" si="10"/>
        <v>-8.7529747433738425E-2</v>
      </c>
      <c r="CS7" s="30">
        <f t="shared" si="10"/>
        <v>-6.1941359399375062E-2</v>
      </c>
      <c r="CT7" s="30">
        <f t="shared" si="10"/>
        <v>-3.9621156096488641E-2</v>
      </c>
      <c r="CU7" s="30">
        <f t="shared" si="10"/>
        <v>2.4800370610054134E-3</v>
      </c>
      <c r="CV7" s="30">
        <f t="shared" si="10"/>
        <v>9.3497904057254777E-2</v>
      </c>
      <c r="CW7" s="30">
        <f t="shared" si="10"/>
        <v>6.4082696776667003E-2</v>
      </c>
      <c r="CX7" s="30">
        <f t="shared" si="10"/>
        <v>3.683966470510458E-2</v>
      </c>
      <c r="CY7" s="30">
        <f t="shared" si="10"/>
        <v>-5.3468915474691459E-3</v>
      </c>
      <c r="CZ7" s="30">
        <f t="shared" si="10"/>
        <v>9.6506386920333753E-2</v>
      </c>
      <c r="DA7" s="30">
        <f t="shared" si="10"/>
        <v>0.34883589762015377</v>
      </c>
      <c r="DB7" s="30">
        <f t="shared" si="10"/>
        <v>0.20786014589699708</v>
      </c>
      <c r="DC7" s="30">
        <f t="shared" si="10"/>
        <v>0.2402630176252778</v>
      </c>
      <c r="DD7" s="30">
        <f t="shared" si="10"/>
        <v>0.28018607052218814</v>
      </c>
      <c r="DE7" s="30">
        <f t="shared" si="10"/>
        <v>0.24045228360789173</v>
      </c>
      <c r="DF7" s="30">
        <f t="shared" si="10"/>
        <v>0.126859672502593</v>
      </c>
      <c r="DG7" s="30">
        <f t="shared" si="10"/>
        <v>0.18524930227204228</v>
      </c>
      <c r="DH7" s="30">
        <f t="shared" si="10"/>
        <v>6.7931777245912262E-2</v>
      </c>
      <c r="DI7" s="30">
        <f t="shared" si="10"/>
        <v>0.14047395798349194</v>
      </c>
      <c r="DJ7" s="30">
        <f>DJ6/CX6-1</f>
        <v>0.14904406145307147</v>
      </c>
      <c r="DK7" s="30">
        <f>DK6/CY6-1</f>
        <v>0.20586190370342861</v>
      </c>
      <c r="DL7" s="30">
        <f>DL6/CZ6-1</f>
        <v>0.22277334798670778</v>
      </c>
      <c r="DM7" s="30">
        <f>DM6/DA6-1</f>
        <v>0.21642839529444569</v>
      </c>
      <c r="DN7" s="30">
        <f>DN6/DB6-1</f>
        <v>0.26903226591977858</v>
      </c>
      <c r="DO7" s="30">
        <f t="shared" ref="DO7:FC7" si="11">DO6/DC6-1</f>
        <v>0.22827280085817359</v>
      </c>
      <c r="DP7" s="30">
        <f t="shared" si="11"/>
        <v>7.4636488615144714E-2</v>
      </c>
      <c r="DQ7" s="30">
        <f t="shared" si="11"/>
        <v>-4.6398851066310476E-3</v>
      </c>
      <c r="DR7" s="30">
        <f t="shared" si="11"/>
        <v>5.3021354797805786E-2</v>
      </c>
      <c r="DS7" s="30">
        <f t="shared" si="11"/>
        <v>0.14812961624454712</v>
      </c>
      <c r="DT7" s="30">
        <f t="shared" si="11"/>
        <v>0.26900520408490403</v>
      </c>
      <c r="DU7" s="30">
        <f t="shared" si="11"/>
        <v>0.16515381351478386</v>
      </c>
      <c r="DV7" s="30">
        <f>DV6/DJ6-1</f>
        <v>0.22007225428549315</v>
      </c>
      <c r="DW7" s="30">
        <f>DW6/DK6-1</f>
        <v>0.26017012908097437</v>
      </c>
      <c r="DX7" s="30">
        <f>DX6/DL6-1</f>
        <v>0.18781977675540151</v>
      </c>
      <c r="DY7" s="30">
        <f>DY6/DM6-1</f>
        <v>0.14775011091294843</v>
      </c>
      <c r="DZ7" s="30">
        <f>DZ6/DN6-1</f>
        <v>0.23862339553341005</v>
      </c>
      <c r="EA7" s="30">
        <f t="shared" si="11"/>
        <v>0.20744374259347143</v>
      </c>
      <c r="EB7" s="30">
        <f t="shared" si="11"/>
        <v>0.19406661645167822</v>
      </c>
      <c r="EC7" s="30">
        <f t="shared" si="11"/>
        <v>0.32081330019519072</v>
      </c>
      <c r="ED7" s="30">
        <f t="shared" si="11"/>
        <v>0.26461745874711773</v>
      </c>
      <c r="EE7" s="30">
        <f t="shared" si="11"/>
        <v>0.14123785651349552</v>
      </c>
      <c r="EF7" s="30">
        <f t="shared" si="11"/>
        <v>-4.6047039763233322E-2</v>
      </c>
      <c r="EG7" s="30">
        <f t="shared" si="11"/>
        <v>-7.6626348390198551E-3</v>
      </c>
      <c r="EH7" s="30">
        <f t="shared" si="11"/>
        <v>-6.9147796264030226E-2</v>
      </c>
      <c r="EI7" s="30">
        <f t="shared" si="11"/>
        <v>-0.16823023954226524</v>
      </c>
      <c r="EJ7" s="30">
        <f t="shared" si="11"/>
        <v>-0.12908414813792246</v>
      </c>
      <c r="EK7" s="30">
        <f t="shared" si="11"/>
        <v>-7.983342185232345E-2</v>
      </c>
      <c r="EL7" s="30">
        <f t="shared" si="11"/>
        <v>-0.1509741478262564</v>
      </c>
      <c r="EM7" s="30">
        <f t="shared" si="11"/>
        <v>-0.14295766596248416</v>
      </c>
      <c r="EN7" s="30">
        <f t="shared" si="11"/>
        <v>-0.1242746415335193</v>
      </c>
      <c r="EO7" s="30">
        <f t="shared" si="11"/>
        <v>-0.15126380248878502</v>
      </c>
      <c r="EP7" s="30">
        <f t="shared" si="11"/>
        <v>-0.15212571203804681</v>
      </c>
      <c r="EQ7" s="30">
        <f t="shared" si="11"/>
        <v>-0.11268277350923894</v>
      </c>
      <c r="ER7" s="30">
        <f t="shared" si="11"/>
        <v>-2.1468144828836744E-2</v>
      </c>
      <c r="ES7" s="30">
        <f t="shared" si="11"/>
        <v>-2.255516510329425E-2</v>
      </c>
      <c r="ET7" s="30">
        <f t="shared" si="11"/>
        <v>-2.2897943233085361E-2</v>
      </c>
      <c r="EU7" s="30">
        <f t="shared" si="11"/>
        <v>-2.338920407715106E-2</v>
      </c>
      <c r="EV7" s="30">
        <f t="shared" si="11"/>
        <v>-2.3774119316826603E-2</v>
      </c>
      <c r="EW7" s="30">
        <f t="shared" si="11"/>
        <v>-2.2428314270336647E-2</v>
      </c>
      <c r="EX7" s="30">
        <f t="shared" si="11"/>
        <v>-2.2390259439697524E-2</v>
      </c>
      <c r="EY7" s="30">
        <f t="shared" si="11"/>
        <v>-2.2620841472848707E-2</v>
      </c>
      <c r="EZ7" s="30">
        <f t="shared" si="11"/>
        <v>-2.193729752362461E-2</v>
      </c>
      <c r="FA7" s="30">
        <f t="shared" si="11"/>
        <v>-2.2064047659808517E-2</v>
      </c>
      <c r="FB7" s="30">
        <f t="shared" si="11"/>
        <v>-2.142358266040234E-2</v>
      </c>
      <c r="FC7" s="30">
        <f t="shared" si="11"/>
        <v>-1.9912514895783273E-2</v>
      </c>
    </row>
    <row r="8" spans="1:159" ht="15.6" x14ac:dyDescent="0.25">
      <c r="A8" s="60">
        <f t="shared" si="5"/>
        <v>5</v>
      </c>
      <c r="B8" s="23" t="s">
        <v>49</v>
      </c>
      <c r="C8" s="62">
        <v>245965.59358487348</v>
      </c>
      <c r="D8" s="62">
        <v>235167.59358487348</v>
      </c>
      <c r="E8" s="62">
        <v>230759.59358487348</v>
      </c>
      <c r="F8" s="62">
        <v>216144.59358487348</v>
      </c>
      <c r="G8" s="62">
        <v>210038.59358487348</v>
      </c>
      <c r="H8" s="62">
        <v>238755.59358487348</v>
      </c>
      <c r="I8" s="62">
        <v>265703.59358487348</v>
      </c>
      <c r="J8" s="62">
        <v>279248.59358487348</v>
      </c>
      <c r="K8" s="62">
        <v>284424.59358487348</v>
      </c>
      <c r="L8" s="62">
        <v>287328.59358487348</v>
      </c>
      <c r="M8" s="62">
        <v>243924.65358487354</v>
      </c>
      <c r="N8" s="62">
        <v>208450.65358487354</v>
      </c>
      <c r="O8" s="62">
        <v>196173.55358487356</v>
      </c>
      <c r="P8" s="62">
        <v>202425.20358487358</v>
      </c>
      <c r="Q8" s="62">
        <v>188516.20358487358</v>
      </c>
      <c r="R8" s="62">
        <v>175258.20358487358</v>
      </c>
      <c r="S8" s="62">
        <v>189058.20358487358</v>
      </c>
      <c r="T8" s="62">
        <v>227918.20358487358</v>
      </c>
      <c r="U8" s="62">
        <v>267721.20358487358</v>
      </c>
      <c r="V8" s="62">
        <v>280687.20358487358</v>
      </c>
      <c r="W8" s="62">
        <v>284624.20358487358</v>
      </c>
      <c r="X8" s="62">
        <v>304365.20358487358</v>
      </c>
      <c r="Y8" s="62">
        <v>275633.20358487358</v>
      </c>
      <c r="Z8" s="62">
        <v>237972.20358487358</v>
      </c>
      <c r="AA8" s="62">
        <v>223088.20358487358</v>
      </c>
      <c r="AB8" s="62">
        <v>220547.20358487358</v>
      </c>
      <c r="AC8" s="62">
        <v>200583.20358487358</v>
      </c>
      <c r="AD8" s="62">
        <v>202084.20358487358</v>
      </c>
      <c r="AE8" s="62">
        <v>202565.20358487358</v>
      </c>
      <c r="AF8" s="62">
        <v>214763.20358487358</v>
      </c>
      <c r="AG8" s="62">
        <v>246839.20358487358</v>
      </c>
      <c r="AH8" s="62">
        <v>256919.20358487358</v>
      </c>
      <c r="AI8" s="62">
        <v>266676.20358487358</v>
      </c>
      <c r="AJ8" s="62">
        <v>258309.20358487358</v>
      </c>
      <c r="AK8" s="62">
        <v>207149.20358487358</v>
      </c>
      <c r="AL8" s="62">
        <v>191676.20358487358</v>
      </c>
      <c r="AM8" s="62">
        <v>181906.20358487358</v>
      </c>
      <c r="AN8" s="62">
        <v>181998.20358487358</v>
      </c>
      <c r="AO8" s="62">
        <v>175602.20358487358</v>
      </c>
      <c r="AP8" s="62">
        <v>179104.20358487358</v>
      </c>
      <c r="AQ8" s="62">
        <v>197403.20358487358</v>
      </c>
      <c r="AR8" s="62">
        <v>236954.43358487359</v>
      </c>
      <c r="AS8" s="62">
        <v>265799.30358487356</v>
      </c>
      <c r="AT8" s="62">
        <v>255505.39358487353</v>
      </c>
      <c r="AU8" s="62">
        <v>263850.95358487352</v>
      </c>
      <c r="AV8" s="62">
        <v>255010.8635848735</v>
      </c>
      <c r="AW8" s="62">
        <v>231245.08358487347</v>
      </c>
      <c r="AX8" s="62">
        <v>222617.48358487349</v>
      </c>
      <c r="AY8" s="63">
        <v>217350.65</v>
      </c>
      <c r="AZ8" s="62">
        <f>AY8-AZ4+AZ17</f>
        <v>232880.99999999997</v>
      </c>
      <c r="BA8" s="62">
        <f>AZ8-BA4+BA17</f>
        <v>407835</v>
      </c>
      <c r="BB8" s="62">
        <f t="shared" ref="BB8:BI8" si="12">BA8-BB4+BB17</f>
        <v>241063.22999999998</v>
      </c>
      <c r="BC8" s="62">
        <f t="shared" si="12"/>
        <v>230517.39999999997</v>
      </c>
      <c r="BD8" s="62">
        <f t="shared" si="12"/>
        <v>290087.70999999996</v>
      </c>
      <c r="BE8" s="62">
        <f t="shared" si="12"/>
        <v>295784.05</v>
      </c>
      <c r="BF8" s="62">
        <f t="shared" si="12"/>
        <v>334834.17999999993</v>
      </c>
      <c r="BG8" s="62">
        <f t="shared" si="12"/>
        <v>365857.85999999993</v>
      </c>
      <c r="BH8" s="62">
        <f t="shared" si="12"/>
        <v>428828.88999999996</v>
      </c>
      <c r="BI8" s="62">
        <f t="shared" si="12"/>
        <v>403470.26999999996</v>
      </c>
      <c r="BJ8" s="62">
        <f>BI8-BJ4+BJ17</f>
        <v>347236.35</v>
      </c>
      <c r="BK8" s="62">
        <f>BJ8-BK4+BK17</f>
        <v>332910.86</v>
      </c>
      <c r="BL8" s="62">
        <f t="shared" ref="BL8:BV8" si="13">BK8-BL4+BL17</f>
        <v>369648.04</v>
      </c>
      <c r="BM8" s="62">
        <f t="shared" si="13"/>
        <v>387160.37</v>
      </c>
      <c r="BN8" s="62">
        <f t="shared" si="13"/>
        <v>375028.66</v>
      </c>
      <c r="BO8" s="62">
        <f t="shared" si="13"/>
        <v>926269.14</v>
      </c>
      <c r="BP8" s="62">
        <f t="shared" si="13"/>
        <v>477019.27</v>
      </c>
      <c r="BQ8" s="62">
        <f t="shared" si="13"/>
        <v>535311.84000000008</v>
      </c>
      <c r="BR8" s="62">
        <f t="shared" si="13"/>
        <v>574176.93000000005</v>
      </c>
      <c r="BS8" s="62">
        <f t="shared" si="13"/>
        <v>560645.60000000009</v>
      </c>
      <c r="BT8" s="62">
        <f t="shared" si="13"/>
        <v>596505.76</v>
      </c>
      <c r="BU8" s="62">
        <f t="shared" si="13"/>
        <v>499297.27</v>
      </c>
      <c r="BV8" s="62">
        <f t="shared" si="13"/>
        <v>447242.64</v>
      </c>
      <c r="BW8" s="62">
        <f>BV8-BW4+BW17</f>
        <v>435901.79000000004</v>
      </c>
      <c r="BX8" s="62">
        <f t="shared" ref="BX8:DI8" si="14">BW8-BX4+BX17</f>
        <v>399947.32900000003</v>
      </c>
      <c r="BY8" s="62">
        <f t="shared" si="14"/>
        <v>361493.09900000005</v>
      </c>
      <c r="BZ8" s="62">
        <f t="shared" si="14"/>
        <v>344812.98900000006</v>
      </c>
      <c r="CA8" s="62">
        <f t="shared" si="14"/>
        <v>365240.48900000006</v>
      </c>
      <c r="CB8" s="62">
        <f t="shared" si="14"/>
        <v>399042.67900000006</v>
      </c>
      <c r="CC8" s="62">
        <f t="shared" si="14"/>
        <v>462664.62900000007</v>
      </c>
      <c r="CD8" s="62">
        <f t="shared" si="14"/>
        <v>450256.62900000007</v>
      </c>
      <c r="CE8" s="62">
        <f t="shared" si="14"/>
        <v>450290.9690000001</v>
      </c>
      <c r="CF8" s="62">
        <f t="shared" si="14"/>
        <v>470363.51100000012</v>
      </c>
      <c r="CG8" s="62">
        <f t="shared" si="14"/>
        <v>424815.57100000011</v>
      </c>
      <c r="CH8" s="62">
        <f t="shared" si="14"/>
        <v>368725.84100000013</v>
      </c>
      <c r="CI8" s="62">
        <f t="shared" si="14"/>
        <v>314913.82100000011</v>
      </c>
      <c r="CJ8" s="62">
        <f t="shared" si="14"/>
        <v>300112.0610000001</v>
      </c>
      <c r="CK8" s="62">
        <f t="shared" si="14"/>
        <v>311196.16400000011</v>
      </c>
      <c r="CL8" s="62">
        <f t="shared" si="14"/>
        <v>1199735.4340000001</v>
      </c>
      <c r="CM8" s="62">
        <f t="shared" si="14"/>
        <v>1246343.4340000001</v>
      </c>
      <c r="CN8" s="62">
        <f t="shared" si="14"/>
        <v>887178.72400000016</v>
      </c>
      <c r="CO8" s="62">
        <f t="shared" si="14"/>
        <v>3835103.5528088268</v>
      </c>
      <c r="CP8" s="62">
        <f t="shared" si="14"/>
        <v>4501718.2917288262</v>
      </c>
      <c r="CQ8" s="62">
        <f t="shared" si="14"/>
        <v>5348992.5063688252</v>
      </c>
      <c r="CR8" s="62">
        <f t="shared" si="14"/>
        <v>6180198.9171288246</v>
      </c>
      <c r="CS8" s="62">
        <f t="shared" si="14"/>
        <v>5120653.9002088243</v>
      </c>
      <c r="CT8" s="62">
        <f t="shared" si="14"/>
        <v>5339813.6534488248</v>
      </c>
      <c r="CU8" s="62">
        <f t="shared" si="14"/>
        <v>4658314.7088088235</v>
      </c>
      <c r="CV8" s="62">
        <f t="shared" si="14"/>
        <v>4961085.6654888233</v>
      </c>
      <c r="CW8" s="62">
        <f t="shared" si="14"/>
        <v>5163627.6794488234</v>
      </c>
      <c r="CX8" s="62">
        <f t="shared" si="14"/>
        <v>5291466.860288823</v>
      </c>
      <c r="CY8" s="62">
        <f t="shared" si="14"/>
        <v>5627803.1116888225</v>
      </c>
      <c r="CZ8" s="62">
        <f t="shared" si="14"/>
        <v>6279004.2716888227</v>
      </c>
      <c r="DA8" s="62">
        <f t="shared" si="14"/>
        <v>6512193.7916888222</v>
      </c>
      <c r="DB8" s="62">
        <f t="shared" si="14"/>
        <v>6746923.8695788225</v>
      </c>
      <c r="DC8" s="62">
        <f t="shared" si="14"/>
        <v>7066181.2995788222</v>
      </c>
      <c r="DD8" s="62">
        <f t="shared" si="14"/>
        <v>5183660.1999388225</v>
      </c>
      <c r="DE8" s="62">
        <f t="shared" si="14"/>
        <v>5104685.5430588229</v>
      </c>
      <c r="DF8" s="62">
        <f t="shared" si="14"/>
        <v>4866560.212838822</v>
      </c>
      <c r="DG8" s="62">
        <f t="shared" si="14"/>
        <v>4195901.8031588225</v>
      </c>
      <c r="DH8" s="62">
        <f t="shared" si="14"/>
        <v>4347640.8173648221</v>
      </c>
      <c r="DI8" s="62">
        <f t="shared" si="14"/>
        <v>4321869.3945398219</v>
      </c>
      <c r="DJ8" s="62">
        <f>DI8-DJ4+DJ17</f>
        <v>4316590.5745398216</v>
      </c>
      <c r="DK8" s="62">
        <f>DJ8-DK4+DK17</f>
        <v>4357634.9345398219</v>
      </c>
      <c r="DL8" s="62">
        <f>DK8-DL4+DL17</f>
        <v>4355771.2345398217</v>
      </c>
      <c r="DM8" s="62">
        <f>DL8-DM4+DM17-2000000</f>
        <v>854961.20667398162</v>
      </c>
      <c r="DN8" s="62">
        <f>DM8-DN4+DN17</f>
        <v>939597.04667398159</v>
      </c>
      <c r="DO8" s="62">
        <f t="shared" ref="DO8:FC8" si="15">DN8-DO4+DO17</f>
        <v>939630.40911560156</v>
      </c>
      <c r="DP8" s="62">
        <f t="shared" si="15"/>
        <v>686272.04253446148</v>
      </c>
      <c r="DQ8" s="62">
        <f t="shared" si="15"/>
        <v>638219.67066765355</v>
      </c>
      <c r="DR8" s="62">
        <f t="shared" si="15"/>
        <v>584904.12729307357</v>
      </c>
      <c r="DS8" s="62">
        <f t="shared" si="15"/>
        <v>574043.39207189344</v>
      </c>
      <c r="DT8" s="98">
        <f t="shared" si="15"/>
        <v>752786.18603955337</v>
      </c>
      <c r="DU8" s="98">
        <f t="shared" si="15"/>
        <v>706860.61603955342</v>
      </c>
      <c r="DV8" s="98">
        <f>DU8-DV4+DV17</f>
        <v>711785.11421945342</v>
      </c>
      <c r="DW8" s="98">
        <f>DV8-DW4+DW17</f>
        <v>834342.19822828344</v>
      </c>
      <c r="DX8" s="98">
        <f>DW8-DX4+DX17</f>
        <v>869723.70822828345</v>
      </c>
      <c r="DY8" s="98">
        <f>DX8-DY4+DY17</f>
        <v>985336.82420344348</v>
      </c>
      <c r="DZ8" s="98">
        <f>DY8-DZ4+DZ17</f>
        <v>1088787.5989814133</v>
      </c>
      <c r="EA8" s="98">
        <f t="shared" si="15"/>
        <v>1096378.0150751327</v>
      </c>
      <c r="EB8" s="98">
        <f t="shared" si="15"/>
        <v>1074114.566515299</v>
      </c>
      <c r="EC8" s="98">
        <f t="shared" si="15"/>
        <v>951949.96137890406</v>
      </c>
      <c r="ED8" s="98">
        <f t="shared" si="15"/>
        <v>770573.18763389066</v>
      </c>
      <c r="EE8" s="62">
        <f t="shared" si="15"/>
        <v>704877.55610144557</v>
      </c>
      <c r="EF8" s="98">
        <f t="shared" si="15"/>
        <v>656045.09507252602</v>
      </c>
      <c r="EG8" s="98">
        <f t="shared" si="15"/>
        <v>606168.42018398119</v>
      </c>
      <c r="EH8" s="98">
        <f t="shared" si="15"/>
        <v>569403.47348560742</v>
      </c>
      <c r="EI8" s="98">
        <f t="shared" si="15"/>
        <v>631992.40502871701</v>
      </c>
      <c r="EJ8" s="98">
        <f t="shared" si="15"/>
        <v>690677.20901237475</v>
      </c>
      <c r="EK8" s="98">
        <f t="shared" si="15"/>
        <v>764362.31244130165</v>
      </c>
      <c r="EL8" s="98">
        <f t="shared" si="15"/>
        <v>827305.57429241971</v>
      </c>
      <c r="EM8" s="98">
        <f t="shared" si="15"/>
        <v>806636.31460945972</v>
      </c>
      <c r="EN8" s="98">
        <f t="shared" si="15"/>
        <v>821668.10481417063</v>
      </c>
      <c r="EO8" s="98">
        <f t="shared" si="15"/>
        <v>752824.69828350155</v>
      </c>
      <c r="EP8" s="98">
        <f t="shared" si="15"/>
        <v>666142.988604379</v>
      </c>
      <c r="EQ8" s="62">
        <f t="shared" si="15"/>
        <v>639209.62331551698</v>
      </c>
      <c r="ER8" s="98">
        <f t="shared" si="15"/>
        <v>645055.70879701618</v>
      </c>
      <c r="ES8" s="98">
        <f t="shared" si="15"/>
        <v>607282.14723307476</v>
      </c>
      <c r="ET8" s="98">
        <f t="shared" si="15"/>
        <v>568816.41425808868</v>
      </c>
      <c r="EU8" s="98">
        <f t="shared" si="15"/>
        <v>619090.12352644303</v>
      </c>
      <c r="EV8" s="98">
        <f t="shared" si="15"/>
        <v>679650.84283698932</v>
      </c>
      <c r="EW8" s="98">
        <f t="shared" si="15"/>
        <v>751778.00616823137</v>
      </c>
      <c r="EX8" s="98">
        <f t="shared" si="15"/>
        <v>810762.65276111709</v>
      </c>
      <c r="EY8" s="98">
        <f t="shared" si="15"/>
        <v>786029.8756217052</v>
      </c>
      <c r="EZ8" s="98">
        <f t="shared" si="15"/>
        <v>804177.9881411125</v>
      </c>
      <c r="FA8" s="98">
        <f t="shared" si="15"/>
        <v>729909.60842646356</v>
      </c>
      <c r="FB8" s="98">
        <f t="shared" si="15"/>
        <v>649439.37249318173</v>
      </c>
      <c r="FC8" s="62">
        <f t="shared" si="15"/>
        <v>620608.04940701963</v>
      </c>
    </row>
    <row r="9" spans="1:159" ht="15.6" x14ac:dyDescent="0.25">
      <c r="A9" s="60">
        <f t="shared" si="5"/>
        <v>6</v>
      </c>
      <c r="B9" s="2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26"/>
      <c r="BT9" s="26"/>
      <c r="BU9" s="26"/>
      <c r="BV9" s="26"/>
      <c r="BW9" s="26"/>
      <c r="CO9" s="26"/>
      <c r="CP9" s="26"/>
      <c r="CQ9" s="26"/>
      <c r="CR9" s="26"/>
      <c r="CS9" s="26"/>
      <c r="CT9" s="26"/>
      <c r="CU9" s="26"/>
      <c r="DT9"/>
      <c r="DU9"/>
      <c r="DV9"/>
      <c r="DW9"/>
      <c r="DX9"/>
      <c r="DY9"/>
      <c r="DZ9"/>
      <c r="EA9"/>
      <c r="EB9"/>
      <c r="EC9"/>
      <c r="ED9"/>
      <c r="EF9"/>
      <c r="EG9"/>
      <c r="EH9"/>
      <c r="EI9"/>
      <c r="EJ9"/>
      <c r="EK9"/>
      <c r="EL9"/>
      <c r="EM9"/>
      <c r="EN9"/>
      <c r="EO9"/>
      <c r="EP9"/>
      <c r="ER9"/>
      <c r="ES9"/>
      <c r="ET9"/>
      <c r="EU9"/>
      <c r="EV9"/>
      <c r="EW9"/>
      <c r="EX9"/>
      <c r="EY9"/>
      <c r="EZ9"/>
      <c r="FA9"/>
      <c r="FB9"/>
    </row>
    <row r="10" spans="1:159" ht="15.6" x14ac:dyDescent="0.25">
      <c r="A10" s="60">
        <f t="shared" si="5"/>
        <v>7</v>
      </c>
      <c r="B10" s="25" t="s">
        <v>50</v>
      </c>
      <c r="C10" s="64">
        <v>2373676</v>
      </c>
      <c r="D10" s="64">
        <v>2321108</v>
      </c>
      <c r="E10" s="64">
        <v>2414422</v>
      </c>
      <c r="F10" s="64">
        <v>2431075</v>
      </c>
      <c r="G10" s="64">
        <v>2338538</v>
      </c>
      <c r="H10" s="64">
        <v>2273524</v>
      </c>
      <c r="I10" s="64">
        <v>2253717</v>
      </c>
      <c r="J10" s="64">
        <v>2179383</v>
      </c>
      <c r="K10" s="64">
        <v>2210706</v>
      </c>
      <c r="L10" s="64">
        <v>2176882</v>
      </c>
      <c r="M10" s="64">
        <v>2071139</v>
      </c>
      <c r="N10" s="64">
        <v>2009326</v>
      </c>
      <c r="O10" s="64">
        <v>1976996</v>
      </c>
      <c r="P10" s="64">
        <v>1938880</v>
      </c>
      <c r="Q10" s="64">
        <v>1952866</v>
      </c>
      <c r="R10" s="64">
        <v>1904028</v>
      </c>
      <c r="S10" s="64">
        <v>2022691</v>
      </c>
      <c r="T10" s="64">
        <v>2177331</v>
      </c>
      <c r="U10" s="64">
        <v>2223315</v>
      </c>
      <c r="V10" s="64">
        <v>2244913</v>
      </c>
      <c r="W10" s="64">
        <v>2260616</v>
      </c>
      <c r="X10" s="64">
        <v>2344331</v>
      </c>
      <c r="Y10" s="64">
        <v>2377375</v>
      </c>
      <c r="Z10" s="64">
        <v>2331200</v>
      </c>
      <c r="AA10" s="64">
        <v>2377055</v>
      </c>
      <c r="AB10" s="64">
        <v>2343425</v>
      </c>
      <c r="AC10" s="64">
        <v>2318285</v>
      </c>
      <c r="AD10" s="64">
        <v>2320055</v>
      </c>
      <c r="AE10" s="64">
        <v>2232900</v>
      </c>
      <c r="AF10" s="64">
        <v>2079050</v>
      </c>
      <c r="AG10" s="64">
        <v>2080584</v>
      </c>
      <c r="AH10" s="64">
        <v>2134878</v>
      </c>
      <c r="AI10" s="64">
        <v>2104606</v>
      </c>
      <c r="AJ10" s="64">
        <v>2052763</v>
      </c>
      <c r="AK10" s="64">
        <v>1926942</v>
      </c>
      <c r="AL10" s="64">
        <v>1923382</v>
      </c>
      <c r="AM10" s="64">
        <v>1895664</v>
      </c>
      <c r="AN10" s="64">
        <v>1832400</v>
      </c>
      <c r="AO10" s="64">
        <v>1878669</v>
      </c>
      <c r="AP10" s="64">
        <v>1928039</v>
      </c>
      <c r="AQ10" s="64">
        <v>1960074</v>
      </c>
      <c r="AR10" s="64">
        <v>1947742</v>
      </c>
      <c r="AS10" s="64">
        <v>2159199</v>
      </c>
      <c r="AT10" s="64">
        <v>2141452</v>
      </c>
      <c r="AU10" s="64">
        <v>2073345</v>
      </c>
      <c r="AV10" s="64">
        <v>2081663</v>
      </c>
      <c r="AW10" s="64">
        <v>2279161</v>
      </c>
      <c r="AX10" s="64">
        <v>2309971</v>
      </c>
      <c r="AY10" s="64">
        <v>2235567</v>
      </c>
      <c r="AZ10" s="64">
        <f t="shared" ref="AZ10:BV10" si="16">SUM(AO4:AZ4)</f>
        <v>2346652</v>
      </c>
      <c r="BA10" s="64">
        <f>SUM(AP4:BA4)</f>
        <v>2348653</v>
      </c>
      <c r="BB10" s="64">
        <f t="shared" si="16"/>
        <v>2682041.5</v>
      </c>
      <c r="BC10" s="64">
        <f t="shared" si="16"/>
        <v>2463261.64</v>
      </c>
      <c r="BD10" s="64">
        <f t="shared" si="16"/>
        <v>2679534.67</v>
      </c>
      <c r="BE10" s="64">
        <f t="shared" si="16"/>
        <v>2575965.4500000002</v>
      </c>
      <c r="BF10" s="64">
        <f t="shared" si="16"/>
        <v>2687792.7800000003</v>
      </c>
      <c r="BG10" s="64">
        <f t="shared" si="16"/>
        <v>2989453.1300000004</v>
      </c>
      <c r="BH10" s="64">
        <f t="shared" si="16"/>
        <v>3272692.4800000004</v>
      </c>
      <c r="BI10" s="64">
        <f t="shared" si="16"/>
        <v>3431446.1800000006</v>
      </c>
      <c r="BJ10" s="64">
        <f t="shared" si="16"/>
        <v>3468528.6100000008</v>
      </c>
      <c r="BK10" s="88">
        <f t="shared" si="16"/>
        <v>3455413.5599999996</v>
      </c>
      <c r="BL10" s="65">
        <f t="shared" si="16"/>
        <v>3668933.8699999996</v>
      </c>
      <c r="BM10" s="65">
        <f t="shared" si="16"/>
        <v>4073258.6599999997</v>
      </c>
      <c r="BN10" s="65">
        <f t="shared" si="16"/>
        <v>4001156.8699999996</v>
      </c>
      <c r="BO10" s="65">
        <f t="shared" si="16"/>
        <v>4520874.25</v>
      </c>
      <c r="BP10" s="65">
        <f t="shared" si="16"/>
        <v>4696662.09</v>
      </c>
      <c r="BQ10" s="65">
        <f t="shared" si="16"/>
        <v>4667272.7399999993</v>
      </c>
      <c r="BR10" s="65">
        <f t="shared" si="16"/>
        <v>4684004.0499999989</v>
      </c>
      <c r="BS10" s="65">
        <f t="shared" si="16"/>
        <v>4556721.03</v>
      </c>
      <c r="BT10" s="65">
        <f t="shared" si="16"/>
        <v>4327532.5200000005</v>
      </c>
      <c r="BU10" s="65">
        <f t="shared" si="16"/>
        <v>4140986.3100000005</v>
      </c>
      <c r="BV10" s="65">
        <f t="shared" si="16"/>
        <v>4216272.51</v>
      </c>
      <c r="BW10" s="89">
        <f>SUM(BL4:BW4)</f>
        <v>4346228.4099999992</v>
      </c>
      <c r="BX10" s="65">
        <f t="shared" ref="BX10:DI10" si="17">SUM(BM4:BX4)</f>
        <v>4206103.5609999998</v>
      </c>
      <c r="BY10" s="65">
        <f t="shared" si="17"/>
        <v>4004165.0010000002</v>
      </c>
      <c r="BZ10" s="65">
        <f t="shared" si="17"/>
        <v>3904950.4010000001</v>
      </c>
      <c r="CA10" s="65">
        <f t="shared" si="17"/>
        <v>3769242.3810000001</v>
      </c>
      <c r="CB10" s="65">
        <f t="shared" si="17"/>
        <v>3521163.321</v>
      </c>
      <c r="CC10" s="65">
        <f t="shared" si="17"/>
        <v>3589098.9410000001</v>
      </c>
      <c r="CD10" s="65">
        <f t="shared" si="17"/>
        <v>3532145.301</v>
      </c>
      <c r="CE10" s="65">
        <f t="shared" si="17"/>
        <v>3529077.9109999998</v>
      </c>
      <c r="CF10" s="65">
        <f t="shared" si="17"/>
        <v>3570219.5289999996</v>
      </c>
      <c r="CG10" s="65">
        <f t="shared" si="17"/>
        <v>3563000.9789999998</v>
      </c>
      <c r="CH10" s="65">
        <f t="shared" si="17"/>
        <v>3400523.0790000004</v>
      </c>
      <c r="CI10" s="89">
        <f t="shared" si="17"/>
        <v>3363126.2489999998</v>
      </c>
      <c r="CJ10" s="65">
        <f t="shared" si="17"/>
        <v>3295238.5479999995</v>
      </c>
      <c r="CK10" s="65">
        <f t="shared" si="17"/>
        <v>3248045.2149999999</v>
      </c>
      <c r="CL10" s="65">
        <f t="shared" si="17"/>
        <v>2987387.8349999995</v>
      </c>
      <c r="CM10" s="65">
        <f t="shared" si="17"/>
        <v>2568696.3349999995</v>
      </c>
      <c r="CN10" s="65">
        <f t="shared" si="17"/>
        <v>2539319.2349999999</v>
      </c>
      <c r="CO10" s="65">
        <f t="shared" si="17"/>
        <v>2181744.1850000001</v>
      </c>
      <c r="CP10" s="65">
        <f t="shared" si="17"/>
        <v>1821457.675</v>
      </c>
      <c r="CQ10" s="65">
        <f t="shared" si="17"/>
        <v>1360262.5150000001</v>
      </c>
      <c r="CR10" s="65">
        <f t="shared" si="17"/>
        <v>1180921.1270000001</v>
      </c>
      <c r="CS10" s="65">
        <f t="shared" si="17"/>
        <v>2460428.9870000002</v>
      </c>
      <c r="CT10" s="65">
        <f t="shared" si="17"/>
        <v>2535893.767</v>
      </c>
      <c r="CU10" s="89">
        <f t="shared" si="17"/>
        <v>3330418.4270000001</v>
      </c>
      <c r="CV10" s="65">
        <f t="shared" si="17"/>
        <v>3399532.8369999998</v>
      </c>
      <c r="CW10" s="65">
        <f t="shared" si="17"/>
        <v>3576241.34</v>
      </c>
      <c r="CX10" s="65">
        <f t="shared" si="17"/>
        <v>4098787.01</v>
      </c>
      <c r="CY10" s="65">
        <f t="shared" si="17"/>
        <v>4564834.6399999997</v>
      </c>
      <c r="CZ10" s="65">
        <f t="shared" si="17"/>
        <v>4505512.1277999999</v>
      </c>
      <c r="DA10" s="65">
        <f t="shared" si="17"/>
        <v>5016794.65943</v>
      </c>
      <c r="DB10" s="65">
        <f t="shared" si="17"/>
        <v>5539056.4394300003</v>
      </c>
      <c r="DC10" s="65">
        <f t="shared" si="17"/>
        <v>5819105.480010001</v>
      </c>
      <c r="DD10" s="65">
        <f t="shared" si="17"/>
        <v>7971930.8600100009</v>
      </c>
      <c r="DE10" s="65">
        <f t="shared" si="17"/>
        <v>6731750.9800099991</v>
      </c>
      <c r="DF10" s="65">
        <f t="shared" si="17"/>
        <v>6910109.1200099997</v>
      </c>
      <c r="DG10" s="89">
        <f t="shared" si="17"/>
        <v>6326164.4100099998</v>
      </c>
      <c r="DH10" s="65">
        <f t="shared" si="17"/>
        <v>6166604.3600099999</v>
      </c>
      <c r="DI10" s="65">
        <f t="shared" si="17"/>
        <v>6130731.9600100005</v>
      </c>
      <c r="DJ10" s="65">
        <f>SUM(CY4:DJ4)</f>
        <v>6002718.5190970004</v>
      </c>
      <c r="DK10" s="65">
        <f>SUM(CZ4:DK4)</f>
        <v>6022344.0314170001</v>
      </c>
      <c r="DL10" s="65">
        <f>SUM(DA4:DL4)</f>
        <v>6371890.7480649995</v>
      </c>
      <c r="DM10" s="65">
        <f>SUM(DB4:DM4)</f>
        <v>6316397.2164349994</v>
      </c>
      <c r="DN10" s="65">
        <f>SUM(DC4:DN4)</f>
        <v>6364758.2464349996</v>
      </c>
      <c r="DO10" s="65">
        <f t="shared" ref="DO10:EE10" si="18">SUM(DD4:DO4)</f>
        <v>6770912.9758549994</v>
      </c>
      <c r="DP10" s="65">
        <f t="shared" si="18"/>
        <v>5130777.6358550005</v>
      </c>
      <c r="DQ10" s="65">
        <f t="shared" si="18"/>
        <v>5457869.2638549991</v>
      </c>
      <c r="DR10" s="65">
        <f t="shared" si="18"/>
        <v>5677802.9638549984</v>
      </c>
      <c r="DS10" s="89">
        <f t="shared" si="18"/>
        <v>5707809.6638549995</v>
      </c>
      <c r="DT10" s="99">
        <f t="shared" si="18"/>
        <v>6211463.6038549989</v>
      </c>
      <c r="DU10" s="99">
        <f t="shared" si="18"/>
        <v>6458973.6238549985</v>
      </c>
      <c r="DV10" s="99">
        <f t="shared" si="18"/>
        <v>6534277.3847679989</v>
      </c>
      <c r="DW10" s="99">
        <f t="shared" si="18"/>
        <v>6541226.5824479992</v>
      </c>
      <c r="DX10" s="99">
        <f t="shared" si="18"/>
        <v>6694812.1579999989</v>
      </c>
      <c r="DY10" s="99">
        <f t="shared" si="18"/>
        <v>6831586.0479999986</v>
      </c>
      <c r="DZ10" s="99">
        <f t="shared" si="18"/>
        <v>6903788.0379999997</v>
      </c>
      <c r="EA10" s="99">
        <f t="shared" si="18"/>
        <v>6961169.487999999</v>
      </c>
      <c r="EB10" s="99">
        <f t="shared" si="18"/>
        <v>6848294.3779999996</v>
      </c>
      <c r="EC10" s="99">
        <f t="shared" si="18"/>
        <v>6700781.8300000001</v>
      </c>
      <c r="ED10" s="99">
        <f t="shared" si="18"/>
        <v>6554307.4800000004</v>
      </c>
      <c r="EE10" s="89">
        <f t="shared" si="18"/>
        <v>6538247.8100000005</v>
      </c>
      <c r="EF10" s="99">
        <f t="shared" ref="EF10:EQ10" si="19">SUM(DU4:EF4)</f>
        <v>6490052.75</v>
      </c>
      <c r="EG10" s="99">
        <f t="shared" si="19"/>
        <v>6440691.7300000004</v>
      </c>
      <c r="EH10" s="99">
        <f t="shared" si="19"/>
        <v>6539674.0099999998</v>
      </c>
      <c r="EI10" s="99">
        <f t="shared" si="19"/>
        <v>6697261.6699999999</v>
      </c>
      <c r="EJ10" s="99">
        <f t="shared" si="19"/>
        <v>6595009.1799999997</v>
      </c>
      <c r="EK10" s="99">
        <f t="shared" si="19"/>
        <v>6584487.29</v>
      </c>
      <c r="EL10" s="99">
        <f t="shared" si="19"/>
        <v>6549258</v>
      </c>
      <c r="EM10" s="99">
        <f t="shared" si="19"/>
        <v>6478378</v>
      </c>
      <c r="EN10" s="99">
        <f t="shared" si="19"/>
        <v>6430584</v>
      </c>
      <c r="EO10" s="99">
        <f t="shared" si="19"/>
        <v>6327543</v>
      </c>
      <c r="EP10" s="99">
        <f t="shared" si="19"/>
        <v>6231539</v>
      </c>
      <c r="EQ10" s="89">
        <f t="shared" si="19"/>
        <v>6147851</v>
      </c>
      <c r="ER10" s="99">
        <f t="shared" ref="ER10:FC10" si="20">SUM(EG4:ER4)</f>
        <v>6053544</v>
      </c>
      <c r="ES10" s="99">
        <f t="shared" si="20"/>
        <v>5971975</v>
      </c>
      <c r="ET10" s="99">
        <f t="shared" si="20"/>
        <v>5916979</v>
      </c>
      <c r="EU10" s="99">
        <f t="shared" si="20"/>
        <v>5907195</v>
      </c>
      <c r="EV10" s="99">
        <f t="shared" si="20"/>
        <v>5897606</v>
      </c>
      <c r="EW10" s="99">
        <f t="shared" si="20"/>
        <v>5888160</v>
      </c>
      <c r="EX10" s="99">
        <f t="shared" si="20"/>
        <v>5878036</v>
      </c>
      <c r="EY10" s="99">
        <f t="shared" si="20"/>
        <v>5866667</v>
      </c>
      <c r="EZ10" s="99">
        <f t="shared" si="20"/>
        <v>5854312</v>
      </c>
      <c r="FA10" s="99">
        <f t="shared" si="20"/>
        <v>5841338</v>
      </c>
      <c r="FB10" s="99">
        <f t="shared" si="20"/>
        <v>5828319</v>
      </c>
      <c r="FC10" s="89">
        <f t="shared" si="20"/>
        <v>5815382</v>
      </c>
    </row>
    <row r="11" spans="1:159" ht="15.6" x14ac:dyDescent="0.25">
      <c r="A11" s="60">
        <f t="shared" si="5"/>
        <v>8</v>
      </c>
      <c r="B11" s="25" t="s">
        <v>51</v>
      </c>
      <c r="C11" s="64">
        <v>1945104863</v>
      </c>
      <c r="D11" s="64">
        <v>1950850811</v>
      </c>
      <c r="E11" s="64">
        <v>1956882889</v>
      </c>
      <c r="F11" s="64">
        <v>1953710099</v>
      </c>
      <c r="G11" s="64">
        <v>1947045511</v>
      </c>
      <c r="H11" s="64">
        <v>1940099535</v>
      </c>
      <c r="I11" s="64">
        <v>1935530940</v>
      </c>
      <c r="J11" s="64">
        <v>1920393579</v>
      </c>
      <c r="K11" s="64">
        <v>1909027624</v>
      </c>
      <c r="L11" s="64">
        <v>1898536922</v>
      </c>
      <c r="M11" s="64">
        <v>1889140977</v>
      </c>
      <c r="N11" s="64">
        <v>1881610815.28</v>
      </c>
      <c r="O11" s="64">
        <v>1876203396.27</v>
      </c>
      <c r="P11" s="64">
        <v>1875186393.0699999</v>
      </c>
      <c r="Q11" s="64">
        <v>1884288436.6499999</v>
      </c>
      <c r="R11" s="64">
        <v>1893533258.55</v>
      </c>
      <c r="S11" s="64">
        <v>1903055484.75</v>
      </c>
      <c r="T11" s="64">
        <v>1920057980.75</v>
      </c>
      <c r="U11" s="64">
        <v>1922988846.75</v>
      </c>
      <c r="V11" s="64">
        <v>1920558600.75</v>
      </c>
      <c r="W11" s="64">
        <v>1931993858.75</v>
      </c>
      <c r="X11" s="64">
        <v>1947101746.75</v>
      </c>
      <c r="Y11" s="64">
        <v>1966877222.75</v>
      </c>
      <c r="Z11" s="64">
        <v>1976963634.47</v>
      </c>
      <c r="AA11" s="64">
        <v>1985026817.48</v>
      </c>
      <c r="AB11" s="64">
        <v>1986454625.6800001</v>
      </c>
      <c r="AC11" s="64">
        <v>1980794601.0999999</v>
      </c>
      <c r="AD11" s="64">
        <v>1982602845.2</v>
      </c>
      <c r="AE11" s="64">
        <v>1978431782</v>
      </c>
      <c r="AF11" s="64">
        <v>1969977991</v>
      </c>
      <c r="AG11" s="64">
        <v>1975559622</v>
      </c>
      <c r="AH11" s="64">
        <v>1994232340</v>
      </c>
      <c r="AI11" s="64">
        <v>2002055249</v>
      </c>
      <c r="AJ11" s="64">
        <v>2002153892</v>
      </c>
      <c r="AK11" s="64">
        <v>1999662070</v>
      </c>
      <c r="AL11" s="64">
        <v>1990196534</v>
      </c>
      <c r="AM11" s="64">
        <v>1984795162</v>
      </c>
      <c r="AN11" s="64">
        <v>1989992875</v>
      </c>
      <c r="AO11" s="64">
        <v>2006494348</v>
      </c>
      <c r="AP11" s="64">
        <v>2011858754</v>
      </c>
      <c r="AQ11" s="64">
        <v>2019122985</v>
      </c>
      <c r="AR11" s="64">
        <v>2022034261</v>
      </c>
      <c r="AS11" s="64">
        <v>2015016769</v>
      </c>
      <c r="AT11" s="64">
        <v>2003155150</v>
      </c>
      <c r="AU11" s="64">
        <v>1991483489</v>
      </c>
      <c r="AV11" s="64">
        <v>1989393911</v>
      </c>
      <c r="AW11" s="64">
        <v>1994283086.0899999</v>
      </c>
      <c r="AX11" s="64">
        <v>2006842420.24</v>
      </c>
      <c r="AY11" s="64">
        <v>2013050845.98</v>
      </c>
      <c r="AZ11" s="64">
        <f t="shared" ref="AZ11:BV11" si="21">SUM(AL6:AW6)</f>
        <v>2012991831.8699999</v>
      </c>
      <c r="BA11" s="64">
        <f>SUM(AM6:AX6)</f>
        <v>1997719699.1799998</v>
      </c>
      <c r="BB11" s="64">
        <f t="shared" si="21"/>
        <v>1989793197.4899998</v>
      </c>
      <c r="BC11" s="64">
        <f t="shared" si="21"/>
        <v>1977940906.1999998</v>
      </c>
      <c r="BD11" s="64">
        <f t="shared" si="21"/>
        <v>1967279382.4999998</v>
      </c>
      <c r="BE11" s="64">
        <f t="shared" si="21"/>
        <v>1964677286.5399997</v>
      </c>
      <c r="BF11" s="64">
        <f t="shared" si="21"/>
        <v>1963598724.8499997</v>
      </c>
      <c r="BG11" s="64">
        <f t="shared" si="21"/>
        <v>1973997239.3299999</v>
      </c>
      <c r="BH11" s="64">
        <f t="shared" si="21"/>
        <v>1965109920.0999999</v>
      </c>
      <c r="BI11" s="64">
        <f t="shared" si="21"/>
        <v>1948006516.3299997</v>
      </c>
      <c r="BJ11" s="64">
        <f t="shared" si="21"/>
        <v>1942206356.9199998</v>
      </c>
      <c r="BK11" s="90">
        <f t="shared" si="21"/>
        <v>1937834302.04</v>
      </c>
      <c r="BL11" s="65">
        <f t="shared" si="21"/>
        <v>1938491661.1100001</v>
      </c>
      <c r="BM11" s="65">
        <f t="shared" si="21"/>
        <v>1939046035.6500001</v>
      </c>
      <c r="BN11" s="65">
        <f t="shared" si="21"/>
        <v>1932801646.9900002</v>
      </c>
      <c r="BO11" s="65">
        <f t="shared" si="21"/>
        <v>1949222590.9100003</v>
      </c>
      <c r="BP11" s="65">
        <f t="shared" si="21"/>
        <v>1962921374.2200003</v>
      </c>
      <c r="BQ11" s="65">
        <f t="shared" si="21"/>
        <v>1973215945.5199997</v>
      </c>
      <c r="BR11" s="65">
        <f t="shared" si="21"/>
        <v>1973238840.0399997</v>
      </c>
      <c r="BS11" s="65">
        <f t="shared" si="21"/>
        <v>1958234803.8400002</v>
      </c>
      <c r="BT11" s="65">
        <f t="shared" si="21"/>
        <v>1957086246.4200001</v>
      </c>
      <c r="BU11" s="65">
        <f t="shared" si="21"/>
        <v>1969178936.9399998</v>
      </c>
      <c r="BV11" s="65">
        <f t="shared" si="21"/>
        <v>1969967101.6499999</v>
      </c>
      <c r="BW11" s="91">
        <f>SUM(BI6:BT6)</f>
        <v>1983847085.45</v>
      </c>
      <c r="BX11" s="65">
        <f t="shared" ref="BX11:DI11" si="22">SUM(BJ6:BU6)</f>
        <v>1997140611.8399999</v>
      </c>
      <c r="BY11" s="65">
        <f t="shared" si="22"/>
        <v>2013896104.0599999</v>
      </c>
      <c r="BZ11" s="65">
        <f t="shared" si="22"/>
        <v>2024047829.22</v>
      </c>
      <c r="CA11" s="65">
        <f t="shared" si="22"/>
        <v>2001863078.0599999</v>
      </c>
      <c r="CB11" s="65">
        <f t="shared" si="22"/>
        <v>1993589386.48</v>
      </c>
      <c r="CC11" s="65">
        <f t="shared" si="22"/>
        <v>1985417805.8999999</v>
      </c>
      <c r="CD11" s="65">
        <f t="shared" si="22"/>
        <v>1980200392.3899999</v>
      </c>
      <c r="CE11" s="65">
        <f t="shared" si="22"/>
        <v>1992212343.4199998</v>
      </c>
      <c r="CF11" s="65">
        <f t="shared" si="22"/>
        <v>2005789095.9299998</v>
      </c>
      <c r="CG11" s="65">
        <f t="shared" si="22"/>
        <v>2005260481.0899997</v>
      </c>
      <c r="CH11" s="65">
        <f t="shared" si="22"/>
        <v>2000809710.3199999</v>
      </c>
      <c r="CI11" s="91">
        <f t="shared" si="22"/>
        <v>1993465956.1600001</v>
      </c>
      <c r="CJ11" s="65">
        <f t="shared" si="22"/>
        <v>1983856634.4700003</v>
      </c>
      <c r="CK11" s="65">
        <f t="shared" si="22"/>
        <v>1983659337.5100002</v>
      </c>
      <c r="CL11" s="65">
        <f t="shared" si="22"/>
        <v>1975646395.3000002</v>
      </c>
      <c r="CM11" s="65">
        <f t="shared" si="22"/>
        <v>1982102383.04</v>
      </c>
      <c r="CN11" s="65">
        <f t="shared" si="22"/>
        <v>1979706900.6500001</v>
      </c>
      <c r="CO11" s="65">
        <f t="shared" si="22"/>
        <v>1980310254.52</v>
      </c>
      <c r="CP11" s="65">
        <f t="shared" si="22"/>
        <v>1994548255.2500002</v>
      </c>
      <c r="CQ11" s="65">
        <f t="shared" si="22"/>
        <v>1983541636.9099998</v>
      </c>
      <c r="CR11" s="65">
        <f t="shared" si="22"/>
        <v>1936180655.9300003</v>
      </c>
      <c r="CS11" s="65">
        <f t="shared" si="22"/>
        <v>1903004063.2800002</v>
      </c>
      <c r="CT11" s="65">
        <f t="shared" si="22"/>
        <v>1879286597.53</v>
      </c>
      <c r="CU11" s="91">
        <f t="shared" si="22"/>
        <v>1861708780.6500006</v>
      </c>
      <c r="CV11" s="65">
        <f t="shared" si="22"/>
        <v>1850424590.7900002</v>
      </c>
      <c r="CW11" s="65">
        <f t="shared" si="22"/>
        <v>1843835094.3700001</v>
      </c>
      <c r="CX11" s="65">
        <f t="shared" si="22"/>
        <v>1844182618.8400002</v>
      </c>
      <c r="CY11" s="65">
        <f t="shared" si="22"/>
        <v>1857656883.9899998</v>
      </c>
      <c r="CZ11" s="65">
        <f t="shared" si="22"/>
        <v>1866335962.0699999</v>
      </c>
      <c r="DA11" s="65">
        <f t="shared" si="22"/>
        <v>1871356658.4499998</v>
      </c>
      <c r="DB11" s="65">
        <f t="shared" si="22"/>
        <v>1870533721.6600001</v>
      </c>
      <c r="DC11" s="65">
        <f t="shared" si="22"/>
        <v>1885406904.2299998</v>
      </c>
      <c r="DD11" s="65">
        <f t="shared" si="22"/>
        <v>1934977465.1200001</v>
      </c>
      <c r="DE11" s="65">
        <f t="shared" si="22"/>
        <v>1968378427.23</v>
      </c>
      <c r="DF11" s="65">
        <f t="shared" si="22"/>
        <v>2007588712.5900002</v>
      </c>
      <c r="DG11" s="91">
        <f t="shared" si="22"/>
        <v>2058930917.53</v>
      </c>
      <c r="DH11" s="65">
        <f t="shared" si="22"/>
        <v>2100022091.24</v>
      </c>
      <c r="DI11" s="65">
        <f t="shared" si="22"/>
        <v>2120284508.4400001</v>
      </c>
      <c r="DJ11" s="65">
        <f>SUM(CV6:DG6)</f>
        <v>2146307638.53</v>
      </c>
      <c r="DK11" s="65">
        <f>SUM(CW6:DH6)</f>
        <v>2157012822.7599998</v>
      </c>
      <c r="DL11" s="65">
        <f>SUM(CX6:DI6)</f>
        <v>2177257181.0999999</v>
      </c>
      <c r="DM11" s="65">
        <f>SUM(CY6:DJ6)</f>
        <v>2198317966.8199997</v>
      </c>
      <c r="DN11" s="65">
        <f>SUM(CZ6:DK6)</f>
        <v>2229832634.4899998</v>
      </c>
      <c r="DO11" s="65">
        <f t="shared" ref="DO11:EE11" si="23">SUM(DA6:DL6)</f>
        <v>2267478930.2600002</v>
      </c>
      <c r="DP11" s="65">
        <f t="shared" si="23"/>
        <v>2308962490.0999999</v>
      </c>
      <c r="DQ11" s="65">
        <f t="shared" si="23"/>
        <v>2361179111.7599998</v>
      </c>
      <c r="DR11" s="65">
        <f t="shared" si="23"/>
        <v>2407383267.2999997</v>
      </c>
      <c r="DS11" s="91">
        <f t="shared" si="23"/>
        <v>2424891901.6099997</v>
      </c>
      <c r="DT11" s="99">
        <f t="shared" si="23"/>
        <v>2423908327.8589993</v>
      </c>
      <c r="DU11" s="99">
        <f t="shared" si="23"/>
        <v>2433451402.5889993</v>
      </c>
      <c r="DV11" s="99">
        <f t="shared" si="23"/>
        <v>2458114894.099</v>
      </c>
      <c r="DW11" s="99">
        <f t="shared" si="23"/>
        <v>2503386443.6889997</v>
      </c>
      <c r="DX11" s="99">
        <f t="shared" si="23"/>
        <v>2530530964.289</v>
      </c>
      <c r="DY11" s="99">
        <f t="shared" si="23"/>
        <v>2566263338.0089998</v>
      </c>
      <c r="DZ11" s="99">
        <f t="shared" si="23"/>
        <v>2614291034.1690001</v>
      </c>
      <c r="EA11" s="99">
        <f t="shared" si="23"/>
        <v>2653101271.8390002</v>
      </c>
      <c r="EB11" s="99">
        <f t="shared" si="23"/>
        <v>2687550234.0490003</v>
      </c>
      <c r="EC11" s="99">
        <f t="shared" si="23"/>
        <v>2746324888.7590003</v>
      </c>
      <c r="ED11" s="99">
        <f t="shared" si="23"/>
        <v>2797897847.0272031</v>
      </c>
      <c r="EE11" s="91">
        <f t="shared" si="23"/>
        <v>2846820893.1054063</v>
      </c>
      <c r="EF11" s="99">
        <f t="shared" ref="EF11:EQ11" si="24">SUM(DR6:EC6)</f>
        <v>2914512107.0146093</v>
      </c>
      <c r="EG11" s="99">
        <f t="shared" si="24"/>
        <v>2964664675.2028127</v>
      </c>
      <c r="EH11" s="99">
        <f t="shared" si="24"/>
        <v>2991664111.5610156</v>
      </c>
      <c r="EI11" s="99">
        <f t="shared" si="24"/>
        <v>2981830120.7699318</v>
      </c>
      <c r="EJ11" s="99">
        <f t="shared" si="24"/>
        <v>2980362698.9908485</v>
      </c>
      <c r="EK11" s="99">
        <f t="shared" si="24"/>
        <v>2966664594.646265</v>
      </c>
      <c r="EL11" s="99">
        <f t="shared" si="24"/>
        <v>2927529393.8639321</v>
      </c>
      <c r="EM11" s="99">
        <f t="shared" si="24"/>
        <v>2895846237.0228491</v>
      </c>
      <c r="EN11" s="99">
        <f t="shared" si="24"/>
        <v>2874482342.971015</v>
      </c>
      <c r="EO11" s="99">
        <f t="shared" si="24"/>
        <v>2828422873.5441823</v>
      </c>
      <c r="EP11" s="99">
        <f t="shared" si="24"/>
        <v>2785509163.8851461</v>
      </c>
      <c r="EQ11" s="91">
        <f t="shared" si="24"/>
        <v>2748100367.8411098</v>
      </c>
      <c r="ER11" s="99">
        <f t="shared" ref="ER11:FC11" si="25">SUM(ED6:EO6)</f>
        <v>2705944660.1370735</v>
      </c>
      <c r="ES11" s="99">
        <f t="shared" si="25"/>
        <v>2669482996.5380363</v>
      </c>
      <c r="ET11" s="99">
        <f t="shared" si="25"/>
        <v>2644899860.9040003</v>
      </c>
      <c r="EU11" s="99">
        <f t="shared" si="25"/>
        <v>2640526155.1915002</v>
      </c>
      <c r="EV11" s="99">
        <f t="shared" si="25"/>
        <v>2636239858.9290004</v>
      </c>
      <c r="EW11" s="99">
        <f t="shared" si="25"/>
        <v>2632017459.3265004</v>
      </c>
      <c r="EX11" s="99">
        <f t="shared" si="25"/>
        <v>2627491797.7640004</v>
      </c>
      <c r="EY11" s="99">
        <f t="shared" si="25"/>
        <v>2622409780.1315007</v>
      </c>
      <c r="EZ11" s="99">
        <f t="shared" si="25"/>
        <v>2616886987.2190003</v>
      </c>
      <c r="FA11" s="99">
        <f t="shared" si="25"/>
        <v>2611087409.3465009</v>
      </c>
      <c r="FB11" s="99">
        <f t="shared" si="25"/>
        <v>2605267722.1740003</v>
      </c>
      <c r="FC11" s="91">
        <f t="shared" si="25"/>
        <v>2599484867.7015004</v>
      </c>
    </row>
    <row r="12" spans="1:159" ht="15.6" x14ac:dyDescent="0.25">
      <c r="A12" s="60">
        <f t="shared" si="5"/>
        <v>9</v>
      </c>
      <c r="B12" s="25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66"/>
      <c r="BW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66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66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66"/>
    </row>
    <row r="13" spans="1:159" ht="15.6" x14ac:dyDescent="0.25">
      <c r="A13" s="60">
        <f t="shared" si="5"/>
        <v>10</v>
      </c>
      <c r="B13" s="28" t="s">
        <v>52</v>
      </c>
      <c r="C13" s="29">
        <v>1.2203331785099753E-3</v>
      </c>
      <c r="D13" s="29">
        <v>1.1897926724648961E-3</v>
      </c>
      <c r="E13" s="29">
        <v>1.2338101649168236E-3</v>
      </c>
      <c r="F13" s="29">
        <v>1.2443376329192022E-3</v>
      </c>
      <c r="G13" s="29">
        <v>1.2010700247057553E-3</v>
      </c>
      <c r="H13" s="29">
        <v>1.1718594633857277E-3</v>
      </c>
      <c r="I13" s="29">
        <v>1.164392133147714E-3</v>
      </c>
      <c r="J13" s="29">
        <v>1.1348626780635575E-3</v>
      </c>
      <c r="K13" s="29">
        <v>1.1580272449740099E-3</v>
      </c>
      <c r="L13" s="29">
        <v>1.1466103054276022E-3</v>
      </c>
      <c r="M13" s="29">
        <v>1.0963390372745062E-3</v>
      </c>
      <c r="N13" s="29">
        <v>1.0678754520769456E-3</v>
      </c>
      <c r="O13" s="29">
        <v>1.0537215762056404E-3</v>
      </c>
      <c r="P13" s="29">
        <v>1.033966547093872E-3</v>
      </c>
      <c r="Q13" s="29">
        <v>1.0363944086351883E-3</v>
      </c>
      <c r="R13" s="29">
        <v>1.0055424119975779E-3</v>
      </c>
      <c r="S13" s="29">
        <v>1.0628649643737089E-3</v>
      </c>
      <c r="T13" s="29">
        <v>1.1339923178515191E-3</v>
      </c>
      <c r="U13" s="29">
        <v>1.1561767525368515E-3</v>
      </c>
      <c r="V13" s="29">
        <v>1.1688854477667778E-3</v>
      </c>
      <c r="W13" s="29">
        <v>1.1700948166898514E-3</v>
      </c>
      <c r="X13" s="29">
        <v>1.2040105268833713E-3</v>
      </c>
      <c r="Y13" s="29">
        <v>1.2087053388498039E-3</v>
      </c>
      <c r="Z13" s="29">
        <v>1.1791820341829234E-3</v>
      </c>
      <c r="AA13" s="29">
        <v>1.1974926379169433E-3</v>
      </c>
      <c r="AB13" s="29">
        <v>1.179702254310391E-3</v>
      </c>
      <c r="AC13" s="29">
        <v>1.1703813200584152E-3</v>
      </c>
      <c r="AD13" s="29">
        <v>1.1702066329708906E-3</v>
      </c>
      <c r="AE13" s="29">
        <v>1.1286211737575088E-3</v>
      </c>
      <c r="AF13" s="29">
        <v>1.055367120596425E-3</v>
      </c>
      <c r="AG13" s="29">
        <v>1.0531618366919628E-3</v>
      </c>
      <c r="AH13" s="29">
        <v>1.0705262156163809E-3</v>
      </c>
      <c r="AI13" s="29">
        <v>1.051222737759721E-3</v>
      </c>
      <c r="AJ13" s="29">
        <v>1.0252773316787578E-3</v>
      </c>
      <c r="AK13" s="29">
        <v>9.636338203884619E-4</v>
      </c>
      <c r="AL13" s="29">
        <v>9.6642817286707219E-4</v>
      </c>
      <c r="AM13" s="29">
        <v>9.5509301730150025E-4</v>
      </c>
      <c r="AN13" s="29">
        <v>9.2080731696087101E-4</v>
      </c>
      <c r="AO13" s="29">
        <v>9.3629418985036682E-4</v>
      </c>
      <c r="AP13" s="29">
        <v>9.5833715769889482E-4</v>
      </c>
      <c r="AQ13" s="29">
        <v>9.7075513208523057E-4</v>
      </c>
      <c r="AR13" s="29">
        <v>9.6325865370685724E-4</v>
      </c>
      <c r="AS13" s="29">
        <v>1.0715538615946874E-3</v>
      </c>
      <c r="AT13" s="29">
        <v>1.0690395099950197E-3</v>
      </c>
      <c r="AU13" s="29">
        <v>1.0411057944754068E-3</v>
      </c>
      <c r="AV13" s="29">
        <v>1.0463805023679898E-3</v>
      </c>
      <c r="AW13" s="29">
        <v>1.1428472797553194E-3</v>
      </c>
      <c r="AX13" s="29">
        <v>1.1510475245603731E-3</v>
      </c>
      <c r="AY13" s="29">
        <v>1.11053677777904E-3</v>
      </c>
      <c r="AZ13" s="29">
        <f t="shared" ref="AZ13:DI13" si="26">AZ10/AZ11</f>
        <v>1.1657533641455671E-3</v>
      </c>
      <c r="BA13" s="29">
        <f>BA10/BA11</f>
        <v>1.1756669371404042E-3</v>
      </c>
      <c r="BB13" s="29">
        <f t="shared" si="26"/>
        <v>1.3478996226257223E-3</v>
      </c>
      <c r="BC13" s="29">
        <f t="shared" si="26"/>
        <v>1.2453666498724644E-3</v>
      </c>
      <c r="BD13" s="29">
        <f t="shared" si="26"/>
        <v>1.362050908394553E-3</v>
      </c>
      <c r="BE13" s="29">
        <f t="shared" si="26"/>
        <v>1.3111392225318298E-3</v>
      </c>
      <c r="BF13" s="29">
        <f t="shared" si="26"/>
        <v>1.3688095973913011E-3</v>
      </c>
      <c r="BG13" s="29">
        <f t="shared" si="26"/>
        <v>1.5144160642365737E-3</v>
      </c>
      <c r="BH13" s="29">
        <f t="shared" si="26"/>
        <v>1.6653991954981636E-3</v>
      </c>
      <c r="BI13" s="29">
        <f t="shared" si="26"/>
        <v>1.7615167871536527E-3</v>
      </c>
      <c r="BJ13" s="29">
        <f t="shared" si="26"/>
        <v>1.7858702797680477E-3</v>
      </c>
      <c r="BK13" s="92">
        <f t="shared" si="26"/>
        <v>1.7831315899209811E-3</v>
      </c>
      <c r="BL13" s="31">
        <f t="shared" si="26"/>
        <v>1.8926745694119369E-3</v>
      </c>
      <c r="BM13" s="31">
        <f t="shared" si="26"/>
        <v>2.1006508278358519E-3</v>
      </c>
      <c r="BN13" s="31">
        <f t="shared" si="26"/>
        <v>2.0701332059764642E-3</v>
      </c>
      <c r="BO13" s="31">
        <f t="shared" si="26"/>
        <v>2.3193216983440645E-3</v>
      </c>
      <c r="BP13" s="31">
        <f t="shared" si="26"/>
        <v>2.3926898711703606E-3</v>
      </c>
      <c r="BQ13" s="31">
        <f t="shared" si="26"/>
        <v>2.3653127021381519E-3</v>
      </c>
      <c r="BR13" s="31">
        <f t="shared" si="26"/>
        <v>2.3737643689929846E-3</v>
      </c>
      <c r="BS13" s="31">
        <f t="shared" si="26"/>
        <v>2.3269533464855691E-3</v>
      </c>
      <c r="BT13" s="31">
        <f t="shared" si="26"/>
        <v>2.2112119626389176E-3</v>
      </c>
      <c r="BU13" s="31">
        <f t="shared" si="26"/>
        <v>2.1028999611558282E-3</v>
      </c>
      <c r="BV13" s="31">
        <f t="shared" si="26"/>
        <v>2.1402755946881274E-3</v>
      </c>
      <c r="BW13" s="93">
        <f t="shared" si="26"/>
        <v>2.1908081736118968E-3</v>
      </c>
      <c r="BX13" s="31">
        <f t="shared" si="26"/>
        <v>2.1060628060258833E-3</v>
      </c>
      <c r="BY13" s="31">
        <f t="shared" si="26"/>
        <v>1.9882679116006198E-3</v>
      </c>
      <c r="BZ13" s="31">
        <f t="shared" si="26"/>
        <v>1.9292777298176975E-3</v>
      </c>
      <c r="CA13" s="31">
        <f t="shared" si="26"/>
        <v>1.8828672261904959E-3</v>
      </c>
      <c r="CB13" s="31">
        <f t="shared" si="26"/>
        <v>1.7662430111634851E-3</v>
      </c>
      <c r="CC13" s="31">
        <f t="shared" si="26"/>
        <v>1.8077298039407095E-3</v>
      </c>
      <c r="CD13" s="31">
        <f t="shared" si="26"/>
        <v>1.7837312398150181E-3</v>
      </c>
      <c r="CE13" s="31">
        <f t="shared" si="26"/>
        <v>1.7714366255464952E-3</v>
      </c>
      <c r="CF13" s="31">
        <f t="shared" si="26"/>
        <v>1.7799575918746528E-3</v>
      </c>
      <c r="CG13" s="31">
        <f t="shared" si="26"/>
        <v>1.776827007064568E-3</v>
      </c>
      <c r="CH13" s="31">
        <f t="shared" si="26"/>
        <v>1.6995734584155616E-3</v>
      </c>
      <c r="CI13" s="93">
        <f t="shared" si="26"/>
        <v>1.6870748349665158E-3</v>
      </c>
      <c r="CJ13" s="31">
        <f t="shared" si="26"/>
        <v>1.6610265534033125E-3</v>
      </c>
      <c r="CK13" s="31">
        <f t="shared" si="26"/>
        <v>1.6374007137118247E-3</v>
      </c>
      <c r="CL13" s="31">
        <f t="shared" si="26"/>
        <v>1.5121065399693488E-3</v>
      </c>
      <c r="CM13" s="31">
        <f t="shared" si="26"/>
        <v>1.2959453340953689E-3</v>
      </c>
      <c r="CN13" s="31">
        <f t="shared" si="26"/>
        <v>1.2826743363708341E-3</v>
      </c>
      <c r="CO13" s="31">
        <f t="shared" si="26"/>
        <v>1.1017183696444702E-3</v>
      </c>
      <c r="CP13" s="31">
        <f t="shared" si="26"/>
        <v>9.1321815363734843E-4</v>
      </c>
      <c r="CQ13" s="31">
        <f t="shared" si="26"/>
        <v>6.857746213581096E-4</v>
      </c>
      <c r="CR13" s="31">
        <f t="shared" si="26"/>
        <v>6.0992300660744469E-4</v>
      </c>
      <c r="CS13" s="31">
        <f t="shared" si="26"/>
        <v>1.2929184096219046E-3</v>
      </c>
      <c r="CT13" s="31">
        <f t="shared" si="26"/>
        <v>1.3493917161613335E-3</v>
      </c>
      <c r="CU13" s="93">
        <f t="shared" si="26"/>
        <v>1.7889040765211471E-3</v>
      </c>
      <c r="CV13" s="31">
        <f t="shared" si="26"/>
        <v>1.8371636725540057E-3</v>
      </c>
      <c r="CW13" s="31">
        <f t="shared" si="26"/>
        <v>1.9395668034087E-3</v>
      </c>
      <c r="CX13" s="31">
        <f t="shared" si="26"/>
        <v>2.2225494200667378E-3</v>
      </c>
      <c r="CY13" s="31">
        <f t="shared" si="26"/>
        <v>2.4573077403806359E-3</v>
      </c>
      <c r="CZ13" s="31">
        <f t="shared" si="26"/>
        <v>2.4140949000429823E-3</v>
      </c>
      <c r="DA13" s="31">
        <f t="shared" si="26"/>
        <v>2.6808329864737232E-3</v>
      </c>
      <c r="DB13" s="31">
        <f t="shared" si="26"/>
        <v>2.9612170982485039E-3</v>
      </c>
      <c r="DC13" s="31">
        <f t="shared" si="26"/>
        <v>3.0863923681166976E-3</v>
      </c>
      <c r="DD13" s="31">
        <f t="shared" si="26"/>
        <v>4.1199088897480316E-3</v>
      </c>
      <c r="DE13" s="31">
        <f t="shared" si="26"/>
        <v>3.4199475501686194E-3</v>
      </c>
      <c r="DF13" s="31">
        <f t="shared" si="26"/>
        <v>3.4419944068599757E-3</v>
      </c>
      <c r="DG13" s="93">
        <f t="shared" si="26"/>
        <v>3.0725481637816163E-3</v>
      </c>
      <c r="DH13" s="31">
        <f t="shared" si="26"/>
        <v>2.9364473763077441E-3</v>
      </c>
      <c r="DI13" s="31">
        <f t="shared" si="26"/>
        <v>2.8914666572368102E-3</v>
      </c>
      <c r="DJ13" s="31">
        <f>DJ10/DJ11</f>
        <v>2.7967652033369481E-3</v>
      </c>
      <c r="DK13" s="31">
        <f>DK10/DK11</f>
        <v>2.7919834170068245E-3</v>
      </c>
      <c r="DL13" s="31">
        <f>DL10/DL11</f>
        <v>2.9265677951953177E-3</v>
      </c>
      <c r="DM13" s="31">
        <f>DM10/DM11</f>
        <v>2.8732864452598052E-3</v>
      </c>
      <c r="DN13" s="31">
        <f>DN10/DN11</f>
        <v>2.8543659053096274E-3</v>
      </c>
      <c r="DO13" s="31">
        <f t="shared" ref="DO13:DZ13" si="27">DO10/DO11</f>
        <v>2.9860974166047104E-3</v>
      </c>
      <c r="DP13" s="31">
        <f t="shared" si="27"/>
        <v>2.222113896546145E-3</v>
      </c>
      <c r="DQ13" s="31">
        <f t="shared" si="27"/>
        <v>2.3115015869282179E-3</v>
      </c>
      <c r="DR13" s="31">
        <f t="shared" si="27"/>
        <v>2.3584956500187597E-3</v>
      </c>
      <c r="DS13" s="93">
        <f t="shared" si="27"/>
        <v>2.3538408702117059E-3</v>
      </c>
      <c r="DT13" s="31">
        <f t="shared" si="27"/>
        <v>2.562581898194759E-3</v>
      </c>
      <c r="DU13" s="31">
        <f t="shared" si="27"/>
        <v>2.6542439339380941E-3</v>
      </c>
      <c r="DV13" s="31">
        <f t="shared" si="27"/>
        <v>2.6582473424876588E-3</v>
      </c>
      <c r="DW13" s="31">
        <f t="shared" si="27"/>
        <v>2.6129511881548832E-3</v>
      </c>
      <c r="DX13" s="31">
        <f t="shared" si="27"/>
        <v>2.6456155852181132E-3</v>
      </c>
      <c r="DY13" s="31">
        <f t="shared" si="27"/>
        <v>2.6620752230751932E-3</v>
      </c>
      <c r="DZ13" s="31">
        <f t="shared" si="27"/>
        <v>2.6407878647659801E-3</v>
      </c>
      <c r="EA13" s="31">
        <f>EA10/EA11</f>
        <v>2.6237858169563411E-3</v>
      </c>
      <c r="EB13" s="31">
        <f>EB10/EB11</f>
        <v>2.5481549298085192E-3</v>
      </c>
      <c r="EC13" s="31">
        <f>EC10/EC11</f>
        <v>2.4399086420645324E-3</v>
      </c>
      <c r="ED13" s="31">
        <f>ED10/ED11</f>
        <v>2.3425828383849051E-3</v>
      </c>
      <c r="EE13" s="93">
        <f>EE10/EE11</f>
        <v>2.2966839346425703E-3</v>
      </c>
      <c r="EF13" s="31">
        <f t="shared" ref="EF13:FC13" si="28">EF10/EF11</f>
        <v>2.2268058981054929E-3</v>
      </c>
      <c r="EG13" s="31">
        <f t="shared" si="28"/>
        <v>2.1724857397437008E-3</v>
      </c>
      <c r="EH13" s="31">
        <f t="shared" si="28"/>
        <v>2.1859653243584466E-3</v>
      </c>
      <c r="EI13" s="31">
        <f t="shared" si="28"/>
        <v>2.2460238842415057E-3</v>
      </c>
      <c r="EJ13" s="31">
        <f t="shared" si="28"/>
        <v>2.21282100404527E-3</v>
      </c>
      <c r="EK13" s="31">
        <f t="shared" si="28"/>
        <v>2.2194916479208906E-3</v>
      </c>
      <c r="EL13" s="31">
        <f t="shared" si="28"/>
        <v>2.2371280075708785E-3</v>
      </c>
      <c r="EM13" s="31">
        <f t="shared" si="28"/>
        <v>2.2371277580885188E-3</v>
      </c>
      <c r="EN13" s="31">
        <f t="shared" si="28"/>
        <v>2.2371276747358481E-3</v>
      </c>
      <c r="EO13" s="31">
        <f t="shared" si="28"/>
        <v>2.2371276442377272E-3</v>
      </c>
      <c r="EP13" s="31">
        <f t="shared" si="28"/>
        <v>2.2371274454213008E-3</v>
      </c>
      <c r="EQ13" s="93">
        <f t="shared" si="28"/>
        <v>2.2371275343300917E-3</v>
      </c>
      <c r="ER13" s="31">
        <f t="shared" si="28"/>
        <v>2.2371277909627868E-3</v>
      </c>
      <c r="ES13" s="31">
        <f t="shared" si="28"/>
        <v>2.237127941157466E-3</v>
      </c>
      <c r="ET13" s="31">
        <f t="shared" si="28"/>
        <v>2.2371277973365828E-3</v>
      </c>
      <c r="EU13" s="31">
        <f t="shared" si="28"/>
        <v>2.2371280013212327E-3</v>
      </c>
      <c r="EV13" s="31">
        <f t="shared" si="28"/>
        <v>2.2371279988141761E-3</v>
      </c>
      <c r="EW13" s="31">
        <f t="shared" si="28"/>
        <v>2.2371280171928284E-3</v>
      </c>
      <c r="EX13" s="31">
        <f t="shared" si="28"/>
        <v>2.2371282015046508E-3</v>
      </c>
      <c r="EY13" s="31">
        <f t="shared" si="28"/>
        <v>2.2371282491578477E-3</v>
      </c>
      <c r="EZ13" s="31">
        <f t="shared" si="28"/>
        <v>2.2371283240708276E-3</v>
      </c>
      <c r="FA13" s="31">
        <f t="shared" si="28"/>
        <v>2.2371284772354527E-3</v>
      </c>
      <c r="FB13" s="31">
        <f t="shared" si="28"/>
        <v>2.2371286261269464E-3</v>
      </c>
      <c r="FC13" s="93">
        <f t="shared" si="28"/>
        <v>2.237128622003497E-3</v>
      </c>
    </row>
    <row r="14" spans="1:159" ht="15.6" x14ac:dyDescent="0.25">
      <c r="A14" s="60">
        <f t="shared" si="5"/>
        <v>11</v>
      </c>
      <c r="B14" s="32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67"/>
      <c r="BL14" s="67"/>
      <c r="BM14" s="67"/>
      <c r="BN14" s="67"/>
      <c r="BO14" s="67"/>
      <c r="BP14" s="67"/>
      <c r="BQ14" s="67"/>
      <c r="BR14" s="67"/>
      <c r="BS14" s="66"/>
      <c r="BT14" s="66"/>
      <c r="BU14" s="66"/>
      <c r="BV14" s="66"/>
      <c r="BW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100"/>
      <c r="DU14" s="100"/>
      <c r="DV14" s="100"/>
      <c r="DW14" s="100"/>
      <c r="DX14" s="100"/>
      <c r="DY14" s="100"/>
      <c r="DZ14" s="100"/>
      <c r="EA14" s="256"/>
      <c r="EB14" s="256"/>
      <c r="EC14" s="256"/>
      <c r="ED14" s="256"/>
      <c r="EE14" s="256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</row>
    <row r="15" spans="1:159" ht="15.6" hidden="1" x14ac:dyDescent="0.25">
      <c r="A15" s="60">
        <f t="shared" si="5"/>
        <v>12</v>
      </c>
      <c r="B15" s="32" t="s">
        <v>54</v>
      </c>
      <c r="C15" s="26">
        <v>165607</v>
      </c>
      <c r="D15" s="26">
        <v>169763</v>
      </c>
      <c r="E15" s="26">
        <v>162404</v>
      </c>
      <c r="F15" s="26">
        <v>167524</v>
      </c>
      <c r="G15" s="26">
        <v>170018</v>
      </c>
      <c r="H15" s="26">
        <v>175952</v>
      </c>
      <c r="I15" s="26">
        <v>201146</v>
      </c>
      <c r="J15" s="26">
        <v>201159</v>
      </c>
      <c r="K15" s="26">
        <v>212143</v>
      </c>
      <c r="L15" s="26">
        <v>217685</v>
      </c>
      <c r="M15" s="26">
        <v>187709</v>
      </c>
      <c r="N15" s="26">
        <v>164078</v>
      </c>
      <c r="O15" s="26">
        <v>152818</v>
      </c>
      <c r="P15" s="26">
        <v>157354</v>
      </c>
      <c r="Q15" s="26">
        <v>153960</v>
      </c>
      <c r="R15" s="26">
        <v>138422</v>
      </c>
      <c r="S15" s="26">
        <v>147899</v>
      </c>
      <c r="T15" s="26">
        <v>183215</v>
      </c>
      <c r="U15" s="26">
        <v>217228</v>
      </c>
      <c r="V15" s="26">
        <v>230303</v>
      </c>
      <c r="W15" s="26">
        <v>226142</v>
      </c>
      <c r="X15" s="26">
        <v>238211</v>
      </c>
      <c r="Y15" s="26">
        <v>208788</v>
      </c>
      <c r="Z15" s="26">
        <v>174457</v>
      </c>
      <c r="AA15" s="26">
        <v>175715</v>
      </c>
      <c r="AB15" s="26">
        <v>174650</v>
      </c>
      <c r="AC15" s="26">
        <v>163983</v>
      </c>
      <c r="AD15" s="26">
        <v>167519</v>
      </c>
      <c r="AE15" s="26">
        <v>178163</v>
      </c>
      <c r="AF15" s="26">
        <v>178704</v>
      </c>
      <c r="AG15" s="26">
        <v>197977</v>
      </c>
      <c r="AH15" s="26">
        <v>208327</v>
      </c>
      <c r="AI15" s="26">
        <v>192087</v>
      </c>
      <c r="AJ15" s="26">
        <v>197260</v>
      </c>
      <c r="AK15" s="26">
        <v>171489</v>
      </c>
      <c r="AL15" s="26">
        <v>158880</v>
      </c>
      <c r="AM15" s="26">
        <v>145314</v>
      </c>
      <c r="AN15" s="26">
        <v>143007</v>
      </c>
      <c r="AO15" s="26">
        <v>133911</v>
      </c>
      <c r="AP15" s="26">
        <v>130442</v>
      </c>
      <c r="AQ15" s="26">
        <v>141712</v>
      </c>
      <c r="AR15" s="26">
        <v>157819.23000000001</v>
      </c>
      <c r="AS15" s="26">
        <v>200053</v>
      </c>
      <c r="AT15" s="26">
        <v>213962</v>
      </c>
      <c r="AU15" s="26">
        <v>205411</v>
      </c>
      <c r="AV15" s="26">
        <v>208788</v>
      </c>
      <c r="AW15" s="26">
        <v>203975</v>
      </c>
      <c r="AX15" s="26">
        <v>172326</v>
      </c>
      <c r="AY15" s="26">
        <v>160821</v>
      </c>
      <c r="AZ15" s="26">
        <v>167802</v>
      </c>
      <c r="BA15" s="26">
        <v>156239</v>
      </c>
      <c r="BB15" s="26">
        <v>180571</v>
      </c>
      <c r="BC15" s="26">
        <v>181082</v>
      </c>
      <c r="BD15" s="26">
        <v>228972</v>
      </c>
      <c r="BE15" s="26">
        <v>232094</v>
      </c>
      <c r="BF15" s="26">
        <v>249572</v>
      </c>
      <c r="BG15" s="26">
        <v>288534</v>
      </c>
      <c r="BH15" s="26">
        <v>323484</v>
      </c>
      <c r="BI15" s="26">
        <v>314501</v>
      </c>
      <c r="BJ15" s="26">
        <v>267461</v>
      </c>
      <c r="BK15" s="26">
        <v>246036.09</v>
      </c>
      <c r="BL15" s="26">
        <v>302580.49</v>
      </c>
      <c r="BM15" s="26">
        <v>306966.12</v>
      </c>
      <c r="BN15" s="26">
        <v>297776</v>
      </c>
      <c r="BO15" s="26">
        <v>369611</v>
      </c>
      <c r="BP15" s="26">
        <v>366394</v>
      </c>
      <c r="BQ15" s="26">
        <v>415973</v>
      </c>
      <c r="BR15" s="26">
        <v>461493</v>
      </c>
      <c r="BS15" s="26">
        <v>445308</v>
      </c>
      <c r="BT15" s="26">
        <v>460252</v>
      </c>
      <c r="BU15" s="26">
        <v>403323</v>
      </c>
      <c r="BV15" s="26">
        <v>356331</v>
      </c>
      <c r="BW15" s="26">
        <v>324578</v>
      </c>
      <c r="BX15" s="61">
        <v>289906</v>
      </c>
      <c r="BY15" s="61">
        <v>274008</v>
      </c>
      <c r="BZ15" s="61">
        <v>261730</v>
      </c>
      <c r="CA15" s="61">
        <v>263001</v>
      </c>
      <c r="CB15" s="61">
        <v>291607</v>
      </c>
      <c r="CC15" s="61">
        <v>342551</v>
      </c>
      <c r="CD15" s="26">
        <v>345857</v>
      </c>
      <c r="CE15" s="26">
        <v>331026</v>
      </c>
      <c r="CF15" s="26">
        <v>357461</v>
      </c>
      <c r="CG15" s="26">
        <v>323726</v>
      </c>
      <c r="CH15" s="26">
        <v>282731</v>
      </c>
      <c r="CI15" s="26">
        <v>236397</v>
      </c>
      <c r="CJ15" s="61">
        <v>239372</v>
      </c>
      <c r="CK15" s="61">
        <v>221708</v>
      </c>
      <c r="CL15" s="61">
        <v>217238</v>
      </c>
      <c r="CM15" s="61">
        <v>242253</v>
      </c>
      <c r="CN15" s="61">
        <v>197731</v>
      </c>
      <c r="CO15" s="61">
        <v>2778411.8288088264</v>
      </c>
      <c r="CP15" s="61">
        <v>491889.22891999967</v>
      </c>
      <c r="CQ15" s="61">
        <v>652782.9946399997</v>
      </c>
      <c r="CR15" s="61">
        <v>732971.65075999964</v>
      </c>
      <c r="CS15" s="61">
        <v>683562.7830799995</v>
      </c>
      <c r="CT15" s="61">
        <v>638894.26324000023</v>
      </c>
      <c r="CU15" s="61">
        <v>561912.73535999842</v>
      </c>
      <c r="CV15" s="61">
        <v>630337.12667999999</v>
      </c>
      <c r="CW15" s="61">
        <v>576462.41396000038</v>
      </c>
      <c r="CX15" s="61">
        <v>569623.58084000018</v>
      </c>
      <c r="CY15" s="61">
        <v>607943.88139999984</v>
      </c>
      <c r="CZ15" s="61">
        <v>675456.35779999988</v>
      </c>
      <c r="DA15" s="61">
        <v>574959.05163</v>
      </c>
      <c r="DB15" s="61">
        <v>582266.34788999998</v>
      </c>
      <c r="DC15" s="61">
        <v>404815.25058000005</v>
      </c>
      <c r="DD15" s="61">
        <v>469158.35036000004</v>
      </c>
      <c r="DE15" s="61">
        <v>423953.26312000002</v>
      </c>
      <c r="DF15" s="61">
        <v>359967.31977999996</v>
      </c>
      <c r="DG15" s="61">
        <v>332998.79031999997</v>
      </c>
      <c r="DH15" s="61">
        <v>319745.13420599996</v>
      </c>
      <c r="DI15" s="61">
        <v>312276.57717500004</v>
      </c>
      <c r="DJ15" s="61">
        <v>308492.13908700005</v>
      </c>
      <c r="DK15" s="61">
        <v>332277.50232000003</v>
      </c>
      <c r="DL15" s="61">
        <v>371938.21444799996</v>
      </c>
      <c r="DM15" s="61">
        <v>419676.99726600002</v>
      </c>
      <c r="DN15" s="61">
        <v>702960.68064648006</v>
      </c>
      <c r="DO15" s="61">
        <v>742355</v>
      </c>
      <c r="DP15" s="61">
        <v>560153</v>
      </c>
      <c r="DQ15" s="61">
        <v>487829</v>
      </c>
      <c r="DR15" s="61">
        <v>447098</v>
      </c>
      <c r="DS15" s="61">
        <v>449997</v>
      </c>
      <c r="DT15" s="97">
        <v>547365</v>
      </c>
      <c r="DU15" s="97">
        <v>508250.42345164</v>
      </c>
      <c r="DV15" s="97">
        <v>526547</v>
      </c>
      <c r="DW15" s="97">
        <v>607859</v>
      </c>
      <c r="DX15" s="97">
        <v>649449.48090708</v>
      </c>
      <c r="DY15" s="97">
        <v>712367</v>
      </c>
      <c r="DZ15" s="97">
        <v>805721</v>
      </c>
      <c r="EA15" s="97">
        <f>ROUND(EA6*EA13,0)</f>
        <v>787620</v>
      </c>
      <c r="EB15" s="97">
        <f>ROUND(EB6*EB13,0)</f>
        <v>767038</v>
      </c>
      <c r="EC15" s="97">
        <f>ROUND(EC6*EC13,0)</f>
        <v>679978</v>
      </c>
      <c r="ED15" s="97">
        <f>ROUND(ED6*ED13,0)</f>
        <v>561473</v>
      </c>
      <c r="EE15" s="97">
        <f>ROUND(EE6*EE13,0)</f>
        <v>501050</v>
      </c>
      <c r="EF15" s="97">
        <f t="shared" ref="EF15:FC15" si="29">ROUND(EF6*EF13,0)</f>
        <v>453667</v>
      </c>
      <c r="EG15" s="97">
        <f t="shared" si="29"/>
        <v>412851</v>
      </c>
      <c r="EH15" s="97">
        <f t="shared" si="29"/>
        <v>403094</v>
      </c>
      <c r="EI15" s="97">
        <f t="shared" si="29"/>
        <v>434591</v>
      </c>
      <c r="EJ15" s="97">
        <f t="shared" si="29"/>
        <v>473018</v>
      </c>
      <c r="EK15" s="97">
        <f t="shared" si="29"/>
        <v>546532</v>
      </c>
      <c r="EL15" s="97">
        <f t="shared" si="29"/>
        <v>579466</v>
      </c>
      <c r="EM15" s="97">
        <f t="shared" si="29"/>
        <v>575548</v>
      </c>
      <c r="EN15" s="97">
        <f t="shared" si="29"/>
        <v>589726</v>
      </c>
      <c r="EO15" s="97">
        <f t="shared" si="29"/>
        <v>529157</v>
      </c>
      <c r="EP15" s="97">
        <f t="shared" si="29"/>
        <v>454628</v>
      </c>
      <c r="EQ15" s="97">
        <f t="shared" si="29"/>
        <v>433061</v>
      </c>
      <c r="ER15" s="97">
        <f t="shared" si="29"/>
        <v>445986</v>
      </c>
      <c r="ES15" s="97">
        <f t="shared" si="29"/>
        <v>415546</v>
      </c>
      <c r="ET15" s="97">
        <f t="shared" si="29"/>
        <v>403082</v>
      </c>
      <c r="EU15" s="97">
        <f t="shared" si="29"/>
        <v>422745</v>
      </c>
      <c r="EV15" s="97">
        <f t="shared" si="29"/>
        <v>466845</v>
      </c>
      <c r="EW15" s="97">
        <f t="shared" si="29"/>
        <v>538520</v>
      </c>
      <c r="EX15" s="97">
        <f t="shared" si="29"/>
        <v>566492</v>
      </c>
      <c r="EY15" s="97">
        <f t="shared" si="29"/>
        <v>562529</v>
      </c>
      <c r="EZ15" s="97">
        <f t="shared" si="29"/>
        <v>576789</v>
      </c>
      <c r="FA15" s="97">
        <f t="shared" si="29"/>
        <v>517482</v>
      </c>
      <c r="FB15" s="97">
        <f t="shared" si="29"/>
        <v>444888</v>
      </c>
      <c r="FC15" s="97">
        <f t="shared" si="29"/>
        <v>424438</v>
      </c>
    </row>
    <row r="16" spans="1:159" ht="15.6" hidden="1" x14ac:dyDescent="0.25">
      <c r="A16" s="60">
        <f t="shared" si="5"/>
        <v>13</v>
      </c>
      <c r="B16" s="32" t="s">
        <v>55</v>
      </c>
      <c r="C16" s="26">
        <v>260007</v>
      </c>
      <c r="D16" s="26">
        <v>96308</v>
      </c>
      <c r="E16" s="26">
        <v>-161909</v>
      </c>
      <c r="F16" s="26">
        <v>-166617</v>
      </c>
      <c r="G16" s="26">
        <v>-180645</v>
      </c>
      <c r="H16" s="26">
        <v>-166720</v>
      </c>
      <c r="I16" s="26">
        <v>-180088</v>
      </c>
      <c r="J16" s="26">
        <v>-131773</v>
      </c>
      <c r="K16" s="26">
        <v>-28897</v>
      </c>
      <c r="L16" s="26">
        <v>28032</v>
      </c>
      <c r="M16" s="26">
        <v>162777.06</v>
      </c>
      <c r="N16" s="26">
        <v>213752</v>
      </c>
      <c r="O16" s="26">
        <v>260614.90000000002</v>
      </c>
      <c r="P16" s="26">
        <v>87650.65</v>
      </c>
      <c r="Q16" s="26">
        <v>-148980</v>
      </c>
      <c r="R16" s="26">
        <v>-184996</v>
      </c>
      <c r="S16" s="26">
        <v>-19957</v>
      </c>
      <c r="T16" s="26">
        <v>-9200</v>
      </c>
      <c r="U16" s="26">
        <v>-137331</v>
      </c>
      <c r="V16" s="26">
        <v>-139928</v>
      </c>
      <c r="W16" s="26">
        <v>-28432</v>
      </c>
      <c r="X16" s="26">
        <v>108058</v>
      </c>
      <c r="Y16" s="26">
        <v>189414</v>
      </c>
      <c r="Z16" s="26">
        <v>155011</v>
      </c>
      <c r="AA16" s="26">
        <v>280966</v>
      </c>
      <c r="AB16" s="26">
        <v>27932</v>
      </c>
      <c r="AC16" s="26">
        <v>-190198</v>
      </c>
      <c r="AD16" s="26">
        <v>-197564</v>
      </c>
      <c r="AE16" s="26">
        <v>-150695</v>
      </c>
      <c r="AF16" s="26">
        <v>-185201</v>
      </c>
      <c r="AG16" s="26">
        <v>-124273</v>
      </c>
      <c r="AH16" s="26">
        <v>-66544</v>
      </c>
      <c r="AI16" s="26">
        <v>-18829</v>
      </c>
      <c r="AJ16" s="26">
        <v>69058</v>
      </c>
      <c r="AK16" s="26">
        <v>78464</v>
      </c>
      <c r="AL16" s="26">
        <v>189216</v>
      </c>
      <c r="AM16" s="26">
        <v>288763</v>
      </c>
      <c r="AN16" s="26">
        <v>-1056</v>
      </c>
      <c r="AO16" s="26">
        <v>-100289</v>
      </c>
      <c r="AP16" s="26">
        <v>-109116</v>
      </c>
      <c r="AQ16" s="26">
        <v>-64391</v>
      </c>
      <c r="AR16" s="26">
        <v>-149295</v>
      </c>
      <c r="AS16" s="26">
        <v>81876.87</v>
      </c>
      <c r="AT16" s="26">
        <v>-110299.91000000002</v>
      </c>
      <c r="AU16" s="26">
        <v>-101671.44</v>
      </c>
      <c r="AV16" s="26">
        <v>65374.909999999974</v>
      </c>
      <c r="AW16" s="26">
        <v>270870.21999999997</v>
      </c>
      <c r="AX16" s="26">
        <v>213425.40000000002</v>
      </c>
      <c r="AY16" s="26">
        <v>188668.01</v>
      </c>
      <c r="AZ16" s="26">
        <v>100672.34999999998</v>
      </c>
      <c r="BA16" s="26">
        <v>60734</v>
      </c>
      <c r="BB16" s="26">
        <v>3869.7299999999814</v>
      </c>
      <c r="BC16" s="26">
        <v>-351385.69</v>
      </c>
      <c r="BD16" s="26">
        <v>15844.339999999997</v>
      </c>
      <c r="BE16" s="26">
        <v>-76881.879999999946</v>
      </c>
      <c r="BF16" s="26">
        <v>15261.459999999963</v>
      </c>
      <c r="BG16" s="26">
        <v>139544.02999999997</v>
      </c>
      <c r="BH16" s="26">
        <v>305729.38</v>
      </c>
      <c r="BI16" s="26">
        <v>317505.07999999996</v>
      </c>
      <c r="BJ16" s="26">
        <v>107766.51000000001</v>
      </c>
      <c r="BK16" s="26">
        <v>95966.369999999966</v>
      </c>
      <c r="BL16" s="26">
        <v>200621</v>
      </c>
      <c r="BM16" s="26">
        <v>156890</v>
      </c>
      <c r="BN16" s="26">
        <v>-30797</v>
      </c>
      <c r="BO16" s="26">
        <v>541589</v>
      </c>
      <c r="BP16" s="26">
        <v>-454610</v>
      </c>
      <c r="BQ16" s="26">
        <v>-237554</v>
      </c>
      <c r="BR16" s="26">
        <v>-180113.27</v>
      </c>
      <c r="BS16" s="26">
        <v>-189068</v>
      </c>
      <c r="BT16" s="26">
        <v>-87338</v>
      </c>
      <c r="BU16" s="26">
        <v>-29713</v>
      </c>
      <c r="BV16" s="26">
        <v>98362</v>
      </c>
      <c r="BW16" s="26">
        <v>150365</v>
      </c>
      <c r="BX16" s="26">
        <v>479</v>
      </c>
      <c r="BY16" s="26">
        <v>-68057</v>
      </c>
      <c r="BZ16" s="26">
        <v>-98514</v>
      </c>
      <c r="CA16" s="26">
        <v>-18322</v>
      </c>
      <c r="CB16" s="26">
        <v>-144850</v>
      </c>
      <c r="CC16" s="26">
        <v>-90867</v>
      </c>
      <c r="CD16" s="26">
        <v>-172704</v>
      </c>
      <c r="CE16" s="26">
        <v>-64287.719999999972</v>
      </c>
      <c r="CF16" s="26">
        <v>40807</v>
      </c>
      <c r="CG16" s="26">
        <v>94326</v>
      </c>
      <c r="CH16" s="26">
        <v>5449</v>
      </c>
      <c r="CI16" s="26">
        <v>158678</v>
      </c>
      <c r="CJ16" s="26">
        <v>4278</v>
      </c>
      <c r="CK16" s="26">
        <v>-13412</v>
      </c>
      <c r="CL16" s="26">
        <v>103177</v>
      </c>
      <c r="CM16" s="26">
        <v>-910136</v>
      </c>
      <c r="CN16" s="26">
        <v>-1075934</v>
      </c>
      <c r="CO16" s="65"/>
      <c r="CP16" s="65"/>
      <c r="CQ16" s="65"/>
      <c r="CR16" s="97">
        <v>297088.83</v>
      </c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97">
        <v>-344190.23</v>
      </c>
      <c r="DH16" s="65"/>
      <c r="DI16" s="65"/>
      <c r="DJ16" s="65"/>
      <c r="DK16" s="65"/>
      <c r="DL16" s="65"/>
      <c r="DM16" s="61">
        <v>-1634211.02513184</v>
      </c>
      <c r="DN16" s="61">
        <v>-222427.54064648011</v>
      </c>
      <c r="DO16" s="61">
        <v>-250609.08755838004</v>
      </c>
      <c r="DP16" s="61">
        <v>-101967.2565811401</v>
      </c>
      <c r="DQ16" s="61">
        <v>294138.17613319203</v>
      </c>
      <c r="DR16" s="61">
        <v>317612.80662541999</v>
      </c>
      <c r="DS16" s="61">
        <v>228615.93477881991</v>
      </c>
      <c r="DT16" s="97">
        <v>303037.85396765999</v>
      </c>
      <c r="DU16" s="97">
        <v>31382.026548360067</v>
      </c>
      <c r="DV16" s="97">
        <v>-132547.78182010003</v>
      </c>
      <c r="DW16" s="97">
        <v>-187119.57599116996</v>
      </c>
      <c r="DX16" s="97">
        <v>-86680.480907079997</v>
      </c>
      <c r="DY16" s="97">
        <v>-173703.99402483995</v>
      </c>
      <c r="DZ16" s="97">
        <v>-234170.93522203027</v>
      </c>
      <c r="EA16" s="48">
        <f>EA48</f>
        <v>-230935.58390628058</v>
      </c>
      <c r="EB16" s="48">
        <f>EB48</f>
        <v>-190632.44855983369</v>
      </c>
      <c r="EC16" s="48">
        <f>EC48</f>
        <v>-119635.60513639497</v>
      </c>
      <c r="ED16" s="48">
        <f>ED48</f>
        <v>-71297.773745013401</v>
      </c>
      <c r="EE16" s="48">
        <f>EE48</f>
        <v>106668.36846755492</v>
      </c>
      <c r="EF16" s="48">
        <f t="shared" ref="EF16:FC16" si="30">EF48</f>
        <v>120965.53897108044</v>
      </c>
      <c r="EG16" s="48">
        <f t="shared" si="30"/>
        <v>73469.325111455168</v>
      </c>
      <c r="EH16" s="48">
        <f t="shared" si="30"/>
        <v>48198.053301626234</v>
      </c>
      <c r="EI16" s="48">
        <f t="shared" si="30"/>
        <v>83767.931543109589</v>
      </c>
      <c r="EJ16" s="48">
        <f t="shared" si="30"/>
        <v>10801.803983657737</v>
      </c>
      <c r="EK16" s="48">
        <f t="shared" si="30"/>
        <v>-60318.896571073099</v>
      </c>
      <c r="EL16" s="48">
        <f t="shared" si="30"/>
        <v>-83652.738148881937</v>
      </c>
      <c r="EM16" s="48">
        <f t="shared" si="30"/>
        <v>-118003.25968295999</v>
      </c>
      <c r="EN16" s="48">
        <f t="shared" si="30"/>
        <v>-23819.209795289091</v>
      </c>
      <c r="EO16" s="48">
        <f t="shared" si="30"/>
        <v>-18534.406530669075</v>
      </c>
      <c r="EP16" s="48">
        <f t="shared" si="30"/>
        <v>34238.290320877451</v>
      </c>
      <c r="EQ16" s="48">
        <f t="shared" si="30"/>
        <v>129731.63471113797</v>
      </c>
      <c r="ER16" s="48">
        <f t="shared" si="30"/>
        <v>89018.085481499205</v>
      </c>
      <c r="ES16" s="48">
        <f t="shared" si="30"/>
        <v>1308.4384360585827</v>
      </c>
      <c r="ET16" s="48">
        <f t="shared" si="30"/>
        <v>-8486.7329749860801</v>
      </c>
      <c r="EU16" s="48">
        <f t="shared" si="30"/>
        <v>73514.709268354345</v>
      </c>
      <c r="EV16" s="48">
        <f t="shared" si="30"/>
        <v>9261.7193105462939</v>
      </c>
      <c r="EW16" s="48">
        <f t="shared" si="30"/>
        <v>-63310.836668757955</v>
      </c>
      <c r="EX16" s="48">
        <f t="shared" si="30"/>
        <v>-84761.353407114279</v>
      </c>
      <c r="EY16" s="48">
        <f t="shared" si="30"/>
        <v>-120416.77713941189</v>
      </c>
      <c r="EZ16" s="48">
        <f t="shared" si="30"/>
        <v>-20120.887480592704</v>
      </c>
      <c r="FA16" s="48">
        <f t="shared" si="30"/>
        <v>-25258.379714648938</v>
      </c>
      <c r="FB16" s="48">
        <f t="shared" si="30"/>
        <v>37170.764066718169</v>
      </c>
      <c r="FC16" s="48">
        <f t="shared" si="30"/>
        <v>123519.6769138379</v>
      </c>
    </row>
    <row r="17" spans="1:159" ht="15.6" hidden="1" x14ac:dyDescent="0.25">
      <c r="A17" s="60">
        <f t="shared" si="5"/>
        <v>14</v>
      </c>
      <c r="B17" s="33" t="s">
        <v>56</v>
      </c>
      <c r="C17" s="68">
        <v>425614</v>
      </c>
      <c r="D17" s="68">
        <v>266071</v>
      </c>
      <c r="E17" s="68">
        <v>495</v>
      </c>
      <c r="F17" s="68">
        <v>907</v>
      </c>
      <c r="G17" s="68">
        <v>-10627</v>
      </c>
      <c r="H17" s="68">
        <v>9232</v>
      </c>
      <c r="I17" s="68">
        <v>21058</v>
      </c>
      <c r="J17" s="68">
        <v>69356</v>
      </c>
      <c r="K17" s="68">
        <v>183246</v>
      </c>
      <c r="L17" s="68">
        <v>245717</v>
      </c>
      <c r="M17" s="68">
        <v>350486.06</v>
      </c>
      <c r="N17" s="68">
        <v>377830</v>
      </c>
      <c r="O17" s="68">
        <v>413432.9</v>
      </c>
      <c r="P17" s="68">
        <v>245004.65</v>
      </c>
      <c r="Q17" s="68">
        <v>4980</v>
      </c>
      <c r="R17" s="68">
        <v>-46574</v>
      </c>
      <c r="S17" s="68">
        <v>127942</v>
      </c>
      <c r="T17" s="68">
        <v>174015</v>
      </c>
      <c r="U17" s="68">
        <v>79897</v>
      </c>
      <c r="V17" s="68">
        <v>90375</v>
      </c>
      <c r="W17" s="68">
        <v>197710</v>
      </c>
      <c r="X17" s="68">
        <v>346269</v>
      </c>
      <c r="Y17" s="68">
        <v>398202</v>
      </c>
      <c r="Z17" s="68">
        <v>329468</v>
      </c>
      <c r="AA17" s="68">
        <v>456681</v>
      </c>
      <c r="AB17" s="68">
        <v>202582</v>
      </c>
      <c r="AC17" s="68">
        <v>-26215</v>
      </c>
      <c r="AD17" s="68">
        <v>-30045</v>
      </c>
      <c r="AE17" s="68">
        <v>27468</v>
      </c>
      <c r="AF17" s="68">
        <v>-6497</v>
      </c>
      <c r="AG17" s="68">
        <v>73704</v>
      </c>
      <c r="AH17" s="68">
        <v>141783</v>
      </c>
      <c r="AI17" s="68">
        <v>173258</v>
      </c>
      <c r="AJ17" s="68">
        <v>266318</v>
      </c>
      <c r="AK17" s="68">
        <v>249953</v>
      </c>
      <c r="AL17" s="68">
        <v>348096</v>
      </c>
      <c r="AM17" s="68">
        <v>434077</v>
      </c>
      <c r="AN17" s="68">
        <v>141951</v>
      </c>
      <c r="AO17" s="68">
        <v>33622</v>
      </c>
      <c r="AP17" s="68">
        <v>21326</v>
      </c>
      <c r="AQ17" s="68">
        <v>77321</v>
      </c>
      <c r="AR17" s="68">
        <v>8524.2300000000105</v>
      </c>
      <c r="AS17" s="68">
        <v>281929.87</v>
      </c>
      <c r="AT17" s="68">
        <v>103662.08999999998</v>
      </c>
      <c r="AU17" s="68">
        <v>103739.56</v>
      </c>
      <c r="AV17" s="68">
        <v>274162.90999999997</v>
      </c>
      <c r="AW17" s="68">
        <v>474845.22</v>
      </c>
      <c r="AX17" s="68">
        <v>385751.4</v>
      </c>
      <c r="AY17" s="68">
        <v>349489.01</v>
      </c>
      <c r="AZ17" s="68">
        <f>AZ15+AZ16</f>
        <v>268474.34999999998</v>
      </c>
      <c r="BA17" s="68">
        <f t="shared" ref="BA17:CJ17" si="31">BA15+BA16</f>
        <v>216973</v>
      </c>
      <c r="BB17" s="68">
        <f t="shared" si="31"/>
        <v>184440.72999999998</v>
      </c>
      <c r="BC17" s="68">
        <f t="shared" si="31"/>
        <v>-170303.69</v>
      </c>
      <c r="BD17" s="68">
        <f t="shared" si="31"/>
        <v>244816.34</v>
      </c>
      <c r="BE17" s="68">
        <f t="shared" si="31"/>
        <v>155212.12000000005</v>
      </c>
      <c r="BF17" s="68">
        <f t="shared" si="31"/>
        <v>264833.45999999996</v>
      </c>
      <c r="BG17" s="68">
        <f t="shared" si="31"/>
        <v>428078.02999999997</v>
      </c>
      <c r="BH17" s="68">
        <f t="shared" si="31"/>
        <v>629213.38</v>
      </c>
      <c r="BI17" s="68">
        <f t="shared" si="31"/>
        <v>632006.07999999996</v>
      </c>
      <c r="BJ17" s="68">
        <f t="shared" si="31"/>
        <v>375227.51</v>
      </c>
      <c r="BK17" s="68">
        <f t="shared" si="31"/>
        <v>342002.45999999996</v>
      </c>
      <c r="BL17" s="68">
        <f t="shared" si="31"/>
        <v>503201.49</v>
      </c>
      <c r="BM17" s="68">
        <f t="shared" si="31"/>
        <v>463856.12</v>
      </c>
      <c r="BN17" s="68">
        <f t="shared" si="31"/>
        <v>266979</v>
      </c>
      <c r="BO17" s="68">
        <f t="shared" si="31"/>
        <v>911200</v>
      </c>
      <c r="BP17" s="68">
        <f t="shared" si="31"/>
        <v>-88216</v>
      </c>
      <c r="BQ17" s="68">
        <f t="shared" si="31"/>
        <v>178419</v>
      </c>
      <c r="BR17" s="68">
        <f t="shared" si="31"/>
        <v>281379.73</v>
      </c>
      <c r="BS17" s="68">
        <f t="shared" si="31"/>
        <v>256240</v>
      </c>
      <c r="BT17" s="68">
        <f t="shared" si="31"/>
        <v>372914</v>
      </c>
      <c r="BU17" s="68">
        <f t="shared" si="31"/>
        <v>373610</v>
      </c>
      <c r="BV17" s="68">
        <f t="shared" si="31"/>
        <v>454693</v>
      </c>
      <c r="BW17" s="68">
        <f t="shared" si="31"/>
        <v>474943</v>
      </c>
      <c r="BX17" s="68">
        <f t="shared" si="31"/>
        <v>290385</v>
      </c>
      <c r="BY17" s="68">
        <f t="shared" si="31"/>
        <v>205951</v>
      </c>
      <c r="BZ17" s="68">
        <f>BZ15+BZ16</f>
        <v>163216</v>
      </c>
      <c r="CA17" s="68">
        <f t="shared" si="31"/>
        <v>244679</v>
      </c>
      <c r="CB17" s="68">
        <f t="shared" si="31"/>
        <v>146757</v>
      </c>
      <c r="CC17" s="68">
        <f t="shared" si="31"/>
        <v>251684</v>
      </c>
      <c r="CD17" s="68">
        <f t="shared" si="31"/>
        <v>173153</v>
      </c>
      <c r="CE17" s="68">
        <f t="shared" si="31"/>
        <v>266738.28000000003</v>
      </c>
      <c r="CF17" s="68">
        <f t="shared" si="31"/>
        <v>398268</v>
      </c>
      <c r="CG17" s="68">
        <f t="shared" si="31"/>
        <v>418052</v>
      </c>
      <c r="CH17" s="68">
        <f t="shared" si="31"/>
        <v>288180</v>
      </c>
      <c r="CI17" s="68">
        <f t="shared" si="31"/>
        <v>395075</v>
      </c>
      <c r="CJ17" s="68">
        <f t="shared" si="31"/>
        <v>243650</v>
      </c>
      <c r="CK17" s="68">
        <f>CK15+CK16</f>
        <v>208296</v>
      </c>
      <c r="CL17" s="68">
        <v>807778</v>
      </c>
      <c r="CM17" s="68">
        <v>-147832</v>
      </c>
      <c r="CN17" s="68">
        <v>-275587</v>
      </c>
      <c r="CO17" s="68">
        <f t="shared" ref="CO17:DI17" si="32">CO15+CO16</f>
        <v>2778411.8288088264</v>
      </c>
      <c r="CP17" s="68">
        <f t="shared" si="32"/>
        <v>491889.22891999967</v>
      </c>
      <c r="CQ17" s="68">
        <f t="shared" si="32"/>
        <v>652782.9946399997</v>
      </c>
      <c r="CR17" s="68">
        <f t="shared" si="32"/>
        <v>1030060.4807599997</v>
      </c>
      <c r="CS17" s="68">
        <f t="shared" si="32"/>
        <v>683562.7830799995</v>
      </c>
      <c r="CT17" s="68">
        <f t="shared" si="32"/>
        <v>638894.26324000023</v>
      </c>
      <c r="CU17" s="68">
        <f t="shared" si="32"/>
        <v>561912.73535999842</v>
      </c>
      <c r="CV17" s="68">
        <f t="shared" si="32"/>
        <v>630337.12667999999</v>
      </c>
      <c r="CW17" s="68">
        <f t="shared" si="32"/>
        <v>576462.41396000038</v>
      </c>
      <c r="CX17" s="68">
        <f t="shared" si="32"/>
        <v>569623.58084000018</v>
      </c>
      <c r="CY17" s="68">
        <f t="shared" si="32"/>
        <v>607943.88139999984</v>
      </c>
      <c r="CZ17" s="68">
        <f t="shared" si="32"/>
        <v>675456.35779999988</v>
      </c>
      <c r="DA17" s="68">
        <f t="shared" si="32"/>
        <v>574959.05163</v>
      </c>
      <c r="DB17" s="68">
        <f t="shared" si="32"/>
        <v>582266.34788999998</v>
      </c>
      <c r="DC17" s="68">
        <f t="shared" si="32"/>
        <v>404815.25058000005</v>
      </c>
      <c r="DD17" s="68">
        <f t="shared" si="32"/>
        <v>469158.35036000004</v>
      </c>
      <c r="DE17" s="68">
        <f t="shared" si="32"/>
        <v>423953.26312000002</v>
      </c>
      <c r="DF17" s="68">
        <f t="shared" si="32"/>
        <v>359967.31977999996</v>
      </c>
      <c r="DG17" s="68">
        <f t="shared" si="32"/>
        <v>-11191.43968000001</v>
      </c>
      <c r="DH17" s="68">
        <f t="shared" si="32"/>
        <v>319745.13420599996</v>
      </c>
      <c r="DI17" s="68">
        <f t="shared" si="32"/>
        <v>312276.57717500004</v>
      </c>
      <c r="DJ17" s="68">
        <f>DJ15+DJ16</f>
        <v>308492.13908700005</v>
      </c>
      <c r="DK17" s="68">
        <f>DK15+DK16</f>
        <v>332277.50232000003</v>
      </c>
      <c r="DL17" s="68">
        <f>DL15+DL16</f>
        <v>371938.21444799996</v>
      </c>
      <c r="DM17" s="68">
        <f>DM15+DM16</f>
        <v>-1214534.0278658401</v>
      </c>
      <c r="DN17" s="68">
        <f>DN15+DN16</f>
        <v>480533.13999999996</v>
      </c>
      <c r="DO17" s="68">
        <f t="shared" ref="DO17:DZ17" si="33">DO15+DO16</f>
        <v>491745.91244161996</v>
      </c>
      <c r="DP17" s="68">
        <f t="shared" si="33"/>
        <v>458185.7434188599</v>
      </c>
      <c r="DQ17" s="68">
        <f t="shared" si="33"/>
        <v>781967.17613319203</v>
      </c>
      <c r="DR17" s="68">
        <f t="shared" si="33"/>
        <v>764710.80662541999</v>
      </c>
      <c r="DS17" s="68">
        <f t="shared" si="33"/>
        <v>678612.93477881991</v>
      </c>
      <c r="DT17" s="101">
        <f t="shared" si="33"/>
        <v>850402.85396765999</v>
      </c>
      <c r="DU17" s="101">
        <f t="shared" si="33"/>
        <v>539632.45000000007</v>
      </c>
      <c r="DV17" s="101">
        <f t="shared" si="33"/>
        <v>393999.21817989997</v>
      </c>
      <c r="DW17" s="101">
        <f t="shared" si="33"/>
        <v>420739.42400883004</v>
      </c>
      <c r="DX17" s="101">
        <f t="shared" si="33"/>
        <v>562769</v>
      </c>
      <c r="DY17" s="101">
        <f t="shared" si="33"/>
        <v>538663.00597516005</v>
      </c>
      <c r="DZ17" s="101">
        <f t="shared" si="33"/>
        <v>571550.06477796973</v>
      </c>
      <c r="EA17" s="101">
        <f>EA15+EA16</f>
        <v>556684.41609371942</v>
      </c>
      <c r="EB17" s="101">
        <f>EB15+EB16</f>
        <v>576405.55144016631</v>
      </c>
      <c r="EC17" s="101">
        <f>EC15+EC16</f>
        <v>560342.39486360503</v>
      </c>
      <c r="ED17" s="101">
        <f>ED15+ED16</f>
        <v>490175.2262549866</v>
      </c>
      <c r="EE17" s="101">
        <f>EE15+EE16</f>
        <v>607718.36846755492</v>
      </c>
      <c r="EF17" s="101">
        <f t="shared" ref="EF17:FC17" si="34">EF15+EF16</f>
        <v>574632.53897108044</v>
      </c>
      <c r="EG17" s="101">
        <f t="shared" si="34"/>
        <v>486320.32511145517</v>
      </c>
      <c r="EH17" s="101">
        <f t="shared" si="34"/>
        <v>451292.05330162623</v>
      </c>
      <c r="EI17" s="101">
        <f t="shared" si="34"/>
        <v>518358.93154310959</v>
      </c>
      <c r="EJ17" s="101">
        <f t="shared" si="34"/>
        <v>483819.80398365774</v>
      </c>
      <c r="EK17" s="101">
        <f t="shared" si="34"/>
        <v>486213.1034289269</v>
      </c>
      <c r="EL17" s="101">
        <f t="shared" si="34"/>
        <v>495813.26185111806</v>
      </c>
      <c r="EM17" s="101">
        <f t="shared" si="34"/>
        <v>457544.74031704001</v>
      </c>
      <c r="EN17" s="101">
        <f t="shared" si="34"/>
        <v>565906.79020471091</v>
      </c>
      <c r="EO17" s="101">
        <f t="shared" si="34"/>
        <v>510622.59346933092</v>
      </c>
      <c r="EP17" s="101">
        <f t="shared" si="34"/>
        <v>488866.29032087745</v>
      </c>
      <c r="EQ17" s="101">
        <f t="shared" si="34"/>
        <v>562792.63471113797</v>
      </c>
      <c r="ER17" s="101">
        <f t="shared" si="34"/>
        <v>535004.08548149921</v>
      </c>
      <c r="ES17" s="101">
        <f t="shared" si="34"/>
        <v>416854.43843605858</v>
      </c>
      <c r="ET17" s="101">
        <f t="shared" si="34"/>
        <v>394595.26702501392</v>
      </c>
      <c r="EU17" s="101">
        <f t="shared" si="34"/>
        <v>496259.70926835435</v>
      </c>
      <c r="EV17" s="101">
        <f t="shared" si="34"/>
        <v>476106.71931054629</v>
      </c>
      <c r="EW17" s="101">
        <f t="shared" si="34"/>
        <v>475209.16333124205</v>
      </c>
      <c r="EX17" s="101">
        <f t="shared" si="34"/>
        <v>481730.64659288572</v>
      </c>
      <c r="EY17" s="101">
        <f t="shared" si="34"/>
        <v>442112.22286058811</v>
      </c>
      <c r="EZ17" s="101">
        <f t="shared" si="34"/>
        <v>556668.1125194073</v>
      </c>
      <c r="FA17" s="101">
        <f t="shared" si="34"/>
        <v>492223.62028535106</v>
      </c>
      <c r="FB17" s="101">
        <f t="shared" si="34"/>
        <v>482058.76406671817</v>
      </c>
      <c r="FC17" s="101">
        <f t="shared" si="34"/>
        <v>547957.6769138379</v>
      </c>
    </row>
    <row r="18" spans="1:159" ht="15.6" hidden="1" x14ac:dyDescent="0.25">
      <c r="A18" s="60">
        <f t="shared" si="5"/>
        <v>15</v>
      </c>
      <c r="B18" s="34" t="s">
        <v>57</v>
      </c>
      <c r="C18" s="69">
        <v>2150814.0998083539</v>
      </c>
      <c r="D18" s="69">
        <v>266071</v>
      </c>
      <c r="E18" s="69">
        <v>266566</v>
      </c>
      <c r="F18" s="69">
        <v>267473</v>
      </c>
      <c r="G18" s="69">
        <v>256846</v>
      </c>
      <c r="H18" s="69">
        <v>266078</v>
      </c>
      <c r="I18" s="69">
        <v>287136</v>
      </c>
      <c r="J18" s="69">
        <v>356492</v>
      </c>
      <c r="K18" s="69">
        <v>539738</v>
      </c>
      <c r="L18" s="69">
        <v>785455</v>
      </c>
      <c r="M18" s="69">
        <v>1135941.06</v>
      </c>
      <c r="N18" s="69">
        <v>1513771.06</v>
      </c>
      <c r="O18" s="69">
        <v>1927203.96</v>
      </c>
      <c r="P18" s="69">
        <v>245004.65</v>
      </c>
      <c r="Q18" s="69">
        <v>249984.65</v>
      </c>
      <c r="R18" s="69">
        <v>203410.65</v>
      </c>
      <c r="S18" s="69">
        <v>331352.65000000002</v>
      </c>
      <c r="T18" s="69">
        <v>505367.65</v>
      </c>
      <c r="U18" s="69">
        <v>585264.65</v>
      </c>
      <c r="V18" s="69">
        <v>675639.65</v>
      </c>
      <c r="W18" s="69">
        <v>873349.65</v>
      </c>
      <c r="X18" s="69">
        <v>1219618.6499999999</v>
      </c>
      <c r="Y18" s="69">
        <v>1617820.65</v>
      </c>
      <c r="Z18" s="69">
        <v>1947288.65</v>
      </c>
      <c r="AA18" s="69">
        <v>2403969.65</v>
      </c>
      <c r="AB18" s="69">
        <v>202582</v>
      </c>
      <c r="AC18" s="69">
        <v>176367</v>
      </c>
      <c r="AD18" s="69">
        <v>146322</v>
      </c>
      <c r="AE18" s="69">
        <v>173790</v>
      </c>
      <c r="AF18" s="69">
        <v>167293</v>
      </c>
      <c r="AG18" s="69">
        <v>240997</v>
      </c>
      <c r="AH18" s="69">
        <v>382780</v>
      </c>
      <c r="AI18" s="69">
        <v>556038</v>
      </c>
      <c r="AJ18" s="69">
        <v>822356</v>
      </c>
      <c r="AK18" s="69">
        <v>1072309</v>
      </c>
      <c r="AL18" s="69">
        <v>1420405</v>
      </c>
      <c r="AM18" s="69">
        <v>1854482</v>
      </c>
      <c r="AN18" s="69">
        <v>141951</v>
      </c>
      <c r="AO18" s="69">
        <v>175573</v>
      </c>
      <c r="AP18" s="69">
        <v>196899</v>
      </c>
      <c r="AQ18" s="69">
        <v>274220</v>
      </c>
      <c r="AR18" s="69">
        <v>282744.23</v>
      </c>
      <c r="AS18" s="69">
        <v>564674.1</v>
      </c>
      <c r="AT18" s="69">
        <v>668336.18999999994</v>
      </c>
      <c r="AU18" s="69">
        <v>772075.75</v>
      </c>
      <c r="AV18" s="69">
        <v>1046238.6599999999</v>
      </c>
      <c r="AW18" s="69">
        <v>1521083.88</v>
      </c>
      <c r="AX18" s="69">
        <v>1906835.2799999998</v>
      </c>
      <c r="AY18" s="69">
        <v>2256324.29</v>
      </c>
      <c r="AZ18" s="69">
        <f>SUM($AZ$17:AZ17)</f>
        <v>268474.34999999998</v>
      </c>
      <c r="BA18" s="69">
        <f>SUM($AZ$17:BA17)</f>
        <v>485447.35</v>
      </c>
      <c r="BB18" s="69">
        <f>SUM($AZ$17:BB17)</f>
        <v>669888.07999999996</v>
      </c>
      <c r="BC18" s="69">
        <f>SUM($AZ$17:BC17)</f>
        <v>499584.38999999996</v>
      </c>
      <c r="BD18" s="69">
        <f>SUM($AZ$17:BD17)</f>
        <v>744400.73</v>
      </c>
      <c r="BE18" s="69">
        <f>SUM($AZ$17:BE17)</f>
        <v>899612.85000000009</v>
      </c>
      <c r="BF18" s="69">
        <f>SUM($AZ$17:BF17)</f>
        <v>1164446.31</v>
      </c>
      <c r="BG18" s="69">
        <f>SUM($AZ$17:BG17)</f>
        <v>1592524.34</v>
      </c>
      <c r="BH18" s="69">
        <f>SUM($AZ$17:BH17)</f>
        <v>2221737.7200000002</v>
      </c>
      <c r="BI18" s="69">
        <f>SUM($AZ$17:BI17)</f>
        <v>2853743.8000000003</v>
      </c>
      <c r="BJ18" s="69">
        <f>SUM($AZ$17:BJ17)</f>
        <v>3228971.3100000005</v>
      </c>
      <c r="BK18" s="69">
        <f>SUM($AZ$17:BK17)</f>
        <v>3570973.7700000005</v>
      </c>
      <c r="BL18" s="69">
        <f>SUM($BL17:BL17)</f>
        <v>503201.49</v>
      </c>
      <c r="BM18" s="69">
        <f>SUM($BL17:BM17)</f>
        <v>967057.61</v>
      </c>
      <c r="BN18" s="69">
        <f>SUM($BL17:BN17)</f>
        <v>1234036.6099999999</v>
      </c>
      <c r="BO18" s="69">
        <f>SUM($BL17:BO17)</f>
        <v>2145236.61</v>
      </c>
      <c r="BP18" s="69">
        <f>SUM($BL17:BP17)</f>
        <v>2057020.6099999999</v>
      </c>
      <c r="BQ18" s="69">
        <f>SUM($BL17:BQ17)</f>
        <v>2235439.61</v>
      </c>
      <c r="BR18" s="69">
        <f>SUM($BL17:BR17)</f>
        <v>2516819.34</v>
      </c>
      <c r="BS18" s="69">
        <f>SUM($BL17:BS17)</f>
        <v>2773059.34</v>
      </c>
      <c r="BT18" s="69">
        <f>SUM($BL17:BT17)</f>
        <v>3145973.34</v>
      </c>
      <c r="BU18" s="69">
        <f>SUM($BL17:BU17)</f>
        <v>3519583.34</v>
      </c>
      <c r="BV18" s="69">
        <f>SUM($BL17:BV17)</f>
        <v>3974276.34</v>
      </c>
      <c r="BW18" s="69">
        <f>SUM($BL17:BW17)</f>
        <v>4449219.34</v>
      </c>
      <c r="BX18" s="69">
        <f>SUM($BX17:BX17)</f>
        <v>290385</v>
      </c>
      <c r="BY18" s="69">
        <f>SUM($BX17:BY17)</f>
        <v>496336</v>
      </c>
      <c r="BZ18" s="69">
        <f>SUM($BX17:BZ17)</f>
        <v>659552</v>
      </c>
      <c r="CA18" s="69">
        <f>SUM($BX17:CA17)</f>
        <v>904231</v>
      </c>
      <c r="CB18" s="69">
        <f>SUM($BX17:CB17)</f>
        <v>1050988</v>
      </c>
      <c r="CC18" s="69">
        <f>SUM($BX17:CC17)</f>
        <v>1302672</v>
      </c>
      <c r="CD18" s="69">
        <f>SUM($BX17:CD17)</f>
        <v>1475825</v>
      </c>
      <c r="CE18" s="69">
        <f>SUM($BX17:CE17)</f>
        <v>1742563.28</v>
      </c>
      <c r="CF18" s="69">
        <f>SUM($BX17:CF17)</f>
        <v>2140831.2800000003</v>
      </c>
      <c r="CG18" s="69">
        <f>SUM($BX17:CG17)</f>
        <v>2558883.2800000003</v>
      </c>
      <c r="CH18" s="69">
        <f>SUM($BX17:CH17)</f>
        <v>2847063.2800000003</v>
      </c>
      <c r="CI18" s="69">
        <f>SUM($BX17:CI17)</f>
        <v>3242138.2800000003</v>
      </c>
      <c r="CJ18" s="69">
        <f>SUM($CJ17:CJ17)</f>
        <v>243650</v>
      </c>
      <c r="CK18" s="69">
        <f>SUM($CJ17:CK17)</f>
        <v>451946</v>
      </c>
      <c r="CL18" s="69">
        <f>SUM($CJ17:CL17)</f>
        <v>1259724</v>
      </c>
      <c r="CM18" s="69">
        <f>SUM($CJ17:CM17)</f>
        <v>1111892</v>
      </c>
      <c r="CN18" s="69">
        <f>SUM($CJ17:CN17)</f>
        <v>836305</v>
      </c>
      <c r="CO18" s="69">
        <f>SUM($CJ17:CO17)</f>
        <v>3614716.8288088264</v>
      </c>
      <c r="CP18" s="69">
        <f>SUM($CJ17:CP17)</f>
        <v>4106606.0577288261</v>
      </c>
      <c r="CQ18" s="69">
        <f>SUM($CJ17:CQ17)</f>
        <v>4759389.0523688253</v>
      </c>
      <c r="CR18" s="69">
        <f>SUM($CJ17:CR17)</f>
        <v>5789449.533128825</v>
      </c>
      <c r="CS18" s="69">
        <f>SUM($CJ17:CS17)</f>
        <v>6473012.3162088245</v>
      </c>
      <c r="CT18" s="69">
        <f>SUM($CJ17:CT17)</f>
        <v>7111906.5794488247</v>
      </c>
      <c r="CU18" s="69">
        <f>SUM($CJ17:CU17)</f>
        <v>7673819.3148088232</v>
      </c>
      <c r="CV18" s="69">
        <f>SUM($CV17:CV17)</f>
        <v>630337.12667999999</v>
      </c>
      <c r="CW18" s="69">
        <f>SUM($CV17:CW17)</f>
        <v>1206799.5406400003</v>
      </c>
      <c r="CX18" s="69">
        <f>SUM($CV17:CX17)</f>
        <v>1776423.1214800004</v>
      </c>
      <c r="CY18" s="69">
        <f>SUM($CV17:CY17)</f>
        <v>2384367.0028800005</v>
      </c>
      <c r="CZ18" s="69">
        <f>SUM($CV17:CZ17)</f>
        <v>3059823.3606800004</v>
      </c>
      <c r="DA18" s="69">
        <f>SUM($CV17:DA17)</f>
        <v>3634782.4123100005</v>
      </c>
      <c r="DB18" s="69">
        <f>SUM($CV17:DB17)</f>
        <v>4217048.7602000004</v>
      </c>
      <c r="DC18" s="69">
        <f>SUM($CV17:DC17)</f>
        <v>4621864.0107800001</v>
      </c>
      <c r="DD18" s="69">
        <f>SUM($CV17:DD17)</f>
        <v>5091022.3611399997</v>
      </c>
      <c r="DE18" s="69">
        <f>SUM($CV17:DE17)</f>
        <v>5514975.62426</v>
      </c>
      <c r="DF18" s="69">
        <f>SUM($CV17:DF17)</f>
        <v>5874942.9440399995</v>
      </c>
      <c r="DG18" s="69">
        <f>SUM($CV17:DG17)</f>
        <v>5863751.5043599997</v>
      </c>
      <c r="DH18" s="69">
        <f>SUM($DH17:DH17)</f>
        <v>319745.13420599996</v>
      </c>
      <c r="DI18" s="69">
        <f>SUM($DH17:DI17)</f>
        <v>632021.711381</v>
      </c>
      <c r="DJ18" s="69">
        <f>SUM($DH17:DJ17)</f>
        <v>940513.85046800005</v>
      </c>
      <c r="DK18" s="69">
        <f>SUM($DH17:DK17)</f>
        <v>1272791.3527880001</v>
      </c>
      <c r="DL18" s="69">
        <f>SUM($DH17:DL17)</f>
        <v>1644729.5672360002</v>
      </c>
      <c r="DM18" s="69">
        <f>SUM($DH17:DM17)</f>
        <v>430195.53937016008</v>
      </c>
      <c r="DN18" s="69">
        <f>SUM($DH17:DN17)</f>
        <v>910728.67937015998</v>
      </c>
      <c r="DO18" s="69">
        <f>SUM($DH17:DO17)</f>
        <v>1402474.5918117799</v>
      </c>
      <c r="DP18" s="69">
        <f>SUM($DH17:DP17)</f>
        <v>1860660.3352306397</v>
      </c>
      <c r="DQ18" s="69">
        <f>SUM($DH17:DQ17)</f>
        <v>2642627.5113638318</v>
      </c>
      <c r="DR18" s="69">
        <f>SUM($DH17:DR17)</f>
        <v>3407338.3179892516</v>
      </c>
      <c r="DS18" s="69">
        <f>SUM($DH17:DS17)</f>
        <v>4085951.2527680714</v>
      </c>
      <c r="DT18" s="102">
        <f>SUM($DT17:DT17)</f>
        <v>850402.85396765999</v>
      </c>
      <c r="DU18" s="102">
        <f>SUM($DT17:DU17)</f>
        <v>1390035.3039676601</v>
      </c>
      <c r="DV18" s="102">
        <f>SUM($DT17:DV17)</f>
        <v>1784034.52214756</v>
      </c>
      <c r="DW18" s="102">
        <f>SUM($DT17:DW17)</f>
        <v>2204773.94615639</v>
      </c>
      <c r="DX18" s="102">
        <f>SUM($DT17:DX17)</f>
        <v>2767542.94615639</v>
      </c>
      <c r="DY18" s="102">
        <f>SUM($DT17:DY17)</f>
        <v>3306205.9521315498</v>
      </c>
      <c r="DZ18" s="102">
        <f>SUM($DT17:DZ17)</f>
        <v>3877756.0169095197</v>
      </c>
      <c r="EA18" s="103">
        <f>SUM($DT17:EA17)</f>
        <v>4434440.4330032393</v>
      </c>
      <c r="EB18" s="103">
        <f>SUM($DT17:EB17)</f>
        <v>5010845.9844434056</v>
      </c>
      <c r="EC18" s="103">
        <f>SUM($DT17:EC17)</f>
        <v>5571188.3793070111</v>
      </c>
      <c r="ED18" s="103">
        <f>SUM($DT17:ED17)</f>
        <v>6061363.6055619977</v>
      </c>
      <c r="EE18" s="103">
        <f>SUM($DT17:EE17)</f>
        <v>6669081.9740295522</v>
      </c>
      <c r="EF18" s="103">
        <f>SUM($EF17:EF17)</f>
        <v>574632.53897108044</v>
      </c>
      <c r="EG18" s="103">
        <f>SUM($EF17:EG17)</f>
        <v>1060952.8640825357</v>
      </c>
      <c r="EH18" s="103">
        <f>SUM($EF17:EH17)</f>
        <v>1512244.9173841621</v>
      </c>
      <c r="EI18" s="103">
        <f>SUM($EF17:EI17)</f>
        <v>2030603.8489272716</v>
      </c>
      <c r="EJ18" s="103">
        <f>SUM($EF17:EJ17)</f>
        <v>2514423.6529109292</v>
      </c>
      <c r="EK18" s="103">
        <f>SUM($EF17:EK17)</f>
        <v>3000636.756339856</v>
      </c>
      <c r="EL18" s="103">
        <f>SUM($EF17:EL17)</f>
        <v>3496450.0181909739</v>
      </c>
      <c r="EM18" s="103">
        <f>SUM($EF17:EM17)</f>
        <v>3953994.758508014</v>
      </c>
      <c r="EN18" s="103">
        <f>SUM($EF17:EN17)</f>
        <v>4519901.5487127248</v>
      </c>
      <c r="EO18" s="103">
        <f>SUM($EF17:EO17)</f>
        <v>5030524.1421820559</v>
      </c>
      <c r="EP18" s="103">
        <f>SUM($EF17:EP17)</f>
        <v>5519390.4325029328</v>
      </c>
      <c r="EQ18" s="103">
        <f>SUM($EF17:EQ17)</f>
        <v>6082183.0672140708</v>
      </c>
      <c r="ER18" s="103">
        <f>SUM($ER17:ER17)</f>
        <v>535004.08548149921</v>
      </c>
      <c r="ES18" s="103">
        <f>SUM($ER17:ES17)</f>
        <v>951858.52391755779</v>
      </c>
      <c r="ET18" s="103">
        <f>SUM($ER17:ET17)</f>
        <v>1346453.7909425716</v>
      </c>
      <c r="EU18" s="103">
        <f>SUM($ER17:EU17)</f>
        <v>1842713.5002109259</v>
      </c>
      <c r="EV18" s="103">
        <f>SUM($ER17:EV17)</f>
        <v>2318820.2195214722</v>
      </c>
      <c r="EW18" s="103">
        <f>SUM($ER17:EW17)</f>
        <v>2794029.3828527145</v>
      </c>
      <c r="EX18" s="103">
        <f>SUM($ER17:EX17)</f>
        <v>3275760.0294456002</v>
      </c>
      <c r="EY18" s="103">
        <f>SUM($ER17:EY17)</f>
        <v>3717872.2523061885</v>
      </c>
      <c r="EZ18" s="103">
        <f>SUM($ER17:EZ17)</f>
        <v>4274540.3648255961</v>
      </c>
      <c r="FA18" s="103">
        <f>SUM($ER17:FA17)</f>
        <v>4766763.9851109469</v>
      </c>
      <c r="FB18" s="103">
        <f>SUM($ER17:FB17)</f>
        <v>5248822.7491776654</v>
      </c>
      <c r="FC18" s="103">
        <f>SUM($ER17:FC17)</f>
        <v>5796780.4260915034</v>
      </c>
    </row>
    <row r="19" spans="1:159" ht="15.6" hidden="1" x14ac:dyDescent="0.25">
      <c r="A19" s="60">
        <f t="shared" si="5"/>
        <v>16</v>
      </c>
      <c r="B19" s="28" t="s">
        <v>58</v>
      </c>
      <c r="C19" s="70">
        <v>595917.66259568185</v>
      </c>
      <c r="D19" s="70">
        <v>424009.28624014353</v>
      </c>
      <c r="E19" s="70">
        <v>79970.595018822321</v>
      </c>
      <c r="F19" s="70">
        <v>71497.662579176947</v>
      </c>
      <c r="G19" s="70">
        <v>228900.33055760033</v>
      </c>
      <c r="H19" s="70">
        <v>251325.77648599254</v>
      </c>
      <c r="I19" s="70">
        <v>274805.14459719544</v>
      </c>
      <c r="J19" s="70">
        <v>253642.95411746384</v>
      </c>
      <c r="K19" s="70">
        <v>170836.64884589514</v>
      </c>
      <c r="L19" s="70">
        <v>339036.23252967774</v>
      </c>
      <c r="M19" s="70">
        <v>398499.58044853498</v>
      </c>
      <c r="N19" s="70">
        <v>303296.53111106646</v>
      </c>
      <c r="O19" s="70">
        <v>267135.91655972006</v>
      </c>
      <c r="P19" s="70">
        <v>296196.37103320064</v>
      </c>
      <c r="Q19" s="70">
        <v>16820.082800999342</v>
      </c>
      <c r="R19" s="70">
        <v>23807.40105573996</v>
      </c>
      <c r="S19" s="70">
        <v>18358.44994738471</v>
      </c>
      <c r="T19" s="70">
        <v>44024.553356335935</v>
      </c>
      <c r="U19" s="70">
        <v>45031.927089830802</v>
      </c>
      <c r="V19" s="70">
        <v>74435.0641171397</v>
      </c>
      <c r="W19" s="70">
        <v>200710.6553451808</v>
      </c>
      <c r="X19" s="70">
        <v>262171.48152329668</v>
      </c>
      <c r="Y19" s="70">
        <v>443804.43088346825</v>
      </c>
      <c r="Z19" s="70">
        <v>393188.23965771624</v>
      </c>
      <c r="AA19" s="70">
        <v>421064.83789431828</v>
      </c>
      <c r="AB19" s="70">
        <v>214218</v>
      </c>
      <c r="AC19" s="70">
        <v>26222</v>
      </c>
      <c r="AD19" s="70">
        <v>-19717</v>
      </c>
      <c r="AE19" s="70">
        <v>149927</v>
      </c>
      <c r="AF19" s="70">
        <v>56015</v>
      </c>
      <c r="AG19" s="70">
        <v>101936</v>
      </c>
      <c r="AH19" s="70">
        <v>89099</v>
      </c>
      <c r="AI19" s="70">
        <v>219088</v>
      </c>
      <c r="AJ19" s="70">
        <v>350590</v>
      </c>
      <c r="AK19" s="70">
        <v>426822</v>
      </c>
      <c r="AL19" s="70">
        <v>427669</v>
      </c>
      <c r="AM19" s="70">
        <v>459231</v>
      </c>
      <c r="AN19" s="70">
        <v>218352.90969619396</v>
      </c>
      <c r="AO19" s="70">
        <v>28261.969336727081</v>
      </c>
      <c r="AP19" s="70">
        <v>-19422.754656418168</v>
      </c>
      <c r="AQ19" s="70">
        <v>160908.50953384326</v>
      </c>
      <c r="AR19" s="70">
        <v>72942.99889486935</v>
      </c>
      <c r="AS19" s="70">
        <v>108135.94112263076</v>
      </c>
      <c r="AT19" s="70">
        <v>88404.60251881124</v>
      </c>
      <c r="AU19" s="70">
        <v>327155.34681028157</v>
      </c>
      <c r="AV19" s="70">
        <v>376084.96727344202</v>
      </c>
      <c r="AW19" s="70">
        <v>442703.5178156097</v>
      </c>
      <c r="AX19" s="70">
        <v>483872.30439668905</v>
      </c>
      <c r="AY19" s="70">
        <v>518990.88918639277</v>
      </c>
      <c r="AZ19" s="70">
        <v>207288.02877842111</v>
      </c>
      <c r="BA19" s="70">
        <v>29399.414539887715</v>
      </c>
      <c r="BB19" s="70">
        <v>-15845.62572751494</v>
      </c>
      <c r="BC19" s="70">
        <v>240964.77334325874</v>
      </c>
      <c r="BD19" s="70">
        <v>168657.73832022975</v>
      </c>
      <c r="BE19" s="70">
        <v>47110.488688525249</v>
      </c>
      <c r="BF19" s="70">
        <v>85428.205494435271</v>
      </c>
      <c r="BG19" s="70">
        <v>308358.09909868333</v>
      </c>
      <c r="BH19" s="70">
        <v>371892.01576694153</v>
      </c>
      <c r="BI19" s="70">
        <v>411053.09029420634</v>
      </c>
      <c r="BJ19" s="70">
        <v>442707.71440040186</v>
      </c>
      <c r="BK19" s="70">
        <v>434774.79188272095</v>
      </c>
      <c r="BL19" s="70">
        <v>207288.40452616836</v>
      </c>
      <c r="BM19" s="70">
        <v>29398.5480429296</v>
      </c>
      <c r="BN19" s="70">
        <v>-16362.043017663644</v>
      </c>
      <c r="BO19" s="70">
        <v>241480.98464549801</v>
      </c>
      <c r="BP19" s="70">
        <v>168658.69169842399</v>
      </c>
      <c r="BQ19" s="70">
        <v>47110.056678535497</v>
      </c>
      <c r="BR19" s="70">
        <v>85428</v>
      </c>
      <c r="BS19" s="70">
        <v>308358.33594703203</v>
      </c>
      <c r="BT19" s="70">
        <v>371891.96032199264</v>
      </c>
      <c r="BU19" s="70">
        <v>411053.85429268703</v>
      </c>
      <c r="BV19" s="70">
        <v>442707.1035044755</v>
      </c>
      <c r="BW19" s="70">
        <v>442707.10350447497</v>
      </c>
      <c r="BX19" s="70">
        <v>363068.70716370817</v>
      </c>
      <c r="BY19" s="70">
        <v>289599.77926292788</v>
      </c>
      <c r="BZ19" s="70">
        <v>308749.15314030298</v>
      </c>
      <c r="CA19" s="70">
        <v>334039.91487054026</v>
      </c>
      <c r="CB19" s="70">
        <v>310117.76666067034</v>
      </c>
      <c r="CC19" s="70">
        <v>345387.72123097553</v>
      </c>
      <c r="CD19" s="70">
        <v>336703.72383819002</v>
      </c>
      <c r="CE19" s="70">
        <v>336932.24</v>
      </c>
      <c r="CF19" s="70">
        <v>385644.00116039714</v>
      </c>
      <c r="CG19" s="70">
        <v>352046.98738501972</v>
      </c>
      <c r="CH19" s="70">
        <v>322259.72837317345</v>
      </c>
      <c r="CI19" s="70">
        <v>417370.32440892601</v>
      </c>
      <c r="CJ19" s="70">
        <v>292678.8280955407</v>
      </c>
      <c r="CK19" s="70">
        <v>201168.62061378249</v>
      </c>
      <c r="CL19" s="70">
        <v>181072.33802735346</v>
      </c>
      <c r="CM19" s="70">
        <v>271966.90646312217</v>
      </c>
      <c r="CN19" s="70">
        <v>221552.99388321111</v>
      </c>
      <c r="CO19" s="70">
        <v>242462.32215194701</v>
      </c>
      <c r="CP19" s="70">
        <v>208857.77622472844</v>
      </c>
      <c r="CQ19" s="70">
        <v>246593.22327834909</v>
      </c>
      <c r="CR19" s="70">
        <v>370306.61660292634</v>
      </c>
      <c r="CS19" s="70">
        <v>419038.55291213235</v>
      </c>
      <c r="CT19" s="70">
        <v>346466.54065896623</v>
      </c>
      <c r="CU19" s="70">
        <v>456101.61029971624</v>
      </c>
      <c r="CV19" s="70">
        <v>781333.26017876551</v>
      </c>
      <c r="CW19" s="70">
        <v>597258.05636022182</v>
      </c>
      <c r="CX19" s="70">
        <v>607445.31456959667</v>
      </c>
      <c r="CY19" s="70">
        <v>415762.14700747409</v>
      </c>
      <c r="CZ19" s="70">
        <v>418467.11074487492</v>
      </c>
      <c r="DA19" s="70">
        <v>485531.27922837646</v>
      </c>
      <c r="DB19" s="70">
        <v>396389.11291813804</v>
      </c>
      <c r="DC19" s="70">
        <v>-331275.45721419784</v>
      </c>
      <c r="DD19" s="70">
        <v>395549.99305139692</v>
      </c>
      <c r="DE19" s="70">
        <v>299121.63087533589</v>
      </c>
      <c r="DF19" s="70">
        <v>234174.16796730401</v>
      </c>
      <c r="DG19" s="70">
        <v>412786.86960720364</v>
      </c>
      <c r="DH19" s="70">
        <v>319486.17155482358</v>
      </c>
      <c r="DI19" s="70">
        <v>297208.50247497601</v>
      </c>
      <c r="DJ19" s="70">
        <v>292113.39939014782</v>
      </c>
      <c r="DK19" s="70">
        <v>292338.87057534669</v>
      </c>
      <c r="DL19" s="70">
        <v>322682.16893494624</v>
      </c>
      <c r="DM19" s="70">
        <v>371875.85293143638</v>
      </c>
      <c r="DN19" s="70">
        <v>367383.62371764187</v>
      </c>
      <c r="DO19" s="70">
        <v>366833.48686461925</v>
      </c>
      <c r="DP19" s="70">
        <v>-1624646.3771527063</v>
      </c>
      <c r="DQ19" s="70">
        <v>346478.73810778908</v>
      </c>
      <c r="DR19" s="70">
        <v>293178.98455774668</v>
      </c>
      <c r="DS19" s="70">
        <v>279496.40019137744</v>
      </c>
      <c r="DT19" s="104">
        <v>400938.2045285629</v>
      </c>
      <c r="DU19" s="104">
        <v>135512.21715052164</v>
      </c>
      <c r="DV19" s="104">
        <v>56761.280904859479</v>
      </c>
      <c r="DW19" s="104">
        <v>284740.84967929329</v>
      </c>
      <c r="DX19" s="104">
        <v>100799.81441531627</v>
      </c>
      <c r="DY19" s="104">
        <v>218184.25053000794</v>
      </c>
      <c r="DZ19" s="104">
        <v>188951.85224280803</v>
      </c>
      <c r="EA19" s="104">
        <v>263802.8980697316</v>
      </c>
      <c r="EB19" s="104">
        <v>448481.54386849207</v>
      </c>
      <c r="EC19" s="104">
        <v>527661.93191571685</v>
      </c>
      <c r="ED19" s="104">
        <v>348962.7655452473</v>
      </c>
      <c r="EE19" s="104">
        <v>525202.74861199944</v>
      </c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</row>
    <row r="20" spans="1:159" ht="15.6" hidden="1" x14ac:dyDescent="0.25">
      <c r="A20" s="60">
        <f t="shared" si="5"/>
        <v>17</v>
      </c>
      <c r="B20" s="35" t="s">
        <v>59</v>
      </c>
      <c r="C20" s="69">
        <v>6104041.6274322215</v>
      </c>
      <c r="D20" s="69">
        <v>424009.28624014353</v>
      </c>
      <c r="E20" s="69">
        <v>503979.88125896582</v>
      </c>
      <c r="F20" s="69">
        <v>575477.54383814277</v>
      </c>
      <c r="G20" s="69">
        <v>804377.87439574313</v>
      </c>
      <c r="H20" s="69">
        <v>1055703.6508817356</v>
      </c>
      <c r="I20" s="69">
        <v>1330508.7954789312</v>
      </c>
      <c r="J20" s="69">
        <v>1584151.7495963951</v>
      </c>
      <c r="K20" s="69">
        <v>1754988.3984422903</v>
      </c>
      <c r="L20" s="69">
        <v>2094024.6309719679</v>
      </c>
      <c r="M20" s="69">
        <v>2492524.211420503</v>
      </c>
      <c r="N20" s="69">
        <v>2795820.7425315697</v>
      </c>
      <c r="O20" s="69">
        <v>3062956.6590912896</v>
      </c>
      <c r="P20" s="69">
        <v>296196.37103320064</v>
      </c>
      <c r="Q20" s="69">
        <v>313016.45383419999</v>
      </c>
      <c r="R20" s="69">
        <v>336823.85488993995</v>
      </c>
      <c r="S20" s="69">
        <v>355182.30483732466</v>
      </c>
      <c r="T20" s="69">
        <v>399206.85819366062</v>
      </c>
      <c r="U20" s="69">
        <v>444238.78528349142</v>
      </c>
      <c r="V20" s="69">
        <v>518673.84940063115</v>
      </c>
      <c r="W20" s="69">
        <v>719384.50474581192</v>
      </c>
      <c r="X20" s="69">
        <v>981555.9862691086</v>
      </c>
      <c r="Y20" s="69">
        <v>1425360.4171525768</v>
      </c>
      <c r="Z20" s="69">
        <v>1818548.656810293</v>
      </c>
      <c r="AA20" s="69">
        <v>2239613.4947046111</v>
      </c>
      <c r="AB20" s="69">
        <v>214218</v>
      </c>
      <c r="AC20" s="69">
        <v>240440</v>
      </c>
      <c r="AD20" s="69">
        <v>220723</v>
      </c>
      <c r="AE20" s="69">
        <v>370650</v>
      </c>
      <c r="AF20" s="69">
        <v>426665</v>
      </c>
      <c r="AG20" s="69">
        <v>528601</v>
      </c>
      <c r="AH20" s="69">
        <v>617700</v>
      </c>
      <c r="AI20" s="69">
        <v>836788</v>
      </c>
      <c r="AJ20" s="69">
        <v>1187378</v>
      </c>
      <c r="AK20" s="69">
        <v>1614200</v>
      </c>
      <c r="AL20" s="69">
        <v>2041869</v>
      </c>
      <c r="AM20" s="69">
        <v>2501100</v>
      </c>
      <c r="AN20" s="69">
        <v>218352.90969619396</v>
      </c>
      <c r="AO20" s="69">
        <v>246614.87903292105</v>
      </c>
      <c r="AP20" s="69">
        <v>227192.12437650288</v>
      </c>
      <c r="AQ20" s="69">
        <v>388100.63391034614</v>
      </c>
      <c r="AR20" s="69">
        <v>461043.63280521549</v>
      </c>
      <c r="AS20" s="69">
        <v>569179.57392784627</v>
      </c>
      <c r="AT20" s="69">
        <v>657584.17644665751</v>
      </c>
      <c r="AU20" s="69">
        <v>984739.52325693914</v>
      </c>
      <c r="AV20" s="69">
        <v>1360824.4905303812</v>
      </c>
      <c r="AW20" s="69">
        <v>1803528.0083459909</v>
      </c>
      <c r="AX20" s="69">
        <v>2287400.3127426798</v>
      </c>
      <c r="AY20" s="69">
        <v>2806391.2019290728</v>
      </c>
      <c r="AZ20" s="69">
        <f>SUM($AZ$19:AZ19)</f>
        <v>207288.02877842111</v>
      </c>
      <c r="BA20" s="69">
        <f>SUM($AZ$19:BA19)</f>
        <v>236687.44331830883</v>
      </c>
      <c r="BB20" s="69">
        <f>SUM($AZ$19:BB19)</f>
        <v>220841.81759079389</v>
      </c>
      <c r="BC20" s="69">
        <f>SUM($AZ$19:BC19)</f>
        <v>461806.5909340526</v>
      </c>
      <c r="BD20" s="69">
        <f>SUM($AZ$19:BD19)</f>
        <v>630464.32925428241</v>
      </c>
      <c r="BE20" s="69">
        <f>SUM($AZ$19:BE19)</f>
        <v>677574.81794280768</v>
      </c>
      <c r="BF20" s="69">
        <f>SUM($AZ$19:BF19)</f>
        <v>763003.02343724295</v>
      </c>
      <c r="BG20" s="69">
        <f>SUM($AZ$19:BG19)</f>
        <v>1071361.1225359263</v>
      </c>
      <c r="BH20" s="69">
        <f>SUM($AZ$19:BH19)</f>
        <v>1443253.1383028678</v>
      </c>
      <c r="BI20" s="69">
        <f>SUM($AZ$19:BI19)</f>
        <v>1854306.228597074</v>
      </c>
      <c r="BJ20" s="69">
        <f>SUM($AZ$19:BJ19)</f>
        <v>2297013.9429974761</v>
      </c>
      <c r="BK20" s="69">
        <f>SUM($AZ$19:BK19)</f>
        <v>2731788.7348801969</v>
      </c>
      <c r="BL20" s="69">
        <f>SUM($BL19:BL19)</f>
        <v>207288.40452616836</v>
      </c>
      <c r="BM20" s="69">
        <f>SUM($BL19:BM19)</f>
        <v>236686.95256909798</v>
      </c>
      <c r="BN20" s="69">
        <f>SUM($BL19:BN19)</f>
        <v>220324.90955143434</v>
      </c>
      <c r="BO20" s="69">
        <f>SUM($BL19:BO19)</f>
        <v>461805.89419693232</v>
      </c>
      <c r="BP20" s="69">
        <f>SUM($BL19:BP19)</f>
        <v>630464.58589535626</v>
      </c>
      <c r="BQ20" s="69">
        <f>SUM($BL19:BQ19)</f>
        <v>677574.64257389179</v>
      </c>
      <c r="BR20" s="69">
        <f>SUM($BL19:BR19)</f>
        <v>763002.64257389179</v>
      </c>
      <c r="BS20" s="69">
        <f>SUM($BL19:BS19)</f>
        <v>1071360.9785209238</v>
      </c>
      <c r="BT20" s="69">
        <f>SUM($BL19:BT19)</f>
        <v>1443252.9388429164</v>
      </c>
      <c r="BU20" s="69">
        <f>SUM($BL19:BU19)</f>
        <v>1854306.7931356034</v>
      </c>
      <c r="BV20" s="69">
        <f>SUM($BL19:BV19)</f>
        <v>2297013.8966400791</v>
      </c>
      <c r="BW20" s="69">
        <f>SUM($BL19:BW19)</f>
        <v>2739721.0001445543</v>
      </c>
      <c r="BX20" s="69">
        <f>SUM($BX19:BX19)</f>
        <v>363068.70716370817</v>
      </c>
      <c r="BY20" s="69">
        <f>SUM($BX19:BY19)</f>
        <v>652668.48642663611</v>
      </c>
      <c r="BZ20" s="69">
        <f>SUM($BX19:BZ19)</f>
        <v>961417.63956693909</v>
      </c>
      <c r="CA20" s="69">
        <f>SUM($BX19:CA19)</f>
        <v>1295457.5544374795</v>
      </c>
      <c r="CB20" s="69">
        <f>SUM($BX19:CB19)</f>
        <v>1605575.3210981498</v>
      </c>
      <c r="CC20" s="69">
        <f>SUM($BX19:CC19)</f>
        <v>1950963.0423291253</v>
      </c>
      <c r="CD20" s="69">
        <f>SUM($BX19:CD19)</f>
        <v>2287666.7661673152</v>
      </c>
      <c r="CE20" s="69">
        <f>SUM($BX19:CE19)</f>
        <v>2624599.0061673149</v>
      </c>
      <c r="CF20" s="69">
        <f>SUM($BX19:CF19)</f>
        <v>3010243.0073277121</v>
      </c>
      <c r="CG20" s="69">
        <f>SUM($BX19:CG19)</f>
        <v>3362289.9947127318</v>
      </c>
      <c r="CH20" s="69">
        <f>SUM($BX19:CH19)</f>
        <v>3684549.7230859054</v>
      </c>
      <c r="CI20" s="69">
        <f>SUM($BX19:CI19)</f>
        <v>4101920.0474948315</v>
      </c>
      <c r="CJ20" s="69">
        <f>SUM($CJ19:CJ19)</f>
        <v>292678.8280955407</v>
      </c>
      <c r="CK20" s="69">
        <f>SUM($CJ19:CK19)</f>
        <v>493847.44870932319</v>
      </c>
      <c r="CL20" s="69">
        <f>SUM($CJ19:CL19)</f>
        <v>674919.7867366767</v>
      </c>
      <c r="CM20" s="69">
        <f>SUM($CJ19:CM19)</f>
        <v>946886.69319979893</v>
      </c>
      <c r="CN20" s="69">
        <f>SUM($CJ19:CN19)</f>
        <v>1168439.6870830101</v>
      </c>
      <c r="CO20" s="69">
        <f>SUM($CJ19:CO19)</f>
        <v>1410902.0092349572</v>
      </c>
      <c r="CP20" s="69">
        <f>SUM($CJ19:CP19)</f>
        <v>1619759.7854596856</v>
      </c>
      <c r="CQ20" s="69">
        <f>SUM($CJ19:CQ19)</f>
        <v>1866353.0087380346</v>
      </c>
      <c r="CR20" s="69">
        <f>SUM($CJ19:CR19)</f>
        <v>2236659.6253409609</v>
      </c>
      <c r="CS20" s="69">
        <f>SUM($CJ19:CS19)</f>
        <v>2655698.1782530933</v>
      </c>
      <c r="CT20" s="69">
        <f>SUM($CJ19:CT19)</f>
        <v>3002164.7189120594</v>
      </c>
      <c r="CU20" s="69">
        <f>SUM($CJ19:CU19)</f>
        <v>3458266.3292117757</v>
      </c>
      <c r="CV20" s="69">
        <f>SUM($CV19:CV19)</f>
        <v>781333.26017876551</v>
      </c>
      <c r="CW20" s="69">
        <f>SUM($CV19:CW19)</f>
        <v>1378591.3165389872</v>
      </c>
      <c r="CX20" s="69">
        <f>SUM($CV19:CX19)</f>
        <v>1986036.6311085839</v>
      </c>
      <c r="CY20" s="69">
        <f>SUM($CV19:CY19)</f>
        <v>2401798.7781160581</v>
      </c>
      <c r="CZ20" s="69">
        <f>SUM($CV19:CZ19)</f>
        <v>2820265.888860933</v>
      </c>
      <c r="DA20" s="69">
        <f>SUM($CV19:DA19)</f>
        <v>3305797.1680893097</v>
      </c>
      <c r="DB20" s="69">
        <f>SUM($CV19:DB19)</f>
        <v>3702186.2810074477</v>
      </c>
      <c r="DC20" s="69">
        <f>SUM($CV19:DC19)</f>
        <v>3370910.8237932501</v>
      </c>
      <c r="DD20" s="69">
        <f>SUM($CV19:DD19)</f>
        <v>3766460.8168446468</v>
      </c>
      <c r="DE20" s="69">
        <f>SUM($CV19:DE19)</f>
        <v>4065582.4477199828</v>
      </c>
      <c r="DF20" s="69">
        <f>SUM($CV19:DF19)</f>
        <v>4299756.6156872865</v>
      </c>
      <c r="DG20" s="69">
        <f>SUM($CV19:DG19)</f>
        <v>4712543.4852944901</v>
      </c>
      <c r="DH20" s="69">
        <f>SUM($DH19:DH19)</f>
        <v>319486.17155482358</v>
      </c>
      <c r="DI20" s="69">
        <f>SUM($DH19:DI19)</f>
        <v>616694.67402979964</v>
      </c>
      <c r="DJ20" s="69">
        <f>SUM($DH19:DJ19)</f>
        <v>908808.07341994741</v>
      </c>
      <c r="DK20" s="69">
        <f>SUM($DH19:DK19)</f>
        <v>1201146.9439952942</v>
      </c>
      <c r="DL20" s="69">
        <f>SUM($DH19:DL19)</f>
        <v>1523829.1129302403</v>
      </c>
      <c r="DM20" s="69">
        <f>SUM($DH19:DM19)</f>
        <v>1895704.9658616767</v>
      </c>
      <c r="DN20" s="69">
        <f>SUM($DH19:DN19)</f>
        <v>2263088.5895793187</v>
      </c>
      <c r="DO20" s="69">
        <f>SUM($DH19:DO19)</f>
        <v>2629922.0764439381</v>
      </c>
      <c r="DP20" s="69">
        <f>SUM($DH19:DP19)</f>
        <v>1005275.6992912318</v>
      </c>
      <c r="DQ20" s="69">
        <f>SUM($DH19:DQ19)</f>
        <v>1351754.4373990209</v>
      </c>
      <c r="DR20" s="69">
        <f>SUM($DH19:DR19)</f>
        <v>1644933.4219567676</v>
      </c>
      <c r="DS20" s="69">
        <f>SUM($DH19:DS19)</f>
        <v>1924429.8221481449</v>
      </c>
      <c r="DT20" s="102">
        <f>SUM($DT19:DT19)</f>
        <v>400938.2045285629</v>
      </c>
      <c r="DU20" s="102">
        <f>SUM($DT19:DU19)</f>
        <v>536450.42167908454</v>
      </c>
      <c r="DV20" s="102">
        <f>SUM($DT19:DV19)</f>
        <v>593211.70258394396</v>
      </c>
      <c r="DW20" s="102">
        <f>SUM($DT19:DW19)</f>
        <v>877952.5522632373</v>
      </c>
      <c r="DX20" s="102">
        <f>SUM($DT19:DX19)</f>
        <v>978752.36667855363</v>
      </c>
      <c r="DY20" s="102">
        <f>SUM($DT19:DY19)</f>
        <v>1196936.6172085616</v>
      </c>
      <c r="DZ20" s="102">
        <f>SUM($DT19:DZ19)</f>
        <v>1385888.4694513697</v>
      </c>
      <c r="EA20" s="103">
        <f>SUM($DT19:EA19)</f>
        <v>1649691.3675211014</v>
      </c>
      <c r="EB20" s="103">
        <f>SUM($DT19:EB19)</f>
        <v>2098172.9113895935</v>
      </c>
      <c r="EC20" s="103">
        <f>SUM($DT19:EC19)</f>
        <v>2625834.8433053102</v>
      </c>
      <c r="ED20" s="103">
        <f>SUM($DT19:ED19)</f>
        <v>2974797.6088505574</v>
      </c>
      <c r="EE20" s="103">
        <f>SUM($DT19:EE19)</f>
        <v>3500000.357462557</v>
      </c>
      <c r="EF20" s="103">
        <f>SUM($EF19:EF19)</f>
        <v>0</v>
      </c>
      <c r="EG20" s="103">
        <f>SUM($EF19:EG19)</f>
        <v>0</v>
      </c>
      <c r="EH20" s="103">
        <f>SUM($EF19:EH19)</f>
        <v>0</v>
      </c>
      <c r="EI20" s="103">
        <f>SUM($EF19:EI19)</f>
        <v>0</v>
      </c>
      <c r="EJ20" s="103">
        <f>SUM($EF19:EJ19)</f>
        <v>0</v>
      </c>
      <c r="EK20" s="103">
        <f>SUM($EF19:EK19)</f>
        <v>0</v>
      </c>
      <c r="EL20" s="103">
        <f>SUM($EF19:EL19)</f>
        <v>0</v>
      </c>
      <c r="EM20" s="103">
        <f>SUM($EF19:EM19)</f>
        <v>0</v>
      </c>
      <c r="EN20" s="103">
        <f>SUM($EF19:EN19)</f>
        <v>0</v>
      </c>
      <c r="EO20" s="103">
        <f>SUM($EF19:EO19)</f>
        <v>0</v>
      </c>
      <c r="EP20" s="103">
        <f>SUM($EF19:EP19)</f>
        <v>0</v>
      </c>
      <c r="EQ20" s="103">
        <f>SUM($EF19:EQ19)</f>
        <v>0</v>
      </c>
      <c r="ER20" s="103">
        <f>SUM($EF19:ER19)</f>
        <v>0</v>
      </c>
      <c r="ES20" s="103">
        <f>SUM($EF19:ES19)</f>
        <v>0</v>
      </c>
      <c r="ET20" s="103">
        <f>SUM($EF19:ET19)</f>
        <v>0</v>
      </c>
      <c r="EU20" s="103">
        <f>SUM($EF19:EU19)</f>
        <v>0</v>
      </c>
      <c r="EV20" s="103">
        <f>SUM($EF19:EV19)</f>
        <v>0</v>
      </c>
      <c r="EW20" s="103">
        <f>SUM($EF19:EW19)</f>
        <v>0</v>
      </c>
      <c r="EX20" s="103">
        <f>SUM($EF19:EX19)</f>
        <v>0</v>
      </c>
      <c r="EY20" s="103">
        <f>SUM($EF19:EY19)</f>
        <v>0</v>
      </c>
      <c r="EZ20" s="103">
        <f>SUM($EF19:EZ19)</f>
        <v>0</v>
      </c>
      <c r="FA20" s="103">
        <f>SUM($EF19:FA19)</f>
        <v>0</v>
      </c>
      <c r="FB20" s="103">
        <f>SUM($EF19:FB19)</f>
        <v>0</v>
      </c>
      <c r="FC20" s="103">
        <f>SUM($EF19:FC19)</f>
        <v>0</v>
      </c>
    </row>
    <row r="21" spans="1:159" ht="15.6" hidden="1" x14ac:dyDescent="0.25">
      <c r="A21" s="60">
        <f t="shared" si="5"/>
        <v>18</v>
      </c>
      <c r="B21" s="33" t="s">
        <v>60</v>
      </c>
      <c r="C21" s="62">
        <v>3953227.5276238676</v>
      </c>
      <c r="D21" s="62">
        <v>157938.28624014353</v>
      </c>
      <c r="E21" s="62">
        <v>237413.88125896582</v>
      </c>
      <c r="F21" s="62">
        <v>308004.54383814277</v>
      </c>
      <c r="G21" s="62">
        <v>547531.87439574313</v>
      </c>
      <c r="H21" s="62">
        <v>789625.65088173561</v>
      </c>
      <c r="I21" s="62">
        <v>1043372.7954789312</v>
      </c>
      <c r="J21" s="62">
        <v>1227659.7495963951</v>
      </c>
      <c r="K21" s="62">
        <v>1215250.3984422903</v>
      </c>
      <c r="L21" s="62">
        <v>1308569.6309719679</v>
      </c>
      <c r="M21" s="62">
        <v>1356583.1514205029</v>
      </c>
      <c r="N21" s="62">
        <v>1282049.6825315696</v>
      </c>
      <c r="O21" s="62">
        <v>1135752.6990912897</v>
      </c>
      <c r="P21" s="62">
        <v>51191.721033200651</v>
      </c>
      <c r="Q21" s="62">
        <v>63031.803834199993</v>
      </c>
      <c r="R21" s="62">
        <v>133413.20488993995</v>
      </c>
      <c r="S21" s="62">
        <v>23829.654837324633</v>
      </c>
      <c r="T21" s="62">
        <v>-106160.7918063394</v>
      </c>
      <c r="U21" s="62">
        <v>-141025.8647165086</v>
      </c>
      <c r="V21" s="62">
        <v>-156965.80059936887</v>
      </c>
      <c r="W21" s="62">
        <v>-153965.1452541881</v>
      </c>
      <c r="X21" s="62">
        <v>-238062.66373089131</v>
      </c>
      <c r="Y21" s="62">
        <v>-192460.23284742306</v>
      </c>
      <c r="Z21" s="62">
        <v>-128739.99318970693</v>
      </c>
      <c r="AA21" s="62">
        <v>-164356.15529538877</v>
      </c>
      <c r="AB21" s="62">
        <v>11636</v>
      </c>
      <c r="AC21" s="62">
        <v>64073</v>
      </c>
      <c r="AD21" s="62">
        <v>74401</v>
      </c>
      <c r="AE21" s="62">
        <v>196860</v>
      </c>
      <c r="AF21" s="62">
        <v>259372</v>
      </c>
      <c r="AG21" s="62">
        <v>287604</v>
      </c>
      <c r="AH21" s="62">
        <v>234920</v>
      </c>
      <c r="AI21" s="62">
        <v>280750</v>
      </c>
      <c r="AJ21" s="62">
        <v>365022</v>
      </c>
      <c r="AK21" s="62">
        <v>541891</v>
      </c>
      <c r="AL21" s="62">
        <v>621464</v>
      </c>
      <c r="AM21" s="62">
        <v>646618</v>
      </c>
      <c r="AN21" s="62">
        <v>76401.909696193965</v>
      </c>
      <c r="AO21" s="62">
        <v>71041.879032921046</v>
      </c>
      <c r="AP21" s="62">
        <v>30293.124376502878</v>
      </c>
      <c r="AQ21" s="62">
        <v>113880.63391034614</v>
      </c>
      <c r="AR21" s="62">
        <v>178299.4028052155</v>
      </c>
      <c r="AS21" s="62">
        <v>4505.4739278462948</v>
      </c>
      <c r="AT21" s="62">
        <v>-10752.013553342433</v>
      </c>
      <c r="AU21" s="62">
        <v>212663.77325693914</v>
      </c>
      <c r="AV21" s="62">
        <v>314585.8305303813</v>
      </c>
      <c r="AW21" s="62">
        <v>282444.12834599102</v>
      </c>
      <c r="AX21" s="62">
        <v>380565.03274268005</v>
      </c>
      <c r="AY21" s="63">
        <v>550066.91192907281</v>
      </c>
      <c r="AZ21" s="62">
        <f>AZ20-AZ18</f>
        <v>-61186.321221578866</v>
      </c>
      <c r="BA21" s="62">
        <f t="shared" ref="BA21:CH21" si="35">BA20-BA18</f>
        <v>-248759.90668169115</v>
      </c>
      <c r="BB21" s="62">
        <f t="shared" si="35"/>
        <v>-449046.26240920607</v>
      </c>
      <c r="BC21" s="62">
        <f t="shared" si="35"/>
        <v>-37777.799065947358</v>
      </c>
      <c r="BD21" s="62">
        <f t="shared" si="35"/>
        <v>-113936.40074571758</v>
      </c>
      <c r="BE21" s="62">
        <f t="shared" si="35"/>
        <v>-222038.03205719241</v>
      </c>
      <c r="BF21" s="62">
        <f t="shared" si="35"/>
        <v>-401443.2865627571</v>
      </c>
      <c r="BG21" s="62">
        <f t="shared" si="35"/>
        <v>-521163.21746407379</v>
      </c>
      <c r="BH21" s="62">
        <f t="shared" si="35"/>
        <v>-778484.58169713244</v>
      </c>
      <c r="BI21" s="62">
        <f t="shared" si="35"/>
        <v>-999437.57140292623</v>
      </c>
      <c r="BJ21" s="62">
        <f t="shared" si="35"/>
        <v>-931957.36700252444</v>
      </c>
      <c r="BK21" s="62">
        <f t="shared" si="35"/>
        <v>-839185.03511980362</v>
      </c>
      <c r="BL21" s="72">
        <f t="shared" si="35"/>
        <v>-295913.08547383163</v>
      </c>
      <c r="BM21" s="72">
        <f t="shared" si="35"/>
        <v>-730370.65743090201</v>
      </c>
      <c r="BN21" s="72">
        <f t="shared" si="35"/>
        <v>-1013711.7004485655</v>
      </c>
      <c r="BO21" s="72">
        <f t="shared" si="35"/>
        <v>-1683430.7158030677</v>
      </c>
      <c r="BP21" s="72">
        <f t="shared" si="35"/>
        <v>-1426556.0241046436</v>
      </c>
      <c r="BQ21" s="72">
        <f t="shared" si="35"/>
        <v>-1557864.9674261082</v>
      </c>
      <c r="BR21" s="72">
        <f t="shared" si="35"/>
        <v>-1753816.6974261082</v>
      </c>
      <c r="BS21" s="72">
        <f t="shared" si="35"/>
        <v>-1701698.3614790761</v>
      </c>
      <c r="BT21" s="72">
        <f t="shared" si="35"/>
        <v>-1702720.4011570835</v>
      </c>
      <c r="BU21" s="72">
        <f t="shared" si="35"/>
        <v>-1665276.5468643964</v>
      </c>
      <c r="BV21" s="72">
        <f t="shared" si="35"/>
        <v>-1677262.4433599208</v>
      </c>
      <c r="BW21" s="72">
        <f t="shared" si="35"/>
        <v>-1709498.3398554455</v>
      </c>
      <c r="BX21" s="72">
        <f t="shared" si="35"/>
        <v>72683.707163708168</v>
      </c>
      <c r="BY21" s="72">
        <f t="shared" si="35"/>
        <v>156332.48642663611</v>
      </c>
      <c r="BZ21" s="72">
        <f t="shared" si="35"/>
        <v>301865.63956693909</v>
      </c>
      <c r="CA21" s="72">
        <f t="shared" si="35"/>
        <v>391226.55443747947</v>
      </c>
      <c r="CB21" s="72">
        <f t="shared" si="35"/>
        <v>554587.32109814975</v>
      </c>
      <c r="CC21" s="72">
        <f t="shared" si="35"/>
        <v>648291.04232912534</v>
      </c>
      <c r="CD21" s="72">
        <f t="shared" si="35"/>
        <v>811841.76616731519</v>
      </c>
      <c r="CE21" s="72">
        <f t="shared" si="35"/>
        <v>882035.72616731492</v>
      </c>
      <c r="CF21" s="72">
        <f t="shared" si="35"/>
        <v>869411.72732771188</v>
      </c>
      <c r="CG21" s="72">
        <f t="shared" si="35"/>
        <v>803406.71471273154</v>
      </c>
      <c r="CH21" s="72">
        <f t="shared" si="35"/>
        <v>837486.44308590516</v>
      </c>
      <c r="CI21" s="72">
        <f>CI20-CI18</f>
        <v>859781.76749483123</v>
      </c>
      <c r="CJ21" s="72">
        <f>CJ20-CJ18</f>
        <v>49028.828095540695</v>
      </c>
      <c r="CK21" s="72">
        <f t="shared" ref="CK21:CP21" si="36">CK20-CK18</f>
        <v>41901.448709323187</v>
      </c>
      <c r="CL21" s="72">
        <f t="shared" si="36"/>
        <v>-584804.2132633233</v>
      </c>
      <c r="CM21" s="72">
        <f t="shared" si="36"/>
        <v>-165005.30680020107</v>
      </c>
      <c r="CN21" s="72">
        <f t="shared" si="36"/>
        <v>332134.6870830101</v>
      </c>
      <c r="CO21" s="72">
        <f t="shared" si="36"/>
        <v>-2203814.819573869</v>
      </c>
      <c r="CP21" s="72">
        <f t="shared" si="36"/>
        <v>-2486846.2722691405</v>
      </c>
      <c r="CQ21" s="72">
        <f>CQ20-CQ18</f>
        <v>-2893036.0436307909</v>
      </c>
      <c r="CR21" s="72">
        <f>CR20-CR18</f>
        <v>-3552789.9077878641</v>
      </c>
      <c r="CS21" s="72">
        <f>CS20-CS18</f>
        <v>-3817314.1379557312</v>
      </c>
      <c r="CT21" s="72">
        <f>CT20-CT18</f>
        <v>-4109741.8605367653</v>
      </c>
      <c r="CU21" s="72">
        <f t="shared" ref="CU21:DI21" si="37">CU20-CU18</f>
        <v>-4215552.985597048</v>
      </c>
      <c r="CV21" s="72">
        <f t="shared" si="37"/>
        <v>150996.13349876553</v>
      </c>
      <c r="CW21" s="72">
        <f t="shared" si="37"/>
        <v>171791.77589898696</v>
      </c>
      <c r="CX21" s="72">
        <f t="shared" si="37"/>
        <v>209613.50962858344</v>
      </c>
      <c r="CY21" s="72">
        <f t="shared" si="37"/>
        <v>17431.775236057583</v>
      </c>
      <c r="CZ21" s="72">
        <f t="shared" si="37"/>
        <v>-239557.47181906737</v>
      </c>
      <c r="DA21" s="72">
        <f t="shared" si="37"/>
        <v>-328985.2442206908</v>
      </c>
      <c r="DB21" s="72">
        <f t="shared" si="37"/>
        <v>-514862.47919255262</v>
      </c>
      <c r="DC21" s="72">
        <f t="shared" si="37"/>
        <v>-1250953.18698675</v>
      </c>
      <c r="DD21" s="72">
        <f t="shared" si="37"/>
        <v>-1324561.5442953529</v>
      </c>
      <c r="DE21" s="72">
        <f t="shared" si="37"/>
        <v>-1449393.1765400171</v>
      </c>
      <c r="DF21" s="72">
        <f t="shared" si="37"/>
        <v>-1575186.328352713</v>
      </c>
      <c r="DG21" s="72">
        <f t="shared" si="37"/>
        <v>-1151208.0190655096</v>
      </c>
      <c r="DH21" s="72">
        <f t="shared" si="37"/>
        <v>-258.96265117637813</v>
      </c>
      <c r="DI21" s="72">
        <f t="shared" si="37"/>
        <v>-15327.037351200357</v>
      </c>
      <c r="DJ21" s="72">
        <f>DJ20-DJ18</f>
        <v>-31705.777048052638</v>
      </c>
      <c r="DK21" s="72">
        <f>DK20-DK18</f>
        <v>-71644.408792705974</v>
      </c>
      <c r="DL21" s="72">
        <f>DL20-DL18</f>
        <v>-120900.45430575986</v>
      </c>
      <c r="DM21" s="72">
        <f>DM20-DM18</f>
        <v>1465509.4264915166</v>
      </c>
      <c r="DN21" s="72">
        <f>DN20-DN18</f>
        <v>1352359.9102091587</v>
      </c>
      <c r="DO21" s="72">
        <f t="shared" ref="DO21:DZ21" si="38">DO20-DO18</f>
        <v>1227447.4846321582</v>
      </c>
      <c r="DP21" s="72">
        <f t="shared" si="38"/>
        <v>-855384.63593940786</v>
      </c>
      <c r="DQ21" s="72">
        <f t="shared" si="38"/>
        <v>-1290873.0739648109</v>
      </c>
      <c r="DR21" s="72">
        <f t="shared" si="38"/>
        <v>-1762404.896032484</v>
      </c>
      <c r="DS21" s="72">
        <f t="shared" si="38"/>
        <v>-2161521.4306199262</v>
      </c>
      <c r="DT21" s="105">
        <f t="shared" si="38"/>
        <v>-449464.64943909709</v>
      </c>
      <c r="DU21" s="105">
        <f t="shared" si="38"/>
        <v>-853584.88228857552</v>
      </c>
      <c r="DV21" s="105">
        <f t="shared" si="38"/>
        <v>-1190822.8195636161</v>
      </c>
      <c r="DW21" s="105">
        <f t="shared" si="38"/>
        <v>-1326821.3938931527</v>
      </c>
      <c r="DX21" s="105">
        <f t="shared" si="38"/>
        <v>-1788790.5794778364</v>
      </c>
      <c r="DY21" s="105">
        <f t="shared" si="38"/>
        <v>-2109269.334922988</v>
      </c>
      <c r="DZ21" s="105">
        <f t="shared" si="38"/>
        <v>-2491867.54745815</v>
      </c>
      <c r="EA21" s="105">
        <f>EA20-EA18</f>
        <v>-2784749.0654821377</v>
      </c>
      <c r="EB21" s="105">
        <f>EB20-EB18</f>
        <v>-2912673.0730538121</v>
      </c>
      <c r="EC21" s="105">
        <f>EC20-EC18</f>
        <v>-2945353.5360017009</v>
      </c>
      <c r="ED21" s="105">
        <f>ED20-ED18</f>
        <v>-3086565.9967114404</v>
      </c>
      <c r="EE21" s="105">
        <f>EE20-EE18</f>
        <v>-3169081.6165669952</v>
      </c>
      <c r="EF21" s="105">
        <f t="shared" ref="EF21:FC21" si="39">EF20-EF18</f>
        <v>-574632.53897108044</v>
      </c>
      <c r="EG21" s="105">
        <f t="shared" si="39"/>
        <v>-1060952.8640825357</v>
      </c>
      <c r="EH21" s="105">
        <f t="shared" si="39"/>
        <v>-1512244.9173841621</v>
      </c>
      <c r="EI21" s="105">
        <f t="shared" si="39"/>
        <v>-2030603.8489272716</v>
      </c>
      <c r="EJ21" s="105">
        <f t="shared" si="39"/>
        <v>-2514423.6529109292</v>
      </c>
      <c r="EK21" s="105">
        <f t="shared" si="39"/>
        <v>-3000636.756339856</v>
      </c>
      <c r="EL21" s="105">
        <f t="shared" si="39"/>
        <v>-3496450.0181909739</v>
      </c>
      <c r="EM21" s="105">
        <f t="shared" si="39"/>
        <v>-3953994.758508014</v>
      </c>
      <c r="EN21" s="105">
        <f t="shared" si="39"/>
        <v>-4519901.5487127248</v>
      </c>
      <c r="EO21" s="105">
        <f t="shared" si="39"/>
        <v>-5030524.1421820559</v>
      </c>
      <c r="EP21" s="105">
        <f t="shared" si="39"/>
        <v>-5519390.4325029328</v>
      </c>
      <c r="EQ21" s="105">
        <f t="shared" si="39"/>
        <v>-6082183.0672140708</v>
      </c>
      <c r="ER21" s="105">
        <f t="shared" si="39"/>
        <v>-535004.08548149921</v>
      </c>
      <c r="ES21" s="105">
        <f t="shared" si="39"/>
        <v>-951858.52391755779</v>
      </c>
      <c r="ET21" s="105">
        <f t="shared" si="39"/>
        <v>-1346453.7909425716</v>
      </c>
      <c r="EU21" s="105">
        <f t="shared" si="39"/>
        <v>-1842713.5002109259</v>
      </c>
      <c r="EV21" s="105">
        <f t="shared" si="39"/>
        <v>-2318820.2195214722</v>
      </c>
      <c r="EW21" s="105">
        <f t="shared" si="39"/>
        <v>-2794029.3828527145</v>
      </c>
      <c r="EX21" s="105">
        <f t="shared" si="39"/>
        <v>-3275760.0294456002</v>
      </c>
      <c r="EY21" s="105">
        <f t="shared" si="39"/>
        <v>-3717872.2523061885</v>
      </c>
      <c r="EZ21" s="105">
        <f t="shared" si="39"/>
        <v>-4274540.3648255961</v>
      </c>
      <c r="FA21" s="105">
        <f t="shared" si="39"/>
        <v>-4766763.9851109469</v>
      </c>
      <c r="FB21" s="105">
        <f t="shared" si="39"/>
        <v>-5248822.7491776654</v>
      </c>
      <c r="FC21" s="105">
        <f t="shared" si="39"/>
        <v>-5796780.4260915034</v>
      </c>
    </row>
    <row r="22" spans="1:159" ht="15.6" hidden="1" x14ac:dyDescent="0.25">
      <c r="A22" s="60">
        <f t="shared" si="5"/>
        <v>19</v>
      </c>
      <c r="B22" s="22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36"/>
      <c r="BH22" s="36"/>
      <c r="BI22" s="36"/>
      <c r="BJ22" s="36"/>
      <c r="BK22" s="36"/>
      <c r="BL22" s="36"/>
      <c r="BM22" s="36"/>
      <c r="BN22" s="36"/>
      <c r="BO22" s="66"/>
      <c r="BP22" s="66"/>
      <c r="BQ22" s="66"/>
      <c r="BR22" s="66"/>
      <c r="BS22" s="66"/>
      <c r="BT22" s="66"/>
      <c r="BU22" s="66"/>
      <c r="BV22" s="66"/>
      <c r="BW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</row>
    <row r="23" spans="1:159" ht="15.6" hidden="1" x14ac:dyDescent="0.25">
      <c r="A23" s="60">
        <f t="shared" si="5"/>
        <v>20</v>
      </c>
      <c r="B23" s="22" t="s">
        <v>61</v>
      </c>
      <c r="C23" s="36">
        <v>200907000</v>
      </c>
      <c r="D23" s="36">
        <v>196898000</v>
      </c>
      <c r="E23" s="36">
        <v>186305000</v>
      </c>
      <c r="F23" s="36">
        <v>173059000</v>
      </c>
      <c r="G23" s="36">
        <v>174171000</v>
      </c>
      <c r="H23" s="36">
        <v>202983000</v>
      </c>
      <c r="I23" s="36">
        <v>227529000</v>
      </c>
      <c r="J23" s="36">
        <v>245303000</v>
      </c>
      <c r="K23" s="36">
        <v>244901000</v>
      </c>
      <c r="L23" s="36">
        <v>249782000</v>
      </c>
      <c r="M23" s="36">
        <v>221754000</v>
      </c>
      <c r="N23" s="36">
        <v>194403000</v>
      </c>
      <c r="O23" s="36">
        <v>185336000</v>
      </c>
      <c r="P23" s="36">
        <v>194967000</v>
      </c>
      <c r="Q23" s="36">
        <v>181166000</v>
      </c>
      <c r="R23" s="36">
        <v>173390000</v>
      </c>
      <c r="S23" s="36">
        <v>177075000</v>
      </c>
      <c r="T23" s="36">
        <v>200257000</v>
      </c>
      <c r="U23" s="36">
        <v>230877000</v>
      </c>
      <c r="V23" s="36">
        <v>239401000</v>
      </c>
      <c r="W23" s="36">
        <v>242561000</v>
      </c>
      <c r="X23" s="36">
        <v>252107000</v>
      </c>
      <c r="Y23" s="36">
        <v>227299000</v>
      </c>
      <c r="Z23" s="36">
        <v>201139000</v>
      </c>
      <c r="AA23" s="36">
        <v>185681000</v>
      </c>
      <c r="AB23" s="36">
        <v>203295750</v>
      </c>
      <c r="AC23" s="36">
        <v>170731200</v>
      </c>
      <c r="AD23" s="36">
        <v>172014600</v>
      </c>
      <c r="AE23" s="36">
        <v>178687700</v>
      </c>
      <c r="AF23" s="36">
        <v>202783300</v>
      </c>
      <c r="AG23" s="36">
        <v>233629500</v>
      </c>
      <c r="AH23" s="36">
        <v>239115600</v>
      </c>
      <c r="AI23" s="36">
        <v>252949300</v>
      </c>
      <c r="AJ23" s="36">
        <v>259100000</v>
      </c>
      <c r="AK23" s="36">
        <v>278416889.46600002</v>
      </c>
      <c r="AL23" s="36">
        <v>197569600</v>
      </c>
      <c r="AM23" s="36">
        <v>189614300</v>
      </c>
      <c r="AN23" s="36">
        <v>196714426</v>
      </c>
      <c r="AO23" s="36">
        <v>186728350</v>
      </c>
      <c r="AP23" s="36">
        <v>186095951</v>
      </c>
      <c r="AQ23" s="36">
        <v>202450878</v>
      </c>
      <c r="AR23" s="36">
        <v>239466634</v>
      </c>
      <c r="AS23" s="36">
        <v>247024895</v>
      </c>
      <c r="AT23" s="36">
        <v>251811163</v>
      </c>
      <c r="AU23" s="36">
        <v>266287307</v>
      </c>
      <c r="AV23" s="36">
        <v>256610400</v>
      </c>
      <c r="AW23" s="36">
        <v>214413300</v>
      </c>
      <c r="AX23" s="36">
        <v>205458100</v>
      </c>
      <c r="AY23" s="36">
        <v>194933100</v>
      </c>
      <c r="AZ23" s="36">
        <f>+AZ37</f>
        <v>199043188</v>
      </c>
      <c r="BA23" s="36">
        <v>183875466</v>
      </c>
      <c r="BB23" s="36">
        <v>171516200</v>
      </c>
      <c r="BC23" s="36">
        <f>+BC37</f>
        <v>186853809.67000002</v>
      </c>
      <c r="BD23" s="36">
        <v>215225360</v>
      </c>
      <c r="BE23" s="36">
        <v>227942633</v>
      </c>
      <c r="BF23" s="36">
        <f>+BE23</f>
        <v>227942633</v>
      </c>
      <c r="BG23" s="36">
        <f t="shared" ref="BG23:CP23" si="40">+BG37</f>
        <v>241649328.94</v>
      </c>
      <c r="BH23" s="36">
        <f t="shared" si="40"/>
        <v>257554381.44999999</v>
      </c>
      <c r="BI23" s="36">
        <f t="shared" si="40"/>
        <v>228983374.65000001</v>
      </c>
      <c r="BJ23" s="36">
        <f t="shared" si="40"/>
        <v>194420416.38</v>
      </c>
      <c r="BK23" s="36">
        <f t="shared" si="40"/>
        <v>186716853.24000001</v>
      </c>
      <c r="BL23" s="36">
        <f t="shared" si="40"/>
        <v>195270719.7854735</v>
      </c>
      <c r="BM23" s="36">
        <f t="shared" si="40"/>
        <v>184273505.92840606</v>
      </c>
      <c r="BN23" s="36">
        <f t="shared" si="40"/>
        <v>181172247.72132209</v>
      </c>
      <c r="BO23" s="27">
        <f t="shared" si="40"/>
        <v>185712649.69846004</v>
      </c>
      <c r="BP23" s="27">
        <f t="shared" si="40"/>
        <v>199338803.99098012</v>
      </c>
      <c r="BQ23" s="27">
        <f t="shared" si="40"/>
        <v>226347002.92788851</v>
      </c>
      <c r="BR23" s="27">
        <f t="shared" si="40"/>
        <v>241860230.88367841</v>
      </c>
      <c r="BS23" s="27">
        <f t="shared" si="40"/>
        <v>240930331.91284317</v>
      </c>
      <c r="BT23" s="27">
        <f t="shared" si="40"/>
        <v>269789507.47247279</v>
      </c>
      <c r="BU23" s="27">
        <f t="shared" si="40"/>
        <v>237421501.31210586</v>
      </c>
      <c r="BV23" s="27">
        <f t="shared" si="40"/>
        <v>208991460.56272668</v>
      </c>
      <c r="BW23" s="27">
        <f t="shared" si="40"/>
        <v>198950670.49957073</v>
      </c>
      <c r="BX23" s="27">
        <f t="shared" si="40"/>
        <v>189908337.361</v>
      </c>
      <c r="BY23" s="27">
        <f t="shared" si="40"/>
        <v>181837244.655</v>
      </c>
      <c r="BZ23" s="27">
        <f t="shared" si="40"/>
        <v>178751693.93565169</v>
      </c>
      <c r="CA23" s="27">
        <f t="shared" si="40"/>
        <v>193967203.03516483</v>
      </c>
      <c r="CB23" s="27">
        <f t="shared" si="40"/>
        <v>225958225.72514156</v>
      </c>
      <c r="CC23" s="27">
        <f t="shared" si="40"/>
        <v>255898466.41327474</v>
      </c>
      <c r="CD23" s="27">
        <f t="shared" si="40"/>
        <v>252385587</v>
      </c>
      <c r="CE23" s="27">
        <f t="shared" si="40"/>
        <v>254257270.41321</v>
      </c>
      <c r="CF23" s="27">
        <f t="shared" si="40"/>
        <v>264248213.75299999</v>
      </c>
      <c r="CG23" s="27">
        <f t="shared" si="40"/>
        <v>239062633.79617301</v>
      </c>
      <c r="CH23" s="27">
        <f t="shared" si="40"/>
        <v>216897204.40156075</v>
      </c>
      <c r="CI23" s="27">
        <f t="shared" si="40"/>
        <v>186670575</v>
      </c>
      <c r="CJ23" s="27">
        <f t="shared" si="40"/>
        <v>180680783.55567604</v>
      </c>
      <c r="CK23" s="27">
        <f t="shared" si="40"/>
        <v>190100574.21779633</v>
      </c>
      <c r="CL23" s="27">
        <f t="shared" si="40"/>
        <v>202561400.09276795</v>
      </c>
      <c r="CM23" s="27">
        <f t="shared" si="40"/>
        <v>214365383.41266745</v>
      </c>
      <c r="CN23" s="27">
        <f t="shared" si="40"/>
        <v>221794583.15453812</v>
      </c>
      <c r="CO23" s="27">
        <f t="shared" si="40"/>
        <v>239863283.37009305</v>
      </c>
      <c r="CP23" s="27">
        <f t="shared" si="40"/>
        <v>253342121.21371347</v>
      </c>
      <c r="CQ23" s="27">
        <f>+CQ37</f>
        <v>254677306.71737221</v>
      </c>
      <c r="CR23" s="27">
        <f>+CR37</f>
        <v>264617456.57813844</v>
      </c>
      <c r="CS23" s="27">
        <f>+CS37</f>
        <v>245600357.38637617</v>
      </c>
      <c r="CT23" s="27">
        <f>+CT37</f>
        <v>220669408.41900176</v>
      </c>
      <c r="CU23" s="27">
        <f t="shared" ref="CU23:FC23" si="41">+CU37</f>
        <v>202158411.70603776</v>
      </c>
      <c r="CV23" s="27">
        <f t="shared" si="41"/>
        <v>210063284.24094146</v>
      </c>
      <c r="CW23" s="27">
        <f t="shared" si="41"/>
        <v>202709568.99266127</v>
      </c>
      <c r="CX23" s="27">
        <f t="shared" si="41"/>
        <v>194127114.34049273</v>
      </c>
      <c r="CY23" s="27">
        <f t="shared" si="41"/>
        <v>201252971.16421703</v>
      </c>
      <c r="CZ23" s="27">
        <f t="shared" si="41"/>
        <v>238132806.76475263</v>
      </c>
      <c r="DA23" s="27">
        <f t="shared" si="41"/>
        <v>259410211.13740206</v>
      </c>
      <c r="DB23" s="27">
        <f t="shared" si="41"/>
        <v>271135317.45633</v>
      </c>
      <c r="DC23" s="27">
        <f t="shared" si="41"/>
        <v>280636843.42966896</v>
      </c>
      <c r="DD23" s="27">
        <f t="shared" si="41"/>
        <v>294083941.75602031</v>
      </c>
      <c r="DE23" s="27">
        <f t="shared" si="41"/>
        <v>282891118.04961526</v>
      </c>
      <c r="DF23" s="27">
        <f t="shared" si="41"/>
        <v>232854077.71322718</v>
      </c>
      <c r="DG23" s="27">
        <f t="shared" si="41"/>
        <v>231800530.56102684</v>
      </c>
      <c r="DH23" s="27">
        <f t="shared" si="41"/>
        <v>240658952.48008311</v>
      </c>
      <c r="DI23" s="27">
        <f t="shared" si="41"/>
        <v>234954529.50466916</v>
      </c>
      <c r="DJ23" s="27">
        <f t="shared" si="41"/>
        <v>224413905.43246907</v>
      </c>
      <c r="DK23" s="27">
        <f t="shared" si="41"/>
        <v>248272132.0812183</v>
      </c>
      <c r="DL23" s="27">
        <f t="shared" si="41"/>
        <v>285364299.31489778</v>
      </c>
      <c r="DM23" s="27">
        <f t="shared" si="41"/>
        <v>313947913.05004579</v>
      </c>
      <c r="DN23" s="27">
        <f t="shared" si="41"/>
        <v>346084710.21506256</v>
      </c>
      <c r="DO23" s="27">
        <f t="shared" si="41"/>
        <v>329731242.63763267</v>
      </c>
      <c r="DP23" s="27">
        <f t="shared" si="41"/>
        <v>330050338.58599389</v>
      </c>
      <c r="DQ23" s="27">
        <f t="shared" si="41"/>
        <v>296418788.80652004</v>
      </c>
      <c r="DR23" s="27">
        <f t="shared" si="41"/>
        <v>272868646.67958498</v>
      </c>
      <c r="DS23" s="27">
        <f t="shared" si="41"/>
        <v>265198148.21853784</v>
      </c>
      <c r="DT23" s="27">
        <f t="shared" si="41"/>
        <v>312089723.05335075</v>
      </c>
      <c r="DU23" s="27">
        <f t="shared" si="41"/>
        <v>284084636.76478153</v>
      </c>
      <c r="DV23" s="27">
        <f t="shared" si="41"/>
        <v>285509643.19333005</v>
      </c>
      <c r="DW23" s="27">
        <f t="shared" si="41"/>
        <v>337329461.17479247</v>
      </c>
      <c r="DX23" s="27">
        <f t="shared" si="41"/>
        <v>346493794.20380169</v>
      </c>
      <c r="DY23" s="27">
        <f t="shared" si="41"/>
        <v>388331659.92679679</v>
      </c>
      <c r="DZ23" s="27">
        <f t="shared" si="41"/>
        <v>433799607.54498088</v>
      </c>
      <c r="EA23" s="27">
        <f t="shared" si="41"/>
        <v>417861095.2120167</v>
      </c>
      <c r="EB23" s="27">
        <f t="shared" si="41"/>
        <v>421526396.98246807</v>
      </c>
      <c r="EC23" s="27">
        <f t="shared" si="41"/>
        <v>390158035.00470829</v>
      </c>
      <c r="ED23" s="27">
        <f t="shared" si="41"/>
        <v>328941702.72551078</v>
      </c>
      <c r="EE23" s="27">
        <f t="shared" si="41"/>
        <v>306910996.96795881</v>
      </c>
      <c r="EF23" s="27">
        <f t="shared" si="41"/>
        <v>294612608.86306781</v>
      </c>
      <c r="EG23" s="27">
        <f t="shared" si="41"/>
        <v>279020667.01505435</v>
      </c>
      <c r="EH23" s="27">
        <f t="shared" si="41"/>
        <v>260481475.68521941</v>
      </c>
      <c r="EI23" s="27">
        <f t="shared" si="41"/>
        <v>281382762.42870152</v>
      </c>
      <c r="EJ23" s="27">
        <f t="shared" si="41"/>
        <v>312125204.77243483</v>
      </c>
      <c r="EK23" s="27">
        <f t="shared" si="41"/>
        <v>344386208.05683959</v>
      </c>
      <c r="EL23" s="27">
        <f t="shared" si="41"/>
        <v>369806989.80686665</v>
      </c>
      <c r="EM23" s="27">
        <f t="shared" si="41"/>
        <v>360567836.00891811</v>
      </c>
      <c r="EN23" s="27">
        <f t="shared" si="41"/>
        <v>367287086.06726712</v>
      </c>
      <c r="EO23" s="27">
        <f t="shared" si="41"/>
        <v>336513967.01595765</v>
      </c>
      <c r="EP23" s="27">
        <f t="shared" si="41"/>
        <v>297767116.47240531</v>
      </c>
      <c r="EQ23" s="27">
        <f t="shared" si="41"/>
        <v>285727842.29171288</v>
      </c>
      <c r="ER23" s="27">
        <f t="shared" si="41"/>
        <v>288341019.8571648</v>
      </c>
      <c r="ES23" s="27">
        <f t="shared" si="41"/>
        <v>271456154.14327776</v>
      </c>
      <c r="ET23" s="27">
        <f t="shared" si="41"/>
        <v>254261922.33420652</v>
      </c>
      <c r="EU23" s="27">
        <f t="shared" si="41"/>
        <v>276734332.21559632</v>
      </c>
      <c r="EV23" s="27">
        <f t="shared" si="41"/>
        <v>303805076.50757962</v>
      </c>
      <c r="EW23" s="27">
        <f t="shared" si="41"/>
        <v>336046037.77282727</v>
      </c>
      <c r="EX23" s="27">
        <f t="shared" si="41"/>
        <v>362412244.5087471</v>
      </c>
      <c r="EY23" s="27">
        <f t="shared" si="41"/>
        <v>351356644.80460656</v>
      </c>
      <c r="EZ23" s="27">
        <f t="shared" si="41"/>
        <v>359468868.85673892</v>
      </c>
      <c r="FA23" s="27">
        <f t="shared" si="41"/>
        <v>326270759.97372067</v>
      </c>
      <c r="FB23" s="27">
        <f t="shared" si="41"/>
        <v>290300416.7523129</v>
      </c>
      <c r="FC23" s="27">
        <f t="shared" si="41"/>
        <v>277412770.68424612</v>
      </c>
    </row>
    <row r="24" spans="1:159" ht="15.6" hidden="1" x14ac:dyDescent="0.25">
      <c r="A24" s="60">
        <f t="shared" si="5"/>
        <v>21</v>
      </c>
      <c r="B24" s="22" t="s">
        <v>62</v>
      </c>
      <c r="C24" s="36">
        <v>245173.47789490363</v>
      </c>
      <c r="D24" s="36">
        <v>234267.79762299312</v>
      </c>
      <c r="E24" s="36">
        <v>229865.00277482881</v>
      </c>
      <c r="F24" s="36">
        <v>215343.82641536419</v>
      </c>
      <c r="G24" s="36">
        <v>209191.5672730261</v>
      </c>
      <c r="H24" s="36">
        <v>237867.54945642516</v>
      </c>
      <c r="I24" s="36">
        <v>264932.97766296624</v>
      </c>
      <c r="J24" s="36">
        <v>278385.21951702482</v>
      </c>
      <c r="K24" s="36">
        <v>283602.03032138001</v>
      </c>
      <c r="L24" s="36">
        <v>286402.61531031731</v>
      </c>
      <c r="M24" s="36">
        <v>243117.56687177083</v>
      </c>
      <c r="N24" s="36">
        <v>207598.19151011444</v>
      </c>
      <c r="O24" s="36">
        <v>195292.54204764857</v>
      </c>
      <c r="P24" s="36">
        <v>201589.35578725094</v>
      </c>
      <c r="Q24" s="36">
        <v>187759.42943480253</v>
      </c>
      <c r="R24" s="36">
        <v>174350.99881626002</v>
      </c>
      <c r="S24" s="36">
        <v>188206.81356647451</v>
      </c>
      <c r="T24" s="36">
        <v>227089.89959599165</v>
      </c>
      <c r="U24" s="36">
        <v>266934.62009545066</v>
      </c>
      <c r="V24" s="36">
        <v>279832.34508081438</v>
      </c>
      <c r="W24" s="36">
        <v>283819.36883110704</v>
      </c>
      <c r="X24" s="36">
        <v>303539.48190098611</v>
      </c>
      <c r="Y24" s="36">
        <v>274737.5148152216</v>
      </c>
      <c r="Z24" s="36">
        <v>237179.49517351904</v>
      </c>
      <c r="AA24" s="36">
        <v>222351.63050105594</v>
      </c>
      <c r="AB24" s="36">
        <v>239828.45456672169</v>
      </c>
      <c r="AC24" s="36">
        <v>199820.60723115728</v>
      </c>
      <c r="AD24" s="36">
        <v>201292.62588783455</v>
      </c>
      <c r="AE24" s="36">
        <v>201670.72171002961</v>
      </c>
      <c r="AF24" s="36">
        <v>214010.82742604101</v>
      </c>
      <c r="AG24" s="36">
        <v>246049.67332542493</v>
      </c>
      <c r="AH24" s="36">
        <v>255979.51836284029</v>
      </c>
      <c r="AI24" s="36">
        <v>265906.05566040502</v>
      </c>
      <c r="AJ24" s="36">
        <v>265649.35663796612</v>
      </c>
      <c r="AK24" s="36">
        <v>268291.93085679371</v>
      </c>
      <c r="AL24" s="36">
        <v>190936.8275420783</v>
      </c>
      <c r="AM24" s="36">
        <v>181099.29391051186</v>
      </c>
      <c r="AN24" s="36">
        <v>181136.08281255781</v>
      </c>
      <c r="AO24" s="36">
        <v>174832.66918534573</v>
      </c>
      <c r="AP24" s="36">
        <v>178342.66474061279</v>
      </c>
      <c r="AQ24" s="36">
        <v>196530.22881366091</v>
      </c>
      <c r="AR24" s="36">
        <v>230668.30747455271</v>
      </c>
      <c r="AS24" s="36">
        <v>264700.48014727217</v>
      </c>
      <c r="AT24" s="36">
        <v>269196.08230479603</v>
      </c>
      <c r="AU24" s="36">
        <v>277233.25831295154</v>
      </c>
      <c r="AV24" s="36">
        <v>268512.1192648508</v>
      </c>
      <c r="AW24" s="36">
        <v>245041.65664836121</v>
      </c>
      <c r="AX24" s="36">
        <v>236492.03740587758</v>
      </c>
      <c r="AY24" s="36">
        <v>216480.37675647938</v>
      </c>
      <c r="AZ24" s="36">
        <f t="shared" ref="AZ24:CP24" si="42">+AZ23*AZ13</f>
        <v>232035.26602125858</v>
      </c>
      <c r="BA24" s="36">
        <f t="shared" si="42"/>
        <v>216176.30592748453</v>
      </c>
      <c r="BB24" s="36">
        <f t="shared" si="42"/>
        <v>231186.6212541979</v>
      </c>
      <c r="BC24" s="36">
        <f t="shared" si="42"/>
        <v>232701.502964635</v>
      </c>
      <c r="BD24" s="36">
        <f t="shared" si="42"/>
        <v>293147.89709754469</v>
      </c>
      <c r="BE24" s="36">
        <f t="shared" si="42"/>
        <v>298864.5266134782</v>
      </c>
      <c r="BF24" s="36">
        <f>+BF23*BF13</f>
        <v>312010.06370504311</v>
      </c>
      <c r="BG24" s="36">
        <f t="shared" si="42"/>
        <v>365957.62565872399</v>
      </c>
      <c r="BH24" s="36">
        <f t="shared" si="42"/>
        <v>428930.85966385715</v>
      </c>
      <c r="BI24" s="36">
        <f t="shared" si="42"/>
        <v>403358.05842506915</v>
      </c>
      <c r="BJ24" s="36">
        <f t="shared" si="42"/>
        <v>347209.6433931709</v>
      </c>
      <c r="BK24" s="36">
        <f t="shared" si="42"/>
        <v>332940.71938288369</v>
      </c>
      <c r="BL24" s="36">
        <f t="shared" si="42"/>
        <v>369583.92548873002</v>
      </c>
      <c r="BM24" s="36">
        <f t="shared" si="42"/>
        <v>387094.29277672095</v>
      </c>
      <c r="BN24" s="36">
        <f t="shared" si="42"/>
        <v>375050.68600930268</v>
      </c>
      <c r="BO24" s="27">
        <f t="shared" si="42"/>
        <v>430727.37810260867</v>
      </c>
      <c r="BP24" s="27">
        <f t="shared" si="42"/>
        <v>476955.93724043196</v>
      </c>
      <c r="BQ24" s="27">
        <f t="shared" si="42"/>
        <v>535381.44111623615</v>
      </c>
      <c r="BR24" s="27">
        <f t="shared" si="42"/>
        <v>574119.19834809238</v>
      </c>
      <c r="BS24" s="27">
        <f t="shared" si="42"/>
        <v>560633.64211446932</v>
      </c>
      <c r="BT24" s="27">
        <f t="shared" si="42"/>
        <v>596561.78631759353</v>
      </c>
      <c r="BU24" s="27">
        <f t="shared" si="42"/>
        <v>499273.66588678584</v>
      </c>
      <c r="BV24" s="27">
        <f t="shared" si="42"/>
        <v>447299.32254063018</v>
      </c>
      <c r="BW24" s="27">
        <f t="shared" si="42"/>
        <v>435862.75507602684</v>
      </c>
      <c r="BX24" s="27">
        <f t="shared" si="42"/>
        <v>399958.88587021775</v>
      </c>
      <c r="BY24" s="27">
        <f t="shared" si="42"/>
        <v>361541.1586814078</v>
      </c>
      <c r="BZ24" s="27">
        <f t="shared" si="42"/>
        <v>344861.66227724199</v>
      </c>
      <c r="CA24" s="27">
        <f t="shared" si="42"/>
        <v>365214.48955074954</v>
      </c>
      <c r="CB24" s="27">
        <f t="shared" si="42"/>
        <v>399097.13700193248</v>
      </c>
      <c r="CC24" s="27">
        <f t="shared" si="42"/>
        <v>462595.28451799735</v>
      </c>
      <c r="CD24" s="27">
        <f t="shared" si="42"/>
        <v>450188.05601095111</v>
      </c>
      <c r="CE24" s="27">
        <f t="shared" si="42"/>
        <v>450400.64112143946</v>
      </c>
      <c r="CF24" s="27">
        <f t="shared" si="42"/>
        <v>470350.61420896836</v>
      </c>
      <c r="CG24" s="27">
        <f t="shared" si="42"/>
        <v>424772.94410902692</v>
      </c>
      <c r="CH24" s="27">
        <f t="shared" si="42"/>
        <v>368632.73180542758</v>
      </c>
      <c r="CI24" s="27">
        <f t="shared" si="42"/>
        <v>314927.22951122961</v>
      </c>
      <c r="CJ24" s="27">
        <f t="shared" si="42"/>
        <v>300115.5791756945</v>
      </c>
      <c r="CK24" s="27">
        <f t="shared" si="42"/>
        <v>311270.81590124738</v>
      </c>
      <c r="CL24" s="27">
        <f t="shared" si="42"/>
        <v>306294.41782562225</v>
      </c>
      <c r="CM24" s="27">
        <f t="shared" si="42"/>
        <v>277805.81842521118</v>
      </c>
      <c r="CN24" s="27">
        <f t="shared" si="42"/>
        <v>284490.21975839295</v>
      </c>
      <c r="CO24" s="27">
        <f t="shared" si="42"/>
        <v>264261.78549206845</v>
      </c>
      <c r="CP24" s="27">
        <f t="shared" si="42"/>
        <v>231356.62417335674</v>
      </c>
      <c r="CQ24" s="27">
        <f>+CQ23*CQ13</f>
        <v>174651.23358260907</v>
      </c>
      <c r="CR24" s="27">
        <f>+CR23*CR13</f>
        <v>161396.27471695314</v>
      </c>
      <c r="CS24" s="27">
        <f>+CS23*CS13</f>
        <v>317541.2234745649</v>
      </c>
      <c r="CT24" s="27">
        <f>+CT23*CT13</f>
        <v>297769.47173082299</v>
      </c>
      <c r="CU24" s="27">
        <f t="shared" ref="CU24:FC24" si="43">+CU23*CU13</f>
        <v>361642.00680397131</v>
      </c>
      <c r="CV24" s="27">
        <f t="shared" si="43"/>
        <v>385920.63474484399</v>
      </c>
      <c r="CW24" s="27">
        <f t="shared" si="43"/>
        <v>393168.75075145136</v>
      </c>
      <c r="CX24" s="27">
        <f t="shared" si="43"/>
        <v>431457.10539669142</v>
      </c>
      <c r="CY24" s="27">
        <f t="shared" si="43"/>
        <v>494540.48381643143</v>
      </c>
      <c r="CZ24" s="27">
        <f t="shared" si="43"/>
        <v>574875.19434371032</v>
      </c>
      <c r="DA24" s="27">
        <f t="shared" si="43"/>
        <v>695435.45104526065</v>
      </c>
      <c r="DB24" s="27">
        <f t="shared" si="43"/>
        <v>802890.53799072048</v>
      </c>
      <c r="DC24" s="27">
        <f t="shared" si="43"/>
        <v>866155.41177369084</v>
      </c>
      <c r="DD24" s="27">
        <f t="shared" si="43"/>
        <v>1211599.0459727703</v>
      </c>
      <c r="DE24" s="27">
        <f t="shared" si="43"/>
        <v>967472.78613824339</v>
      </c>
      <c r="DF24" s="27">
        <f t="shared" si="43"/>
        <v>801482.43310346606</v>
      </c>
      <c r="DG24" s="27">
        <f t="shared" si="43"/>
        <v>712218.29453888745</v>
      </c>
      <c r="DH24" s="27">
        <f t="shared" si="43"/>
        <v>706682.34959511005</v>
      </c>
      <c r="DI24" s="27">
        <f t="shared" si="43"/>
        <v>679363.18802951323</v>
      </c>
      <c r="DJ24" s="27">
        <f t="shared" si="43"/>
        <v>627633.00185847795</v>
      </c>
      <c r="DK24" s="27">
        <f t="shared" si="43"/>
        <v>693171.67567568959</v>
      </c>
      <c r="DL24" s="27">
        <f t="shared" si="43"/>
        <v>835137.96827345714</v>
      </c>
      <c r="DM24" s="27">
        <f t="shared" si="43"/>
        <v>902062.28308430046</v>
      </c>
      <c r="DN24" s="27">
        <f t="shared" si="43"/>
        <v>987852.39718683704</v>
      </c>
      <c r="DO24" s="27">
        <f t="shared" si="43"/>
        <v>984609.61181409587</v>
      </c>
      <c r="DP24" s="27">
        <f t="shared" si="43"/>
        <v>733409.4439316974</v>
      </c>
      <c r="DQ24" s="27">
        <f t="shared" si="43"/>
        <v>685172.50072161132</v>
      </c>
      <c r="DR24" s="27">
        <f t="shared" si="43"/>
        <v>643559.51622030709</v>
      </c>
      <c r="DS24" s="27">
        <f t="shared" si="43"/>
        <v>624234.23998125608</v>
      </c>
      <c r="DT24" s="27">
        <f t="shared" si="43"/>
        <v>799755.47490913223</v>
      </c>
      <c r="DU24" s="27">
        <f t="shared" si="43"/>
        <v>754029.92385792825</v>
      </c>
      <c r="DV24" s="27">
        <f t="shared" si="43"/>
        <v>758955.25027326925</v>
      </c>
      <c r="DW24" s="27">
        <f t="shared" si="43"/>
        <v>881425.41637632053</v>
      </c>
      <c r="DX24" s="27">
        <f t="shared" si="43"/>
        <v>916689.38212693529</v>
      </c>
      <c r="DY24" s="27">
        <f t="shared" si="43"/>
        <v>1033768.0902267876</v>
      </c>
      <c r="DZ24" s="27">
        <f t="shared" si="43"/>
        <v>1145572.7393450302</v>
      </c>
      <c r="EA24" s="27">
        <f t="shared" si="43"/>
        <v>1096378.0150751327</v>
      </c>
      <c r="EB24" s="27">
        <f t="shared" si="43"/>
        <v>1074114.566515299</v>
      </c>
      <c r="EC24" s="27">
        <f t="shared" si="43"/>
        <v>951949.96137890406</v>
      </c>
      <c r="ED24" s="27">
        <f t="shared" si="43"/>
        <v>770573.18763389066</v>
      </c>
      <c r="EE24" s="27">
        <f t="shared" si="43"/>
        <v>704877.55610144557</v>
      </c>
      <c r="EF24" s="27">
        <f t="shared" si="43"/>
        <v>656045.09507252602</v>
      </c>
      <c r="EG24" s="27">
        <f t="shared" si="43"/>
        <v>606168.42018398119</v>
      </c>
      <c r="EH24" s="27">
        <f t="shared" si="43"/>
        <v>569403.47348560742</v>
      </c>
      <c r="EI24" s="27">
        <f t="shared" si="43"/>
        <v>631992.40502871701</v>
      </c>
      <c r="EJ24" s="27">
        <f t="shared" si="43"/>
        <v>690677.20901237475</v>
      </c>
      <c r="EK24" s="27">
        <f t="shared" si="43"/>
        <v>764362.31244130165</v>
      </c>
      <c r="EL24" s="27">
        <f t="shared" si="43"/>
        <v>827305.57429241971</v>
      </c>
      <c r="EM24" s="27">
        <f t="shared" si="43"/>
        <v>806636.31460945972</v>
      </c>
      <c r="EN24" s="27">
        <f t="shared" si="43"/>
        <v>821668.10481417063</v>
      </c>
      <c r="EO24" s="27">
        <f t="shared" si="43"/>
        <v>752824.69828350155</v>
      </c>
      <c r="EP24" s="27">
        <f t="shared" si="43"/>
        <v>666142.988604379</v>
      </c>
      <c r="EQ24" s="27">
        <f t="shared" si="43"/>
        <v>639209.62331551698</v>
      </c>
      <c r="ER24" s="27">
        <f t="shared" si="43"/>
        <v>645055.70879701618</v>
      </c>
      <c r="ES24" s="27">
        <f t="shared" si="43"/>
        <v>607282.14723307476</v>
      </c>
      <c r="ET24" s="27">
        <f t="shared" si="43"/>
        <v>568816.41425808868</v>
      </c>
      <c r="EU24" s="27">
        <f t="shared" si="43"/>
        <v>619090.12352644303</v>
      </c>
      <c r="EV24" s="27">
        <f t="shared" si="43"/>
        <v>679650.84283698932</v>
      </c>
      <c r="EW24" s="27">
        <f t="shared" si="43"/>
        <v>751778.00616823137</v>
      </c>
      <c r="EX24" s="27">
        <f t="shared" si="43"/>
        <v>810762.65276111709</v>
      </c>
      <c r="EY24" s="27">
        <f t="shared" si="43"/>
        <v>786029.8756217052</v>
      </c>
      <c r="EZ24" s="27">
        <f t="shared" si="43"/>
        <v>804177.9881411125</v>
      </c>
      <c r="FA24" s="27">
        <f t="shared" si="43"/>
        <v>729909.60842646356</v>
      </c>
      <c r="FB24" s="27">
        <f t="shared" si="43"/>
        <v>649439.37249318173</v>
      </c>
      <c r="FC24" s="27">
        <f t="shared" si="43"/>
        <v>620608.04940701963</v>
      </c>
    </row>
    <row r="25" spans="1:159" ht="15.6" hidden="1" x14ac:dyDescent="0.25">
      <c r="A25" s="60">
        <f t="shared" si="5"/>
        <v>22</v>
      </c>
      <c r="B25" s="22" t="s">
        <v>63</v>
      </c>
      <c r="C25" s="36">
        <v>792.11568996985443</v>
      </c>
      <c r="D25" s="36">
        <v>899.79596188035794</v>
      </c>
      <c r="E25" s="36">
        <v>894.59081004466861</v>
      </c>
      <c r="F25" s="36">
        <v>800.76716950928676</v>
      </c>
      <c r="G25" s="36">
        <v>847.02631184738129</v>
      </c>
      <c r="H25" s="36">
        <v>888.04412844832405</v>
      </c>
      <c r="I25" s="36">
        <v>770.61592190724332</v>
      </c>
      <c r="J25" s="36">
        <v>863.37406784866471</v>
      </c>
      <c r="K25" s="36">
        <v>822.56326349347364</v>
      </c>
      <c r="L25" s="36">
        <v>925.97827455616789</v>
      </c>
      <c r="M25" s="36">
        <v>807.08671310270438</v>
      </c>
      <c r="N25" s="36">
        <v>852.46207475909614</v>
      </c>
      <c r="O25" s="36">
        <v>881.01153722498566</v>
      </c>
      <c r="P25" s="36">
        <v>835.84779762264225</v>
      </c>
      <c r="Q25" s="36">
        <v>756.77415007105446</v>
      </c>
      <c r="R25" s="36">
        <v>907.20476861356292</v>
      </c>
      <c r="S25" s="36">
        <v>851.39001839907723</v>
      </c>
      <c r="T25" s="36">
        <v>828.30398888193304</v>
      </c>
      <c r="U25" s="36">
        <v>786.58348942291923</v>
      </c>
      <c r="V25" s="36">
        <v>854.85850405920064</v>
      </c>
      <c r="W25" s="36">
        <v>804.83475376653951</v>
      </c>
      <c r="X25" s="36">
        <v>825.72168388747377</v>
      </c>
      <c r="Y25" s="36">
        <v>895.68876965198433</v>
      </c>
      <c r="Z25" s="36">
        <v>792.70841135454248</v>
      </c>
      <c r="AA25" s="36">
        <v>736.57308381763869</v>
      </c>
      <c r="AB25" s="36">
        <v>-19281.250981848105</v>
      </c>
      <c r="AC25" s="36">
        <v>762.59635371630429</v>
      </c>
      <c r="AD25" s="36">
        <v>791.57769703902886</v>
      </c>
      <c r="AE25" s="36">
        <v>894.48187484397204</v>
      </c>
      <c r="AF25" s="36">
        <v>752.3761588325724</v>
      </c>
      <c r="AG25" s="36">
        <v>789.53025944865658</v>
      </c>
      <c r="AH25" s="36">
        <v>939.68522203329485</v>
      </c>
      <c r="AI25" s="36">
        <v>770.14792446856154</v>
      </c>
      <c r="AJ25" s="36">
        <v>-7340.1530530925374</v>
      </c>
      <c r="AK25" s="36">
        <v>-61142.727271920128</v>
      </c>
      <c r="AL25" s="36">
        <v>739.37604279528023</v>
      </c>
      <c r="AM25" s="36">
        <v>806.9096743617265</v>
      </c>
      <c r="AN25" s="36">
        <v>862.12077231577132</v>
      </c>
      <c r="AO25" s="36">
        <v>769.53439952785266</v>
      </c>
      <c r="AP25" s="36">
        <v>761.53884426079458</v>
      </c>
      <c r="AQ25" s="36">
        <v>872.97477121267002</v>
      </c>
      <c r="AR25" s="36">
        <v>6286.1261103208817</v>
      </c>
      <c r="AS25" s="36">
        <v>1098.8234376013861</v>
      </c>
      <c r="AT25" s="36">
        <v>-13690.688719922502</v>
      </c>
      <c r="AU25" s="36">
        <v>-13382.304728078016</v>
      </c>
      <c r="AV25" s="36">
        <v>-13501.255679977301</v>
      </c>
      <c r="AW25" s="36">
        <v>-13796.57306348774</v>
      </c>
      <c r="AX25" s="36">
        <v>-13874.553821004083</v>
      </c>
      <c r="AY25" s="36">
        <v>-13816.883171605878</v>
      </c>
      <c r="AZ25" s="36">
        <f>+AZ8-AZ24</f>
        <v>845.73397874139482</v>
      </c>
      <c r="BA25" s="36">
        <f t="shared" ref="BA25:CP25" si="44">+BA8-BA24</f>
        <v>191658.69407251547</v>
      </c>
      <c r="BB25" s="36">
        <f t="shared" si="44"/>
        <v>9876.6087458020775</v>
      </c>
      <c r="BC25" s="36">
        <f t="shared" si="44"/>
        <v>-2184.1029646350362</v>
      </c>
      <c r="BD25" s="36">
        <f t="shared" si="44"/>
        <v>-3060.1870975447237</v>
      </c>
      <c r="BE25" s="36">
        <f t="shared" si="44"/>
        <v>-3080.4766134782112</v>
      </c>
      <c r="BF25" s="36">
        <f t="shared" si="44"/>
        <v>22824.116294956824</v>
      </c>
      <c r="BG25" s="36">
        <f t="shared" si="44"/>
        <v>-99.765658724063542</v>
      </c>
      <c r="BH25" s="36">
        <f t="shared" si="44"/>
        <v>-101.96966385719134</v>
      </c>
      <c r="BI25" s="36">
        <f t="shared" si="44"/>
        <v>112.21157493081409</v>
      </c>
      <c r="BJ25" s="36">
        <f t="shared" si="44"/>
        <v>26.70660682907328</v>
      </c>
      <c r="BK25" s="36">
        <f t="shared" si="44"/>
        <v>-29.859382883703802</v>
      </c>
      <c r="BL25" s="36">
        <f t="shared" si="44"/>
        <v>64.114511269959621</v>
      </c>
      <c r="BM25" s="36">
        <f t="shared" si="44"/>
        <v>66.077223279047757</v>
      </c>
      <c r="BN25" s="36">
        <f t="shared" si="44"/>
        <v>-22.026009302702732</v>
      </c>
      <c r="BO25" s="27">
        <f t="shared" si="44"/>
        <v>495541.76189739135</v>
      </c>
      <c r="BP25" s="27">
        <f t="shared" si="44"/>
        <v>63.332759568060283</v>
      </c>
      <c r="BQ25" s="27">
        <f t="shared" si="44"/>
        <v>-69.601116236066446</v>
      </c>
      <c r="BR25" s="27">
        <f t="shared" si="44"/>
        <v>57.731651907670312</v>
      </c>
      <c r="BS25" s="27">
        <f t="shared" si="44"/>
        <v>11.957885530777276</v>
      </c>
      <c r="BT25" s="27">
        <f t="shared" si="44"/>
        <v>-56.026317593525164</v>
      </c>
      <c r="BU25" s="27">
        <f t="shared" si="44"/>
        <v>23.604113214183599</v>
      </c>
      <c r="BV25" s="27">
        <f t="shared" si="44"/>
        <v>-56.682540630165022</v>
      </c>
      <c r="BW25" s="27">
        <f t="shared" si="44"/>
        <v>39.03492397320224</v>
      </c>
      <c r="BX25" s="27">
        <f t="shared" si="44"/>
        <v>-11.5568702177261</v>
      </c>
      <c r="BY25" s="27">
        <f t="shared" si="44"/>
        <v>-48.059681407758035</v>
      </c>
      <c r="BZ25" s="27">
        <f t="shared" si="44"/>
        <v>-48.673277241934557</v>
      </c>
      <c r="CA25" s="27">
        <f t="shared" si="44"/>
        <v>25.999449250521138</v>
      </c>
      <c r="CB25" s="27">
        <f t="shared" si="44"/>
        <v>-54.458001932420302</v>
      </c>
      <c r="CC25" s="27">
        <f t="shared" si="44"/>
        <v>69.344482002721634</v>
      </c>
      <c r="CD25" s="27">
        <f t="shared" si="44"/>
        <v>68.572989048960153</v>
      </c>
      <c r="CE25" s="27">
        <f t="shared" si="44"/>
        <v>-109.67212143936194</v>
      </c>
      <c r="CF25" s="27">
        <f t="shared" si="44"/>
        <v>12.896791031758767</v>
      </c>
      <c r="CG25" s="27">
        <f t="shared" si="44"/>
        <v>42.626890973187983</v>
      </c>
      <c r="CH25" s="27">
        <f t="shared" si="44"/>
        <v>93.109194572549313</v>
      </c>
      <c r="CI25" s="27">
        <f t="shared" si="44"/>
        <v>-13.408511229499709</v>
      </c>
      <c r="CJ25" s="27">
        <f t="shared" si="44"/>
        <v>-3.518175694392994</v>
      </c>
      <c r="CK25" s="27">
        <f t="shared" si="44"/>
        <v>-74.651901247270871</v>
      </c>
      <c r="CL25" s="27">
        <f t="shared" si="44"/>
        <v>893441.01617437787</v>
      </c>
      <c r="CM25" s="27">
        <f t="shared" si="44"/>
        <v>968537.615574789</v>
      </c>
      <c r="CN25" s="27">
        <f t="shared" si="44"/>
        <v>602688.50424160715</v>
      </c>
      <c r="CO25" s="27">
        <f t="shared" si="44"/>
        <v>3570841.7673167582</v>
      </c>
      <c r="CP25" s="27">
        <f t="shared" si="44"/>
        <v>4270361.6675554691</v>
      </c>
      <c r="CQ25" s="27">
        <f>+CQ8-CQ24</f>
        <v>5174341.2727862159</v>
      </c>
      <c r="CR25" s="27">
        <f>+CR8-CR24</f>
        <v>6018802.6424118718</v>
      </c>
      <c r="CS25" s="27">
        <f>+CS8-CS24</f>
        <v>4803112.6767342594</v>
      </c>
      <c r="CT25" s="27">
        <f>+CT8-CT24</f>
        <v>5042044.1817180021</v>
      </c>
      <c r="CU25" s="27">
        <f t="shared" ref="CU25:FC25" si="45">+CU8-CU24</f>
        <v>4296672.7020048518</v>
      </c>
      <c r="CV25" s="27">
        <f t="shared" si="45"/>
        <v>4575165.0307439789</v>
      </c>
      <c r="CW25" s="27">
        <f t="shared" si="45"/>
        <v>4770458.9286973719</v>
      </c>
      <c r="CX25" s="27">
        <f t="shared" si="45"/>
        <v>4860009.7548921313</v>
      </c>
      <c r="CY25" s="27">
        <f t="shared" si="45"/>
        <v>5133262.6278723907</v>
      </c>
      <c r="CZ25" s="27">
        <f t="shared" si="45"/>
        <v>5704129.0773451123</v>
      </c>
      <c r="DA25" s="27">
        <f t="shared" si="45"/>
        <v>5816758.3406435614</v>
      </c>
      <c r="DB25" s="27">
        <f t="shared" si="45"/>
        <v>5944033.3315881025</v>
      </c>
      <c r="DC25" s="27">
        <f t="shared" si="45"/>
        <v>6200025.8878051313</v>
      </c>
      <c r="DD25" s="27">
        <f t="shared" si="45"/>
        <v>3972061.1539660525</v>
      </c>
      <c r="DE25" s="27">
        <f t="shared" si="45"/>
        <v>4137212.7569205794</v>
      </c>
      <c r="DF25" s="27">
        <f t="shared" si="45"/>
        <v>4065077.7797353561</v>
      </c>
      <c r="DG25" s="27">
        <f t="shared" si="45"/>
        <v>3483683.5086199353</v>
      </c>
      <c r="DH25" s="27">
        <f t="shared" si="45"/>
        <v>3640958.4677697122</v>
      </c>
      <c r="DI25" s="27">
        <f t="shared" si="45"/>
        <v>3642506.2065103087</v>
      </c>
      <c r="DJ25" s="27">
        <f t="shared" si="45"/>
        <v>3688957.5726813436</v>
      </c>
      <c r="DK25" s="27">
        <f t="shared" si="45"/>
        <v>3664463.2588641322</v>
      </c>
      <c r="DL25" s="27">
        <f t="shared" si="45"/>
        <v>3520633.2662663646</v>
      </c>
      <c r="DM25" s="27">
        <f t="shared" si="45"/>
        <v>-47101.076410318841</v>
      </c>
      <c r="DN25" s="27">
        <f t="shared" si="45"/>
        <v>-48255.350512855453</v>
      </c>
      <c r="DO25" s="27">
        <f t="shared" si="45"/>
        <v>-44979.202698494308</v>
      </c>
      <c r="DP25" s="27">
        <f t="shared" si="45"/>
        <v>-47137.401397235924</v>
      </c>
      <c r="DQ25" s="27">
        <f t="shared" si="45"/>
        <v>-46952.830053957761</v>
      </c>
      <c r="DR25" s="27">
        <f t="shared" si="45"/>
        <v>-58655.388927233522</v>
      </c>
      <c r="DS25" s="27">
        <f t="shared" si="45"/>
        <v>-50190.847909362637</v>
      </c>
      <c r="DT25" s="27">
        <f t="shared" si="45"/>
        <v>-46969.288869578857</v>
      </c>
      <c r="DU25" s="27">
        <f t="shared" si="45"/>
        <v>-47169.307818374829</v>
      </c>
      <c r="DV25" s="27">
        <f t="shared" si="45"/>
        <v>-47170.136053815833</v>
      </c>
      <c r="DW25" s="27">
        <f t="shared" si="45"/>
        <v>-47083.218148037093</v>
      </c>
      <c r="DX25" s="27">
        <f t="shared" si="45"/>
        <v>-46965.673898651847</v>
      </c>
      <c r="DY25" s="27">
        <f t="shared" si="45"/>
        <v>-48431.266023344127</v>
      </c>
      <c r="DZ25" s="27">
        <f t="shared" si="45"/>
        <v>-56785.140363616869</v>
      </c>
      <c r="EA25" s="106">
        <f t="shared" si="45"/>
        <v>0</v>
      </c>
      <c r="EB25" s="106">
        <f t="shared" si="45"/>
        <v>0</v>
      </c>
      <c r="EC25" s="106">
        <f t="shared" si="45"/>
        <v>0</v>
      </c>
      <c r="ED25" s="106">
        <f t="shared" si="45"/>
        <v>0</v>
      </c>
      <c r="EE25" s="106">
        <f t="shared" si="45"/>
        <v>0</v>
      </c>
      <c r="EF25" s="106">
        <f t="shared" si="45"/>
        <v>0</v>
      </c>
      <c r="EG25" s="106">
        <f t="shared" si="45"/>
        <v>0</v>
      </c>
      <c r="EH25" s="106">
        <f t="shared" si="45"/>
        <v>0</v>
      </c>
      <c r="EI25" s="106">
        <f t="shared" si="45"/>
        <v>0</v>
      </c>
      <c r="EJ25" s="106">
        <f t="shared" si="45"/>
        <v>0</v>
      </c>
      <c r="EK25" s="106">
        <f t="shared" si="45"/>
        <v>0</v>
      </c>
      <c r="EL25" s="106">
        <f t="shared" si="45"/>
        <v>0</v>
      </c>
      <c r="EM25" s="106">
        <f t="shared" si="45"/>
        <v>0</v>
      </c>
      <c r="EN25" s="106">
        <f t="shared" si="45"/>
        <v>0</v>
      </c>
      <c r="EO25" s="106">
        <f t="shared" si="45"/>
        <v>0</v>
      </c>
      <c r="EP25" s="106">
        <f t="shared" si="45"/>
        <v>0</v>
      </c>
      <c r="EQ25" s="106">
        <f t="shared" si="45"/>
        <v>0</v>
      </c>
      <c r="ER25" s="106">
        <f t="shared" si="45"/>
        <v>0</v>
      </c>
      <c r="ES25" s="106">
        <f t="shared" si="45"/>
        <v>0</v>
      </c>
      <c r="ET25" s="106">
        <f t="shared" si="45"/>
        <v>0</v>
      </c>
      <c r="EU25" s="106">
        <f t="shared" si="45"/>
        <v>0</v>
      </c>
      <c r="EV25" s="106">
        <f t="shared" si="45"/>
        <v>0</v>
      </c>
      <c r="EW25" s="106">
        <f t="shared" si="45"/>
        <v>0</v>
      </c>
      <c r="EX25" s="106">
        <f t="shared" si="45"/>
        <v>0</v>
      </c>
      <c r="EY25" s="106">
        <f t="shared" si="45"/>
        <v>0</v>
      </c>
      <c r="EZ25" s="106">
        <f t="shared" si="45"/>
        <v>0</v>
      </c>
      <c r="FA25" s="106">
        <f t="shared" si="45"/>
        <v>0</v>
      </c>
      <c r="FB25" s="106">
        <f t="shared" si="45"/>
        <v>0</v>
      </c>
      <c r="FC25" s="106">
        <f t="shared" si="45"/>
        <v>0</v>
      </c>
    </row>
    <row r="26" spans="1:159" ht="15.6" hidden="1" x14ac:dyDescent="0.25">
      <c r="A26" s="60">
        <f t="shared" si="5"/>
        <v>23</v>
      </c>
      <c r="B26" s="25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66"/>
      <c r="BP26" s="66"/>
      <c r="BQ26" s="66"/>
      <c r="BR26" s="66"/>
      <c r="BS26" s="66"/>
      <c r="BT26" s="66"/>
      <c r="BU26" s="66"/>
      <c r="BV26" s="66"/>
      <c r="BW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</row>
    <row r="27" spans="1:159" ht="15.6" hidden="1" x14ac:dyDescent="0.25">
      <c r="A27" s="60">
        <f t="shared" si="5"/>
        <v>24</v>
      </c>
      <c r="B27" s="25" t="s">
        <v>64</v>
      </c>
      <c r="C27" s="37">
        <v>4.4308209364853426E-3</v>
      </c>
      <c r="D27" s="37">
        <v>1.9781449619373256E-3</v>
      </c>
      <c r="E27" s="37">
        <v>-6.3836239809729294E-4</v>
      </c>
      <c r="F27" s="37">
        <v>-8.14160102863766E-6</v>
      </c>
      <c r="G27" s="37">
        <v>5.8943631622982448E-4</v>
      </c>
      <c r="H27" s="37">
        <v>3.2860230174043309E-4</v>
      </c>
      <c r="I27" s="37">
        <v>9.9953737012172872E-5</v>
      </c>
      <c r="J27" s="37">
        <v>8.3053089912849486E-4</v>
      </c>
      <c r="K27" s="37">
        <v>9.0867444988405324E-4</v>
      </c>
      <c r="L27" s="37">
        <v>1.5092309672871678E-3</v>
      </c>
      <c r="M27" s="37">
        <v>2.6771508887845925E-3</v>
      </c>
      <c r="N27" s="37">
        <v>2.4910772841106946E-3</v>
      </c>
      <c r="O27" s="37">
        <v>2.3465876806605854E-3</v>
      </c>
      <c r="P27" s="37">
        <v>1.6070471981895461E-3</v>
      </c>
      <c r="Q27" s="37">
        <v>3.3924071134300547E-5</v>
      </c>
      <c r="R27" s="37">
        <v>1.1434812111936865E-4</v>
      </c>
      <c r="S27" s="37">
        <v>-3.1691236370744286E-5</v>
      </c>
      <c r="T27" s="37">
        <v>-1.4805384193565161E-4</v>
      </c>
      <c r="U27" s="37">
        <v>-4.373789907296372E-5</v>
      </c>
      <c r="V27" s="37">
        <v>3.942467927421914E-4</v>
      </c>
      <c r="W27" s="37">
        <v>1.1861075321878125E-3</v>
      </c>
      <c r="X27" s="37">
        <v>1.4051193523353051E-3</v>
      </c>
      <c r="Y27" s="37">
        <v>2.2224456071544907E-3</v>
      </c>
      <c r="Z27" s="37">
        <v>2.2560586960000124E-3</v>
      </c>
      <c r="AA27" s="37">
        <v>2.2430976982803228E-3</v>
      </c>
      <c r="AB27" s="37">
        <v>1.3940373080848281E-3</v>
      </c>
      <c r="AC27" s="37">
        <v>1.2295069622834267E-4</v>
      </c>
      <c r="AD27" s="37">
        <v>-2.2978422025066083E-4</v>
      </c>
      <c r="AE27" s="37">
        <v>7.5004618939277271E-4</v>
      </c>
      <c r="AF27" s="37">
        <v>1.019461580643484E-4</v>
      </c>
      <c r="AG27" s="37">
        <v>2.9138783394381921E-4</v>
      </c>
      <c r="AH27" s="37">
        <v>3.942467927421914E-4</v>
      </c>
      <c r="AI27" s="37">
        <v>1.1861075321878125E-3</v>
      </c>
      <c r="AJ27" s="37">
        <v>1.4051193523353051E-3</v>
      </c>
      <c r="AK27" s="37">
        <v>2.1524456071544905E-3</v>
      </c>
      <c r="AL27" s="37">
        <v>2.1560586960000126E-3</v>
      </c>
      <c r="AM27" s="37">
        <v>2.1430976982803229E-3</v>
      </c>
      <c r="AN27" s="37">
        <v>1.3940373080848281E-3</v>
      </c>
      <c r="AO27" s="37">
        <v>2.7295069622834266E-4</v>
      </c>
      <c r="AP27" s="37">
        <v>-7.9784220250660843E-5</v>
      </c>
      <c r="AQ27" s="37">
        <v>9.0004618939277267E-4</v>
      </c>
      <c r="AR27" s="37">
        <v>2.5294615806434838E-4</v>
      </c>
      <c r="AS27" s="37">
        <v>4.423878339438192E-4</v>
      </c>
      <c r="AT27" s="37">
        <v>5.4524679274219143E-4</v>
      </c>
      <c r="AU27" s="37">
        <v>1.3371075321878126E-3</v>
      </c>
      <c r="AV27" s="37">
        <v>1.5561193523353049E-3</v>
      </c>
      <c r="AW27" s="37">
        <v>2.4024456071544903E-3</v>
      </c>
      <c r="AX27" s="37">
        <v>2.4060586960000128E-3</v>
      </c>
      <c r="AY27" s="37">
        <v>2.1430976982803229E-3</v>
      </c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107">
        <f>CE5</f>
        <v>1.6151867724812485E-3</v>
      </c>
      <c r="EB27" s="107">
        <f>CF5</f>
        <v>1.996135822467496E-3</v>
      </c>
      <c r="EC27" s="107">
        <f>CG5</f>
        <v>2.3913398821976098E-3</v>
      </c>
      <c r="ED27" s="107">
        <f>CH5</f>
        <v>1.8418537191183942E-3</v>
      </c>
      <c r="EE27" s="107">
        <f>CI5</f>
        <v>2.235258664663225E-3</v>
      </c>
      <c r="EF27" s="107">
        <f>DT5</f>
        <v>3.1832414875426563E-3</v>
      </c>
      <c r="EG27" s="107">
        <f t="shared" ref="EG27:EP27" si="46">DU5</f>
        <v>3.0895501626144245E-3</v>
      </c>
      <c r="EH27" s="107">
        <f t="shared" si="46"/>
        <v>2.0353046910808084E-3</v>
      </c>
      <c r="EI27" s="107">
        <f t="shared" si="46"/>
        <v>1.3962199434967568E-3</v>
      </c>
      <c r="EJ27" s="107">
        <f t="shared" si="46"/>
        <v>2.7539306095495661E-3</v>
      </c>
      <c r="EK27" s="107">
        <f t="shared" si="46"/>
        <v>2.135548603468481E-3</v>
      </c>
      <c r="EL27" s="107">
        <f t="shared" si="46"/>
        <v>2.0122154508483694E-3</v>
      </c>
      <c r="EM27" s="107">
        <f t="shared" si="46"/>
        <v>2.2371282435097346E-3</v>
      </c>
      <c r="EN27" s="107">
        <f t="shared" si="46"/>
        <v>2.2371282435097346E-3</v>
      </c>
      <c r="EO27" s="107">
        <f t="shared" si="46"/>
        <v>2.2371282435097346E-3</v>
      </c>
      <c r="EP27" s="107">
        <f t="shared" si="46"/>
        <v>2.2371282435097346E-3</v>
      </c>
      <c r="EQ27" s="107">
        <f>EE5</f>
        <v>2.2371282435097346E-3</v>
      </c>
      <c r="ER27" s="107">
        <f t="shared" ref="ER27:FC27" si="47">EF5</f>
        <v>2.2371282435097346E-3</v>
      </c>
      <c r="ES27" s="107">
        <f t="shared" si="47"/>
        <v>2.2371282435097346E-3</v>
      </c>
      <c r="ET27" s="107">
        <f t="shared" si="47"/>
        <v>2.2371282435097346E-3</v>
      </c>
      <c r="EU27" s="107">
        <f t="shared" si="47"/>
        <v>2.2371282435097346E-3</v>
      </c>
      <c r="EV27" s="107">
        <f t="shared" si="47"/>
        <v>2.2371282435097346E-3</v>
      </c>
      <c r="EW27" s="107">
        <f t="shared" si="47"/>
        <v>2.2371282435097346E-3</v>
      </c>
      <c r="EX27" s="107">
        <f t="shared" si="47"/>
        <v>2.2371282435097346E-3</v>
      </c>
      <c r="EY27" s="107">
        <f t="shared" si="47"/>
        <v>2.2371282435097346E-3</v>
      </c>
      <c r="EZ27" s="107">
        <f t="shared" si="47"/>
        <v>2.2371282435097346E-3</v>
      </c>
      <c r="FA27" s="107">
        <f t="shared" si="47"/>
        <v>2.2371282435097346E-3</v>
      </c>
      <c r="FB27" s="107">
        <f t="shared" si="47"/>
        <v>2.2371282435097346E-3</v>
      </c>
      <c r="FC27" s="107">
        <f t="shared" si="47"/>
        <v>2.2371282435097346E-3</v>
      </c>
    </row>
    <row r="28" spans="1:159" ht="15.6" hidden="1" x14ac:dyDescent="0.25">
      <c r="A28" s="60">
        <f t="shared" si="5"/>
        <v>25</v>
      </c>
      <c r="B28" s="32" t="s">
        <v>65</v>
      </c>
      <c r="C28" s="38">
        <v>-1.1999999999999999E-3</v>
      </c>
      <c r="D28" s="38">
        <v>-3.7109776374777957E-4</v>
      </c>
      <c r="E28" s="38">
        <v>6.7228646923159349E-4</v>
      </c>
      <c r="F28" s="38">
        <v>1.2248972214800631E-4</v>
      </c>
      <c r="G28" s="38">
        <v>-6.2112755260056878E-4</v>
      </c>
      <c r="H28" s="38">
        <v>-4.766561436760847E-4</v>
      </c>
      <c r="I28" s="38">
        <v>-1.4369163608513659E-4</v>
      </c>
      <c r="J28" s="38">
        <v>-4.3628410638630347E-4</v>
      </c>
      <c r="K28" s="38">
        <v>2.7743308230375929E-4</v>
      </c>
      <c r="L28" s="38">
        <v>-1.041116149518627E-4</v>
      </c>
      <c r="M28" s="38">
        <v>-4.5470528163010174E-4</v>
      </c>
      <c r="N28" s="38">
        <v>-2.3501858811068215E-4</v>
      </c>
      <c r="O28" s="38">
        <v>-1.0348998238026265E-4</v>
      </c>
      <c r="P28" s="38">
        <v>-2.1300989010471791E-4</v>
      </c>
      <c r="Q28" s="38">
        <v>8.9026625094042118E-5</v>
      </c>
      <c r="R28" s="38">
        <v>-3.441323413700295E-4</v>
      </c>
      <c r="S28" s="38">
        <v>7.8173742576351701E-4</v>
      </c>
      <c r="T28" s="38">
        <v>2.5000000000000001E-4</v>
      </c>
      <c r="U28" s="38">
        <v>2.5000000000000001E-4</v>
      </c>
      <c r="V28" s="38"/>
      <c r="W28" s="38"/>
      <c r="X28" s="38"/>
      <c r="Y28" s="38">
        <v>-6.9999999999999994E-5</v>
      </c>
      <c r="Z28" s="38">
        <v>-1E-4</v>
      </c>
      <c r="AA28" s="38">
        <v>-1E-4</v>
      </c>
      <c r="AB28" s="38">
        <v>0</v>
      </c>
      <c r="AC28" s="38">
        <v>1.4999999999999999E-4</v>
      </c>
      <c r="AD28" s="38">
        <v>1.4999999999999999E-4</v>
      </c>
      <c r="AE28" s="38">
        <v>1.4999999999999999E-4</v>
      </c>
      <c r="AF28" s="38">
        <v>1.5099999999999998E-4</v>
      </c>
      <c r="AG28" s="38">
        <v>1.5099999999999998E-4</v>
      </c>
      <c r="AH28" s="38">
        <v>1.5099999999999998E-4</v>
      </c>
      <c r="AI28" s="38">
        <v>1.5099999999999998E-4</v>
      </c>
      <c r="AJ28" s="38">
        <v>1.5099999999999998E-4</v>
      </c>
      <c r="AK28" s="38">
        <v>2.5000000000000001E-4</v>
      </c>
      <c r="AL28" s="38">
        <v>2.5000000000000001E-4</v>
      </c>
      <c r="AM28" s="38">
        <v>0</v>
      </c>
      <c r="AN28" s="38"/>
      <c r="AO28" s="38"/>
      <c r="AP28" s="38"/>
      <c r="AQ28" s="38"/>
      <c r="AR28" s="38"/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108">
        <v>6.2194147102848617E-4</v>
      </c>
      <c r="EB28" s="108">
        <v>2.409924210422386E-4</v>
      </c>
      <c r="EC28" s="108">
        <v>-1.5421163868787518E-4</v>
      </c>
      <c r="ED28" s="108">
        <v>3.9527452439134039E-4</v>
      </c>
      <c r="EE28" s="108">
        <v>1.8695788465096161E-6</v>
      </c>
      <c r="EF28" s="108">
        <v>-9.4611324403292164E-4</v>
      </c>
      <c r="EG28" s="108">
        <v>-8.5242191910468983E-4</v>
      </c>
      <c r="EH28" s="108">
        <v>2.0182355242892623E-4</v>
      </c>
      <c r="EI28" s="108">
        <v>8.4090830001297781E-4</v>
      </c>
      <c r="EJ28" s="108">
        <v>-5.1680236603983149E-4</v>
      </c>
      <c r="EK28" s="108">
        <v>1.0157964004125358E-4</v>
      </c>
      <c r="EL28" s="108">
        <v>2.2491279266136522E-4</v>
      </c>
      <c r="EM28" s="108">
        <v>0</v>
      </c>
      <c r="EN28" s="108">
        <v>0</v>
      </c>
      <c r="EO28" s="108">
        <v>0</v>
      </c>
      <c r="EP28" s="108">
        <v>0</v>
      </c>
      <c r="EQ28" s="108">
        <v>0</v>
      </c>
      <c r="ER28" s="108">
        <v>0</v>
      </c>
      <c r="ES28" s="108">
        <v>0</v>
      </c>
      <c r="ET28" s="108">
        <v>0</v>
      </c>
      <c r="EU28" s="108">
        <v>0</v>
      </c>
      <c r="EV28" s="108">
        <v>0</v>
      </c>
      <c r="EW28" s="108">
        <v>0</v>
      </c>
      <c r="EX28" s="108">
        <v>0</v>
      </c>
      <c r="EY28" s="108">
        <v>0</v>
      </c>
      <c r="EZ28" s="108">
        <v>0</v>
      </c>
      <c r="FA28" s="108">
        <v>0</v>
      </c>
      <c r="FB28" s="108">
        <v>0</v>
      </c>
      <c r="FC28" s="108">
        <v>0</v>
      </c>
    </row>
    <row r="29" spans="1:159" ht="16.2" hidden="1" thickBot="1" x14ac:dyDescent="0.3">
      <c r="A29" s="60">
        <f t="shared" si="5"/>
        <v>26</v>
      </c>
      <c r="B29" s="28" t="s">
        <v>66</v>
      </c>
      <c r="C29" s="73">
        <v>3.230820936485343E-3</v>
      </c>
      <c r="D29" s="73">
        <v>1.6070471981895461E-3</v>
      </c>
      <c r="E29" s="73">
        <v>3.3924071134300547E-5</v>
      </c>
      <c r="F29" s="73">
        <v>1.1434812111936865E-4</v>
      </c>
      <c r="G29" s="73">
        <v>-3.1691236370744286E-5</v>
      </c>
      <c r="H29" s="73">
        <v>-1.4805384193565161E-4</v>
      </c>
      <c r="I29" s="73">
        <v>-4.373789907296372E-5</v>
      </c>
      <c r="J29" s="73">
        <v>3.942467927421914E-4</v>
      </c>
      <c r="K29" s="73">
        <v>1.1861075321878125E-3</v>
      </c>
      <c r="L29" s="73">
        <v>1.4051193523353051E-3</v>
      </c>
      <c r="M29" s="73">
        <v>2.2224456071544907E-3</v>
      </c>
      <c r="N29" s="73">
        <v>2.2560586960000124E-3</v>
      </c>
      <c r="O29" s="73">
        <v>2.2430976982803228E-3</v>
      </c>
      <c r="P29" s="73">
        <v>1.3940373080848281E-3</v>
      </c>
      <c r="Q29" s="73">
        <v>1.2295069622834267E-4</v>
      </c>
      <c r="R29" s="73">
        <v>-2.2978422025066083E-4</v>
      </c>
      <c r="S29" s="73">
        <v>7.5004618939277271E-4</v>
      </c>
      <c r="T29" s="73">
        <v>1.019461580643484E-4</v>
      </c>
      <c r="U29" s="73">
        <v>2.0626210092703628E-4</v>
      </c>
      <c r="V29" s="73">
        <v>3.942467927421914E-4</v>
      </c>
      <c r="W29" s="73">
        <v>1.1861075321878125E-3</v>
      </c>
      <c r="X29" s="73">
        <v>1.4051193523353051E-3</v>
      </c>
      <c r="Y29" s="73">
        <v>2.1524456071544905E-3</v>
      </c>
      <c r="Z29" s="73">
        <v>2.1560586960000126E-3</v>
      </c>
      <c r="AA29" s="73">
        <v>2.1430976982803229E-3</v>
      </c>
      <c r="AB29" s="73">
        <v>1.3940373080848281E-3</v>
      </c>
      <c r="AC29" s="73">
        <v>2.7295069622834266E-4</v>
      </c>
      <c r="AD29" s="73">
        <v>-7.9784220250660843E-5</v>
      </c>
      <c r="AE29" s="73">
        <v>9.0004618939277267E-4</v>
      </c>
      <c r="AF29" s="73">
        <v>2.5294615806434838E-4</v>
      </c>
      <c r="AG29" s="73">
        <v>4.423878339438192E-4</v>
      </c>
      <c r="AH29" s="73">
        <v>5.4524679274219143E-4</v>
      </c>
      <c r="AI29" s="73">
        <v>1.3371075321878126E-3</v>
      </c>
      <c r="AJ29" s="73">
        <v>1.5561193523353049E-3</v>
      </c>
      <c r="AK29" s="73">
        <v>2.4024456071544903E-3</v>
      </c>
      <c r="AL29" s="73">
        <v>2.4060586960000128E-3</v>
      </c>
      <c r="AM29" s="73">
        <v>2.1430976982803229E-3</v>
      </c>
      <c r="AN29" s="73">
        <v>1.3940373080848281E-3</v>
      </c>
      <c r="AO29" s="73">
        <v>2.7295069622834266E-4</v>
      </c>
      <c r="AP29" s="73">
        <v>-7.9784220250660843E-5</v>
      </c>
      <c r="AQ29" s="73">
        <v>9.0004618939277267E-4</v>
      </c>
      <c r="AR29" s="73">
        <v>2.5294615806434838E-4</v>
      </c>
      <c r="AS29" s="73">
        <v>4.423878339438192E-4</v>
      </c>
      <c r="AT29" s="73">
        <v>5.4524679274219143E-4</v>
      </c>
      <c r="AU29" s="73">
        <v>1.3371075321878126E-3</v>
      </c>
      <c r="AV29" s="73">
        <v>1.5561193523353049E-3</v>
      </c>
      <c r="AW29" s="73">
        <v>2.4024456071544903E-3</v>
      </c>
      <c r="AX29" s="73">
        <v>2.4060586960000128E-3</v>
      </c>
      <c r="AY29" s="73">
        <v>2.1430976982803229E-3</v>
      </c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109"/>
      <c r="DU29" s="109"/>
      <c r="DV29" s="109"/>
      <c r="DW29" s="109"/>
      <c r="DX29" s="109"/>
      <c r="DY29" s="109"/>
      <c r="DZ29" s="109"/>
      <c r="EA29" s="109">
        <f>+EA27+EA28</f>
        <v>2.2371282435097346E-3</v>
      </c>
      <c r="EB29" s="109">
        <f>+EB27+EB28</f>
        <v>2.2371282435097346E-3</v>
      </c>
      <c r="EC29" s="109">
        <f>+EC27+EC28</f>
        <v>2.2371282435097346E-3</v>
      </c>
      <c r="ED29" s="109">
        <f>+ED27+ED28</f>
        <v>2.2371282435097346E-3</v>
      </c>
      <c r="EE29" s="109">
        <f>+EE27+EE28</f>
        <v>2.2371282435097346E-3</v>
      </c>
      <c r="EF29" s="109">
        <f t="shared" ref="EF29:FC29" si="48">+EF27+EF28</f>
        <v>2.2371282435097346E-3</v>
      </c>
      <c r="EG29" s="109">
        <f t="shared" si="48"/>
        <v>2.2371282435097346E-3</v>
      </c>
      <c r="EH29" s="109">
        <f t="shared" si="48"/>
        <v>2.2371282435097346E-3</v>
      </c>
      <c r="EI29" s="109">
        <f t="shared" si="48"/>
        <v>2.2371282435097346E-3</v>
      </c>
      <c r="EJ29" s="109">
        <f t="shared" si="48"/>
        <v>2.2371282435097346E-3</v>
      </c>
      <c r="EK29" s="109">
        <f t="shared" si="48"/>
        <v>2.2371282435097346E-3</v>
      </c>
      <c r="EL29" s="109">
        <f t="shared" si="48"/>
        <v>2.2371282435097346E-3</v>
      </c>
      <c r="EM29" s="109">
        <f t="shared" si="48"/>
        <v>2.2371282435097346E-3</v>
      </c>
      <c r="EN29" s="109">
        <f t="shared" si="48"/>
        <v>2.2371282435097346E-3</v>
      </c>
      <c r="EO29" s="109">
        <f t="shared" si="48"/>
        <v>2.2371282435097346E-3</v>
      </c>
      <c r="EP29" s="109">
        <f t="shared" si="48"/>
        <v>2.2371282435097346E-3</v>
      </c>
      <c r="EQ29" s="109">
        <f t="shared" si="48"/>
        <v>2.2371282435097346E-3</v>
      </c>
      <c r="ER29" s="109">
        <f t="shared" si="48"/>
        <v>2.2371282435097346E-3</v>
      </c>
      <c r="ES29" s="109">
        <f t="shared" si="48"/>
        <v>2.2371282435097346E-3</v>
      </c>
      <c r="ET29" s="109">
        <f t="shared" si="48"/>
        <v>2.2371282435097346E-3</v>
      </c>
      <c r="EU29" s="109">
        <f t="shared" si="48"/>
        <v>2.2371282435097346E-3</v>
      </c>
      <c r="EV29" s="109">
        <f t="shared" si="48"/>
        <v>2.2371282435097346E-3</v>
      </c>
      <c r="EW29" s="109">
        <f t="shared" si="48"/>
        <v>2.2371282435097346E-3</v>
      </c>
      <c r="EX29" s="109">
        <f t="shared" si="48"/>
        <v>2.2371282435097346E-3</v>
      </c>
      <c r="EY29" s="109">
        <f t="shared" si="48"/>
        <v>2.2371282435097346E-3</v>
      </c>
      <c r="EZ29" s="109">
        <f t="shared" si="48"/>
        <v>2.2371282435097346E-3</v>
      </c>
      <c r="FA29" s="109">
        <f t="shared" si="48"/>
        <v>2.2371282435097346E-3</v>
      </c>
      <c r="FB29" s="109">
        <f t="shared" si="48"/>
        <v>2.2371282435097346E-3</v>
      </c>
      <c r="FC29" s="109">
        <f t="shared" si="48"/>
        <v>2.2371282435097346E-3</v>
      </c>
    </row>
    <row r="30" spans="1:159" ht="16.2" hidden="1" thickTop="1" x14ac:dyDescent="0.25">
      <c r="A30" s="60">
        <f t="shared" si="5"/>
        <v>27</v>
      </c>
      <c r="B30" s="32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74" t="s">
        <v>67</v>
      </c>
      <c r="BA30" s="74" t="s">
        <v>67</v>
      </c>
      <c r="BB30" s="74" t="s">
        <v>67</v>
      </c>
      <c r="BC30" s="74" t="s">
        <v>67</v>
      </c>
      <c r="BD30" s="75" t="s">
        <v>68</v>
      </c>
      <c r="BE30" s="75" t="s">
        <v>68</v>
      </c>
      <c r="BF30" s="75" t="s">
        <v>68</v>
      </c>
      <c r="BG30" s="75" t="s">
        <v>68</v>
      </c>
      <c r="BH30" s="74" t="s">
        <v>69</v>
      </c>
      <c r="BI30" s="74" t="s">
        <v>69</v>
      </c>
      <c r="BJ30" s="74" t="s">
        <v>69</v>
      </c>
      <c r="BK30" s="74" t="s">
        <v>69</v>
      </c>
      <c r="BL30" s="74" t="s">
        <v>69</v>
      </c>
      <c r="BM30" s="74" t="s">
        <v>69</v>
      </c>
      <c r="BN30" s="75" t="s">
        <v>68</v>
      </c>
      <c r="BO30" s="75" t="s">
        <v>68</v>
      </c>
      <c r="BP30" s="75" t="s">
        <v>68</v>
      </c>
      <c r="BQ30" s="75" t="s">
        <v>68</v>
      </c>
      <c r="BR30" s="39" t="s">
        <v>70</v>
      </c>
      <c r="BS30" s="39" t="s">
        <v>70</v>
      </c>
      <c r="BT30" s="39" t="s">
        <v>70</v>
      </c>
      <c r="BU30" s="39" t="s">
        <v>70</v>
      </c>
      <c r="BV30" s="39" t="s">
        <v>70</v>
      </c>
      <c r="BW30" s="39" t="s">
        <v>70</v>
      </c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1"/>
      <c r="DC30" s="41"/>
      <c r="DD30" s="41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</row>
    <row r="31" spans="1:159" ht="15.6" hidden="1" x14ac:dyDescent="0.25">
      <c r="A31" s="60">
        <f t="shared" si="5"/>
        <v>28</v>
      </c>
      <c r="B31" s="32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6" t="s">
        <v>71</v>
      </c>
      <c r="BA31" s="76" t="s">
        <v>71</v>
      </c>
      <c r="BB31" s="76" t="s">
        <v>71</v>
      </c>
      <c r="BC31" s="76" t="s">
        <v>71</v>
      </c>
      <c r="BD31" s="76" t="s">
        <v>71</v>
      </c>
      <c r="BE31" s="76" t="s">
        <v>71</v>
      </c>
      <c r="BF31" s="76" t="s">
        <v>71</v>
      </c>
      <c r="BG31" s="76" t="s">
        <v>71</v>
      </c>
      <c r="BH31" s="76" t="s">
        <v>71</v>
      </c>
      <c r="BI31" s="76" t="s">
        <v>71</v>
      </c>
      <c r="BJ31" s="76" t="s">
        <v>71</v>
      </c>
      <c r="BK31" s="76" t="s">
        <v>71</v>
      </c>
      <c r="BL31" s="76" t="s">
        <v>71</v>
      </c>
      <c r="BM31" s="76" t="s">
        <v>71</v>
      </c>
      <c r="BN31" s="76" t="s">
        <v>71</v>
      </c>
      <c r="BO31" s="76" t="s">
        <v>71</v>
      </c>
      <c r="BP31" s="76" t="s">
        <v>71</v>
      </c>
      <c r="BQ31" s="76" t="s">
        <v>71</v>
      </c>
      <c r="BR31" s="42" t="s">
        <v>71</v>
      </c>
      <c r="BS31" s="42" t="s">
        <v>71</v>
      </c>
      <c r="BT31" s="42" t="s">
        <v>71</v>
      </c>
      <c r="BU31" s="42" t="s">
        <v>71</v>
      </c>
      <c r="BV31" s="42" t="s">
        <v>71</v>
      </c>
      <c r="BW31" s="42" t="s">
        <v>71</v>
      </c>
      <c r="BX31" s="42" t="s">
        <v>71</v>
      </c>
      <c r="BY31" s="42" t="s">
        <v>71</v>
      </c>
      <c r="BZ31" s="42" t="s">
        <v>71</v>
      </c>
      <c r="CA31" s="42" t="s">
        <v>71</v>
      </c>
      <c r="CB31" s="42" t="s">
        <v>71</v>
      </c>
      <c r="CC31" s="42" t="s">
        <v>71</v>
      </c>
      <c r="CD31" s="42" t="s">
        <v>71</v>
      </c>
      <c r="CE31" s="42" t="s">
        <v>71</v>
      </c>
      <c r="CF31" s="42" t="s">
        <v>71</v>
      </c>
      <c r="CG31" s="42" t="s">
        <v>71</v>
      </c>
      <c r="CH31" s="42" t="s">
        <v>71</v>
      </c>
      <c r="CI31" s="42" t="s">
        <v>71</v>
      </c>
      <c r="CJ31" s="42" t="s">
        <v>71</v>
      </c>
      <c r="CK31" s="42" t="s">
        <v>71</v>
      </c>
      <c r="CL31" s="42" t="s">
        <v>71</v>
      </c>
      <c r="CM31" s="42" t="s">
        <v>71</v>
      </c>
      <c r="CN31" s="75" t="s">
        <v>72</v>
      </c>
      <c r="CO31" s="75" t="s">
        <v>72</v>
      </c>
      <c r="CP31" s="75" t="s">
        <v>72</v>
      </c>
      <c r="CQ31" s="75" t="s">
        <v>72</v>
      </c>
      <c r="CR31" s="75" t="s">
        <v>72</v>
      </c>
      <c r="CS31" s="75" t="s">
        <v>72</v>
      </c>
      <c r="CT31" s="75" t="s">
        <v>72</v>
      </c>
      <c r="CU31" s="75" t="s">
        <v>72</v>
      </c>
      <c r="CV31" s="75" t="s">
        <v>73</v>
      </c>
      <c r="CW31" s="75" t="s">
        <v>73</v>
      </c>
      <c r="CX31" s="75" t="s">
        <v>73</v>
      </c>
      <c r="CY31" s="75" t="s">
        <v>73</v>
      </c>
      <c r="CZ31" s="75" t="s">
        <v>73</v>
      </c>
      <c r="DA31" s="75" t="s">
        <v>73</v>
      </c>
      <c r="DB31" s="75" t="s">
        <v>73</v>
      </c>
      <c r="DC31" s="75" t="s">
        <v>73</v>
      </c>
      <c r="DD31" s="75" t="s">
        <v>73</v>
      </c>
      <c r="DE31" s="75" t="s">
        <v>73</v>
      </c>
      <c r="DF31" s="75" t="s">
        <v>73</v>
      </c>
      <c r="DG31" s="75" t="s">
        <v>73</v>
      </c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110"/>
      <c r="DU31" s="110"/>
      <c r="DV31" s="110"/>
      <c r="DW31" s="110"/>
      <c r="DX31" s="110"/>
      <c r="DY31" s="110"/>
      <c r="DZ31" s="110"/>
      <c r="EA31" s="110" t="s">
        <v>72</v>
      </c>
      <c r="EB31" s="110" t="s">
        <v>72</v>
      </c>
      <c r="EC31" s="110" t="s">
        <v>72</v>
      </c>
      <c r="ED31" s="110" t="s">
        <v>72</v>
      </c>
      <c r="EE31" s="110" t="s">
        <v>72</v>
      </c>
      <c r="EF31" s="110" t="s">
        <v>73</v>
      </c>
      <c r="EG31" s="110" t="s">
        <v>74</v>
      </c>
      <c r="EH31" s="110" t="s">
        <v>75</v>
      </c>
      <c r="EI31" s="110" t="s">
        <v>76</v>
      </c>
      <c r="EJ31" s="110" t="s">
        <v>77</v>
      </c>
      <c r="EK31" s="110" t="s">
        <v>78</v>
      </c>
      <c r="EL31" s="110" t="s">
        <v>79</v>
      </c>
      <c r="EM31" s="110" t="s">
        <v>80</v>
      </c>
      <c r="EN31" s="110" t="s">
        <v>81</v>
      </c>
      <c r="EO31" s="110" t="s">
        <v>82</v>
      </c>
      <c r="EP31" s="110" t="s">
        <v>83</v>
      </c>
      <c r="EQ31" s="110" t="s">
        <v>84</v>
      </c>
      <c r="ER31" s="110" t="s">
        <v>73</v>
      </c>
      <c r="ES31" s="110" t="s">
        <v>74</v>
      </c>
      <c r="ET31" s="110" t="s">
        <v>75</v>
      </c>
      <c r="EU31" s="110" t="s">
        <v>76</v>
      </c>
      <c r="EV31" s="110" t="s">
        <v>77</v>
      </c>
      <c r="EW31" s="110" t="s">
        <v>78</v>
      </c>
      <c r="EX31" s="110" t="s">
        <v>79</v>
      </c>
      <c r="EY31" s="110" t="s">
        <v>80</v>
      </c>
      <c r="EZ31" s="110" t="s">
        <v>81</v>
      </c>
      <c r="FA31" s="110" t="s">
        <v>82</v>
      </c>
      <c r="FB31" s="110" t="s">
        <v>83</v>
      </c>
      <c r="FC31" s="110" t="s">
        <v>84</v>
      </c>
    </row>
    <row r="32" spans="1:159" ht="15.6" hidden="1" x14ac:dyDescent="0.25">
      <c r="A32" s="60">
        <f t="shared" si="5"/>
        <v>29</v>
      </c>
      <c r="B32" s="22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4" t="s">
        <v>85</v>
      </c>
      <c r="BA32" s="74" t="s">
        <v>85</v>
      </c>
      <c r="BB32" s="74" t="s">
        <v>85</v>
      </c>
      <c r="BC32" s="74" t="s">
        <v>85</v>
      </c>
      <c r="BD32" s="74" t="s">
        <v>85</v>
      </c>
      <c r="BE32" s="74" t="s">
        <v>85</v>
      </c>
      <c r="BF32" s="74" t="s">
        <v>85</v>
      </c>
      <c r="BG32" s="74" t="s">
        <v>85</v>
      </c>
      <c r="BH32" s="74" t="s">
        <v>85</v>
      </c>
      <c r="BI32" s="74" t="s">
        <v>85</v>
      </c>
      <c r="BJ32" s="74" t="s">
        <v>85</v>
      </c>
      <c r="BK32" s="74" t="s">
        <v>85</v>
      </c>
      <c r="BL32" s="74" t="s">
        <v>85</v>
      </c>
      <c r="BM32" s="74" t="s">
        <v>85</v>
      </c>
      <c r="BN32" s="74" t="s">
        <v>85</v>
      </c>
      <c r="BO32" s="74" t="s">
        <v>85</v>
      </c>
      <c r="BP32" s="74" t="s">
        <v>85</v>
      </c>
      <c r="BQ32" s="74" t="s">
        <v>85</v>
      </c>
      <c r="BR32" s="75" t="s">
        <v>86</v>
      </c>
      <c r="BS32" s="75" t="s">
        <v>86</v>
      </c>
      <c r="BT32" s="75" t="s">
        <v>86</v>
      </c>
      <c r="BU32" s="75" t="s">
        <v>86</v>
      </c>
      <c r="BV32" s="75" t="s">
        <v>86</v>
      </c>
      <c r="BW32" s="75" t="s">
        <v>86</v>
      </c>
      <c r="BX32" s="75" t="s">
        <v>87</v>
      </c>
      <c r="BY32" s="75" t="s">
        <v>87</v>
      </c>
      <c r="BZ32" s="75" t="s">
        <v>87</v>
      </c>
      <c r="CA32" s="75" t="s">
        <v>87</v>
      </c>
      <c r="CB32" s="75" t="s">
        <v>87</v>
      </c>
      <c r="CC32" s="75" t="s">
        <v>87</v>
      </c>
      <c r="CD32" s="75" t="s">
        <v>87</v>
      </c>
      <c r="CE32" s="75" t="s">
        <v>87</v>
      </c>
      <c r="CF32" s="75" t="s">
        <v>88</v>
      </c>
      <c r="CG32" s="75" t="s">
        <v>88</v>
      </c>
      <c r="CH32" s="75" t="s">
        <v>88</v>
      </c>
      <c r="CI32" s="75" t="s">
        <v>88</v>
      </c>
      <c r="CJ32" s="75" t="s">
        <v>87</v>
      </c>
      <c r="CK32" s="75" t="s">
        <v>89</v>
      </c>
      <c r="CL32" s="75" t="s">
        <v>90</v>
      </c>
      <c r="CM32" s="75" t="s">
        <v>91</v>
      </c>
      <c r="CN32" s="42" t="s">
        <v>71</v>
      </c>
      <c r="CO32" s="42" t="s">
        <v>71</v>
      </c>
      <c r="CP32" s="42" t="s">
        <v>71</v>
      </c>
      <c r="CQ32" s="42" t="s">
        <v>71</v>
      </c>
      <c r="CR32" s="42" t="s">
        <v>71</v>
      </c>
      <c r="CS32" s="42" t="s">
        <v>71</v>
      </c>
      <c r="CT32" s="42" t="s">
        <v>71</v>
      </c>
      <c r="CU32" s="42" t="s">
        <v>71</v>
      </c>
      <c r="CV32" s="42" t="s">
        <v>71</v>
      </c>
      <c r="CW32" s="42" t="s">
        <v>71</v>
      </c>
      <c r="CX32" s="42" t="s">
        <v>71</v>
      </c>
      <c r="CY32" s="42" t="s">
        <v>71</v>
      </c>
      <c r="CZ32" s="42" t="s">
        <v>71</v>
      </c>
      <c r="DA32" s="42" t="s">
        <v>71</v>
      </c>
      <c r="DB32" s="42" t="s">
        <v>71</v>
      </c>
      <c r="DC32" s="42" t="s">
        <v>71</v>
      </c>
      <c r="DD32" s="42" t="s">
        <v>71</v>
      </c>
      <c r="DE32" s="42" t="s">
        <v>71</v>
      </c>
      <c r="DF32" s="42" t="s">
        <v>71</v>
      </c>
      <c r="DG32" s="42" t="s">
        <v>71</v>
      </c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 t="s">
        <v>71</v>
      </c>
      <c r="EB32" s="42" t="s">
        <v>71</v>
      </c>
      <c r="EC32" s="42" t="s">
        <v>71</v>
      </c>
      <c r="ED32" s="42" t="s">
        <v>71</v>
      </c>
      <c r="EE32" s="42" t="s">
        <v>71</v>
      </c>
      <c r="EF32" s="42" t="s">
        <v>71</v>
      </c>
      <c r="EG32" s="42" t="s">
        <v>71</v>
      </c>
      <c r="EH32" s="42" t="s">
        <v>71</v>
      </c>
      <c r="EI32" s="42" t="s">
        <v>71</v>
      </c>
      <c r="EJ32" s="42" t="s">
        <v>71</v>
      </c>
      <c r="EK32" s="42" t="s">
        <v>71</v>
      </c>
      <c r="EL32" s="42" t="s">
        <v>71</v>
      </c>
      <c r="EM32" s="42" t="s">
        <v>71</v>
      </c>
      <c r="EN32" s="42" t="s">
        <v>71</v>
      </c>
      <c r="EO32" s="42" t="s">
        <v>71</v>
      </c>
      <c r="EP32" s="42" t="s">
        <v>71</v>
      </c>
      <c r="EQ32" s="42" t="s">
        <v>71</v>
      </c>
      <c r="ER32" s="42" t="s">
        <v>71</v>
      </c>
      <c r="ES32" s="42" t="s">
        <v>71</v>
      </c>
      <c r="ET32" s="42" t="s">
        <v>71</v>
      </c>
      <c r="EU32" s="42" t="s">
        <v>71</v>
      </c>
      <c r="EV32" s="42" t="s">
        <v>71</v>
      </c>
      <c r="EW32" s="42" t="s">
        <v>71</v>
      </c>
      <c r="EX32" s="42" t="s">
        <v>71</v>
      </c>
      <c r="EY32" s="42" t="s">
        <v>71</v>
      </c>
      <c r="EZ32" s="42" t="s">
        <v>71</v>
      </c>
      <c r="FA32" s="42" t="s">
        <v>71</v>
      </c>
      <c r="FB32" s="42" t="s">
        <v>71</v>
      </c>
      <c r="FC32" s="42" t="s">
        <v>71</v>
      </c>
    </row>
    <row r="33" spans="1:159" ht="15.6" hidden="1" x14ac:dyDescent="0.25">
      <c r="A33" s="60">
        <f t="shared" si="5"/>
        <v>30</v>
      </c>
      <c r="B33" s="22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</row>
    <row r="34" spans="1:159" ht="15.6" hidden="1" x14ac:dyDescent="0.25">
      <c r="A34" s="60">
        <f t="shared" si="5"/>
        <v>31</v>
      </c>
      <c r="B34" s="28" t="s">
        <v>92</v>
      </c>
      <c r="C34" s="26">
        <v>131192000</v>
      </c>
      <c r="D34" s="26">
        <v>139579980</v>
      </c>
      <c r="E34" s="26">
        <v>135197590</v>
      </c>
      <c r="F34" s="26">
        <v>117446840</v>
      </c>
      <c r="G34" s="26">
        <v>117617530</v>
      </c>
      <c r="H34" s="26">
        <v>133975490</v>
      </c>
      <c r="I34" s="26">
        <v>150858650</v>
      </c>
      <c r="J34" s="26">
        <v>162139340</v>
      </c>
      <c r="K34" s="26">
        <v>165383460</v>
      </c>
      <c r="L34" s="26">
        <v>181302070</v>
      </c>
      <c r="M34" s="26">
        <v>158105400</v>
      </c>
      <c r="N34" s="26">
        <v>142862480</v>
      </c>
      <c r="O34" s="26">
        <v>132503920</v>
      </c>
      <c r="P34" s="26">
        <v>146558979</v>
      </c>
      <c r="Q34" s="26">
        <v>141957469.5</v>
      </c>
      <c r="R34" s="26">
        <v>123319182</v>
      </c>
      <c r="S34" s="26">
        <v>123498406.5</v>
      </c>
      <c r="T34" s="26">
        <v>140674264.5</v>
      </c>
      <c r="U34" s="26">
        <v>158401582.5</v>
      </c>
      <c r="V34" s="26">
        <v>170246307</v>
      </c>
      <c r="W34" s="26">
        <v>173652633</v>
      </c>
      <c r="X34" s="26">
        <v>190367173.5</v>
      </c>
      <c r="Y34" s="26">
        <v>166010670</v>
      </c>
      <c r="Z34" s="26">
        <v>150005604</v>
      </c>
      <c r="AA34" s="26">
        <v>139129116</v>
      </c>
      <c r="AB34" s="26">
        <v>130186350</v>
      </c>
      <c r="AC34" s="26">
        <v>122199000</v>
      </c>
      <c r="AD34" s="26">
        <v>111743100</v>
      </c>
      <c r="AE34" s="26">
        <v>112319550</v>
      </c>
      <c r="AF34" s="26">
        <v>123364500</v>
      </c>
      <c r="AG34" s="26">
        <v>149436000</v>
      </c>
      <c r="AH34" s="26">
        <v>147060000</v>
      </c>
      <c r="AI34" s="26">
        <v>155422050</v>
      </c>
      <c r="AJ34" s="26">
        <v>199885532.17500001</v>
      </c>
      <c r="AK34" s="26">
        <v>174311203.5</v>
      </c>
      <c r="AL34" s="26">
        <v>157505884.20000002</v>
      </c>
      <c r="AM34" s="26">
        <v>146085571.80000001</v>
      </c>
      <c r="AN34" s="26">
        <v>124508000</v>
      </c>
      <c r="AO34" s="26">
        <v>118533000</v>
      </c>
      <c r="AP34" s="26">
        <v>111145000</v>
      </c>
      <c r="AQ34" s="26">
        <v>124842000</v>
      </c>
      <c r="AR34" s="26">
        <v>143052000</v>
      </c>
      <c r="AS34" s="26">
        <v>144113000</v>
      </c>
      <c r="AT34" s="26">
        <v>147060000</v>
      </c>
      <c r="AU34" s="26">
        <v>155845000</v>
      </c>
      <c r="AV34" s="26">
        <v>153666000</v>
      </c>
      <c r="AW34" s="26">
        <v>131265000</v>
      </c>
      <c r="AX34" s="26">
        <v>126927000</v>
      </c>
      <c r="AY34" s="26">
        <v>117110000</v>
      </c>
      <c r="AZ34" s="26">
        <v>132063200</v>
      </c>
      <c r="BA34" s="26">
        <v>120834800</v>
      </c>
      <c r="BB34" s="26">
        <v>104042000</v>
      </c>
      <c r="BC34" s="26">
        <v>113496409.67</v>
      </c>
      <c r="BD34" s="26">
        <v>124559259.61</v>
      </c>
      <c r="BE34" s="26">
        <v>130925632.67</v>
      </c>
      <c r="BF34" s="26">
        <v>145643055.80000001</v>
      </c>
      <c r="BG34" s="26">
        <v>137071328.94</v>
      </c>
      <c r="BH34" s="26">
        <v>167906381.44999999</v>
      </c>
      <c r="BI34" s="26">
        <v>145103374.65000001</v>
      </c>
      <c r="BJ34" s="26">
        <v>119123416.38</v>
      </c>
      <c r="BK34" s="26">
        <v>107588853.23999999</v>
      </c>
      <c r="BL34" s="26">
        <v>123279435.40000001</v>
      </c>
      <c r="BM34" s="26">
        <v>117763998.56999999</v>
      </c>
      <c r="BN34" s="26">
        <v>110286882.77</v>
      </c>
      <c r="BO34" s="26">
        <v>111258848.48</v>
      </c>
      <c r="BP34" s="26">
        <v>109454849.67</v>
      </c>
      <c r="BQ34" s="26">
        <v>127880113.68000001</v>
      </c>
      <c r="BR34" s="26">
        <v>140202102.74000001</v>
      </c>
      <c r="BS34" s="26">
        <v>127580447.36</v>
      </c>
      <c r="BT34" s="26">
        <v>176288395.81999999</v>
      </c>
      <c r="BU34" s="26">
        <v>148547226.53999999</v>
      </c>
      <c r="BV34" s="26">
        <v>128169018.66</v>
      </c>
      <c r="BW34" s="26">
        <v>115495898.66</v>
      </c>
      <c r="BX34" s="26">
        <v>104160337.361</v>
      </c>
      <c r="BY34" s="26">
        <v>109210584.69</v>
      </c>
      <c r="BZ34" s="26">
        <v>104112584.28</v>
      </c>
      <c r="CA34" s="26">
        <v>103672309.59999999</v>
      </c>
      <c r="CB34" s="26">
        <v>113531189.34999999</v>
      </c>
      <c r="CC34" s="26">
        <v>143848510.24000001</v>
      </c>
      <c r="CD34" s="26">
        <v>140529508</v>
      </c>
      <c r="CE34" s="26">
        <v>131358284.2</v>
      </c>
      <c r="CF34" s="26">
        <v>157658967.75299999</v>
      </c>
      <c r="CG34" s="26">
        <v>130860580.19</v>
      </c>
      <c r="CH34" s="26">
        <v>136953649.15000001</v>
      </c>
      <c r="CI34" s="26">
        <v>105318880</v>
      </c>
      <c r="CJ34" s="26">
        <v>100921339.20999999</v>
      </c>
      <c r="CK34" s="26">
        <v>108463083.33</v>
      </c>
      <c r="CL34" s="26">
        <v>103952187.38</v>
      </c>
      <c r="CM34" s="26">
        <v>119568149.41</v>
      </c>
      <c r="CN34" s="26">
        <v>124632856.31</v>
      </c>
      <c r="CO34" s="26">
        <v>114843163.72</v>
      </c>
      <c r="CP34" s="26">
        <v>126267029.41</v>
      </c>
      <c r="CQ34" s="26">
        <v>132364341.33</v>
      </c>
      <c r="CR34" s="26">
        <v>148120283</v>
      </c>
      <c r="CS34" s="26">
        <v>131609115.73</v>
      </c>
      <c r="CT34" s="26">
        <v>127863671.26000001</v>
      </c>
      <c r="CU34" s="26">
        <v>105816162.97</v>
      </c>
      <c r="CV34" s="26">
        <v>127271323.97</v>
      </c>
      <c r="CW34" s="26">
        <v>124570219.15000001</v>
      </c>
      <c r="CX34" s="26">
        <v>100916449.13</v>
      </c>
      <c r="CY34" s="26">
        <v>107020613.48</v>
      </c>
      <c r="CZ34" s="26">
        <v>125532028.62</v>
      </c>
      <c r="DA34" s="26">
        <v>140890636.16</v>
      </c>
      <c r="DB34" s="26">
        <v>145339891.03</v>
      </c>
      <c r="DC34" s="26">
        <v>145479178.59</v>
      </c>
      <c r="DD34" s="26">
        <v>181787287.19</v>
      </c>
      <c r="DE34" s="26">
        <v>174559245.68000001</v>
      </c>
      <c r="DF34" s="26">
        <v>148168577.97</v>
      </c>
      <c r="DG34" s="26">
        <v>138526312.13999999</v>
      </c>
      <c r="DH34" s="26">
        <v>144569854.24000001</v>
      </c>
      <c r="DI34" s="26">
        <v>148100376.97999999</v>
      </c>
      <c r="DJ34" s="26">
        <v>128100090.40000001</v>
      </c>
      <c r="DK34" s="26">
        <v>144854672.75</v>
      </c>
      <c r="DL34" s="26">
        <v>161993840.28</v>
      </c>
      <c r="DM34" s="26">
        <v>184262725.91999999</v>
      </c>
      <c r="DN34" s="26">
        <v>210915053.71000001</v>
      </c>
      <c r="DO34" s="26">
        <v>191176009.78</v>
      </c>
      <c r="DP34" s="26">
        <v>218163252.94999999</v>
      </c>
      <c r="DQ34" s="26">
        <v>186621188.48699999</v>
      </c>
      <c r="DR34" s="26">
        <v>169543159.28999999</v>
      </c>
      <c r="DS34" s="26">
        <v>163872375.47999999</v>
      </c>
      <c r="DT34" s="26">
        <v>189587787.66</v>
      </c>
      <c r="DU34" s="26">
        <v>169142460.03999999</v>
      </c>
      <c r="DV34" s="26">
        <v>154325023.93000001</v>
      </c>
      <c r="DW34" s="26">
        <v>202062062.41</v>
      </c>
      <c r="DX34" s="26">
        <v>194907320.62</v>
      </c>
      <c r="DY34" s="26">
        <v>211215589.56999999</v>
      </c>
      <c r="DZ34" s="26">
        <v>251856428.06999999</v>
      </c>
      <c r="EA34" s="111">
        <v>229832261.80713329</v>
      </c>
      <c r="EB34" s="111">
        <v>246783630.97388214</v>
      </c>
      <c r="EC34" s="111">
        <v>227448881.16732842</v>
      </c>
      <c r="ED34" s="111">
        <v>202348969.91190782</v>
      </c>
      <c r="EE34" s="111">
        <v>179824962.26982686</v>
      </c>
      <c r="EF34" s="111">
        <v>174783116.83032906</v>
      </c>
      <c r="EG34" s="111">
        <v>168466677.08895728</v>
      </c>
      <c r="EH34" s="111">
        <v>141860031.67388651</v>
      </c>
      <c r="EI34" s="111">
        <v>154876760.447878</v>
      </c>
      <c r="EJ34" s="111">
        <v>166667109.11930016</v>
      </c>
      <c r="EK34" s="111">
        <v>191262108.30961996</v>
      </c>
      <c r="EL34" s="111">
        <v>211777853.96259344</v>
      </c>
      <c r="EM34" s="111">
        <v>194332441.77994919</v>
      </c>
      <c r="EN34" s="111">
        <v>216714552.82739127</v>
      </c>
      <c r="EO34" s="111">
        <v>195650713.56789687</v>
      </c>
      <c r="EP34" s="111">
        <v>173785741.30709282</v>
      </c>
      <c r="EQ34" s="111">
        <v>162453871.07119992</v>
      </c>
      <c r="ER34" s="111">
        <v>173602171.2471045</v>
      </c>
      <c r="ES34" s="111">
        <v>165629062.44634169</v>
      </c>
      <c r="ET34" s="111">
        <v>140671978.43516976</v>
      </c>
      <c r="EU34" s="111">
        <v>155572097.60600403</v>
      </c>
      <c r="EV34" s="111">
        <v>164516423.66342157</v>
      </c>
      <c r="EW34" s="111">
        <v>189410799.91447881</v>
      </c>
      <c r="EX34" s="111">
        <v>211073081.73362768</v>
      </c>
      <c r="EY34" s="111">
        <v>192113979.36432049</v>
      </c>
      <c r="EZ34" s="111">
        <v>215333207.76819065</v>
      </c>
      <c r="FA34" s="111">
        <v>191456644.86275098</v>
      </c>
      <c r="FB34" s="111">
        <v>171735885.3346782</v>
      </c>
      <c r="FC34" s="111">
        <v>159437661.79421329</v>
      </c>
    </row>
    <row r="35" spans="1:159" ht="15.6" hidden="1" x14ac:dyDescent="0.25">
      <c r="A35" s="60">
        <f t="shared" si="5"/>
        <v>32</v>
      </c>
      <c r="B35" s="28" t="s">
        <v>93</v>
      </c>
      <c r="C35" s="26">
        <v>41193000</v>
      </c>
      <c r="D35" s="26">
        <v>39195070</v>
      </c>
      <c r="E35" s="26">
        <v>36075180</v>
      </c>
      <c r="F35" s="26">
        <v>38764810</v>
      </c>
      <c r="G35" s="26">
        <v>38018420</v>
      </c>
      <c r="H35" s="26">
        <v>47256890</v>
      </c>
      <c r="I35" s="26">
        <v>49864710</v>
      </c>
      <c r="J35" s="26">
        <v>51919050</v>
      </c>
      <c r="K35" s="26">
        <v>55887340</v>
      </c>
      <c r="L35" s="26">
        <v>48826430</v>
      </c>
      <c r="M35" s="26">
        <v>46589280</v>
      </c>
      <c r="N35" s="26">
        <v>41140330</v>
      </c>
      <c r="O35" s="26">
        <v>41604930</v>
      </c>
      <c r="P35" s="26">
        <v>40370922.100000001</v>
      </c>
      <c r="Q35" s="26">
        <v>37157435.399999999</v>
      </c>
      <c r="R35" s="26">
        <v>39927754.300000004</v>
      </c>
      <c r="S35" s="26">
        <v>39158972.600000001</v>
      </c>
      <c r="T35" s="26">
        <v>48674596.700000003</v>
      </c>
      <c r="U35" s="26">
        <v>51360651.300000004</v>
      </c>
      <c r="V35" s="26">
        <v>53476621.5</v>
      </c>
      <c r="W35" s="26">
        <v>57563960.200000003</v>
      </c>
      <c r="X35" s="26">
        <v>50291222.899999999</v>
      </c>
      <c r="Y35" s="26">
        <v>47986958.399999999</v>
      </c>
      <c r="Z35" s="26">
        <v>42374539.899999999</v>
      </c>
      <c r="AA35" s="26">
        <v>42853077.899999999</v>
      </c>
      <c r="AB35" s="26">
        <v>39132790</v>
      </c>
      <c r="AC35" s="26">
        <v>35633880</v>
      </c>
      <c r="AD35" s="26">
        <v>38697100</v>
      </c>
      <c r="AE35" s="26">
        <v>39816710</v>
      </c>
      <c r="AF35" s="26">
        <v>48115420</v>
      </c>
      <c r="AG35" s="26">
        <v>49086710</v>
      </c>
      <c r="AH35" s="26">
        <v>57072163</v>
      </c>
      <c r="AI35" s="26">
        <v>52666990</v>
      </c>
      <c r="AJ35" s="26">
        <v>51799959.586999997</v>
      </c>
      <c r="AK35" s="26">
        <v>49426567.152000003</v>
      </c>
      <c r="AL35" s="26">
        <v>43645776.097000003</v>
      </c>
      <c r="AM35" s="26">
        <v>44138670.236999996</v>
      </c>
      <c r="AN35" s="26">
        <v>40093426</v>
      </c>
      <c r="AO35" s="26">
        <v>38273350</v>
      </c>
      <c r="AP35" s="26">
        <v>42105951</v>
      </c>
      <c r="AQ35" s="26">
        <v>43243878</v>
      </c>
      <c r="AR35" s="26">
        <v>53383634</v>
      </c>
      <c r="AS35" s="26">
        <v>56168895</v>
      </c>
      <c r="AT35" s="26">
        <v>57072163</v>
      </c>
      <c r="AU35" s="26">
        <v>60196307</v>
      </c>
      <c r="AV35" s="26">
        <v>57795400</v>
      </c>
      <c r="AW35" s="26">
        <v>53252300</v>
      </c>
      <c r="AX35" s="26">
        <v>43642100</v>
      </c>
      <c r="AY35" s="26">
        <v>43313100</v>
      </c>
      <c r="AZ35" s="26">
        <v>42082988</v>
      </c>
      <c r="BA35" s="26">
        <v>40816666</v>
      </c>
      <c r="BB35" s="26">
        <v>42926200</v>
      </c>
      <c r="BC35" s="26">
        <v>46291400</v>
      </c>
      <c r="BD35" s="26">
        <v>58210100</v>
      </c>
      <c r="BE35" s="26">
        <v>61472000</v>
      </c>
      <c r="BF35" s="26">
        <v>62548000</v>
      </c>
      <c r="BG35" s="26">
        <v>64848000</v>
      </c>
      <c r="BH35" s="26">
        <v>55449000</v>
      </c>
      <c r="BI35" s="26">
        <v>52373000</v>
      </c>
      <c r="BJ35" s="26">
        <v>47659000</v>
      </c>
      <c r="BK35" s="26">
        <v>50191000</v>
      </c>
      <c r="BL35" s="26">
        <v>46423000</v>
      </c>
      <c r="BM35" s="26">
        <v>41825000</v>
      </c>
      <c r="BN35" s="26">
        <v>46161000</v>
      </c>
      <c r="BO35" s="26">
        <v>48087205</v>
      </c>
      <c r="BP35" s="26">
        <v>58922000</v>
      </c>
      <c r="BQ35" s="26">
        <v>62136000</v>
      </c>
      <c r="BR35" s="26">
        <v>63811000</v>
      </c>
      <c r="BS35" s="26">
        <v>78600000</v>
      </c>
      <c r="BT35" s="26">
        <v>62300000</v>
      </c>
      <c r="BU35" s="26">
        <v>61200000</v>
      </c>
      <c r="BV35" s="26">
        <v>57400000</v>
      </c>
      <c r="BW35" s="26">
        <v>57400000</v>
      </c>
      <c r="BX35" s="26">
        <v>52000000</v>
      </c>
      <c r="BY35" s="26">
        <v>44583585</v>
      </c>
      <c r="BZ35" s="26">
        <v>45983752</v>
      </c>
      <c r="CA35" s="26">
        <v>52880746</v>
      </c>
      <c r="CB35" s="26">
        <v>65443922</v>
      </c>
      <c r="CC35" s="26">
        <v>64629180</v>
      </c>
      <c r="CD35" s="26">
        <v>64407637</v>
      </c>
      <c r="CE35" s="26">
        <v>70824085</v>
      </c>
      <c r="CF35" s="26">
        <v>61261554</v>
      </c>
      <c r="CG35" s="26">
        <v>62705765</v>
      </c>
      <c r="CH35" s="26">
        <v>46948493</v>
      </c>
      <c r="CI35" s="26">
        <v>47829351</v>
      </c>
      <c r="CJ35" s="26">
        <v>48215673</v>
      </c>
      <c r="CK35" s="26">
        <v>49958132</v>
      </c>
      <c r="CL35" s="26">
        <v>60323508</v>
      </c>
      <c r="CM35" s="26">
        <v>57566546</v>
      </c>
      <c r="CN35" s="26">
        <v>58632281</v>
      </c>
      <c r="CO35" s="26">
        <v>74653780</v>
      </c>
      <c r="CP35" s="26">
        <v>75620959</v>
      </c>
      <c r="CQ35" s="26">
        <v>72785648</v>
      </c>
      <c r="CR35" s="26">
        <v>69208526</v>
      </c>
      <c r="CS35" s="26">
        <v>68267801</v>
      </c>
      <c r="CT35" s="26">
        <v>56314903</v>
      </c>
      <c r="CU35" s="26">
        <v>58624629</v>
      </c>
      <c r="CV35" s="26">
        <v>51016178</v>
      </c>
      <c r="CW35" s="26">
        <v>48628566</v>
      </c>
      <c r="CX35" s="26">
        <v>57963901</v>
      </c>
      <c r="CY35" s="26">
        <v>58235978</v>
      </c>
      <c r="CZ35" s="26">
        <v>69092537</v>
      </c>
      <c r="DA35" s="26">
        <v>71963860</v>
      </c>
      <c r="DB35" s="26">
        <v>76136565</v>
      </c>
      <c r="DC35" s="26">
        <v>81869382</v>
      </c>
      <c r="DD35" s="26">
        <v>67742382</v>
      </c>
      <c r="DE35" s="26">
        <v>65907934</v>
      </c>
      <c r="DF35" s="26">
        <v>52183931</v>
      </c>
      <c r="DG35" s="26">
        <v>57668887</v>
      </c>
      <c r="DH35" s="26">
        <v>61266280</v>
      </c>
      <c r="DI35" s="26">
        <v>55925422</v>
      </c>
      <c r="DJ35" s="26">
        <v>61972028</v>
      </c>
      <c r="DK35" s="26">
        <v>66148593</v>
      </c>
      <c r="DL35" s="26">
        <v>78326385</v>
      </c>
      <c r="DM35" s="26">
        <v>81490054</v>
      </c>
      <c r="DN35" s="26">
        <v>84671332</v>
      </c>
      <c r="DO35" s="26">
        <v>86858484</v>
      </c>
      <c r="DP35" s="26">
        <v>69897197</v>
      </c>
      <c r="DQ35" s="26">
        <v>69145223</v>
      </c>
      <c r="DR35" s="26">
        <v>65904017</v>
      </c>
      <c r="DS35" s="26">
        <v>65330194</v>
      </c>
      <c r="DT35" s="26">
        <v>63073367</v>
      </c>
      <c r="DU35" s="26">
        <v>59623658</v>
      </c>
      <c r="DV35" s="26">
        <v>67807839</v>
      </c>
      <c r="DW35" s="26">
        <v>69482951</v>
      </c>
      <c r="DX35" s="26">
        <v>77079065</v>
      </c>
      <c r="DY35" s="26">
        <v>89177746</v>
      </c>
      <c r="DZ35" s="26">
        <v>91221472</v>
      </c>
      <c r="EA35" s="111">
        <v>94150000</v>
      </c>
      <c r="EB35" s="111">
        <v>87200000</v>
      </c>
      <c r="EC35" s="111">
        <v>81900000</v>
      </c>
      <c r="ED35" s="111">
        <v>64500000</v>
      </c>
      <c r="EE35" s="111">
        <v>65600000</v>
      </c>
      <c r="EF35" s="111">
        <v>71079751.560000062</v>
      </c>
      <c r="EG35" s="111">
        <v>66032394.340000063</v>
      </c>
      <c r="EH35" s="111">
        <v>70703378.190000072</v>
      </c>
      <c r="EI35" s="111">
        <v>75099687.950000077</v>
      </c>
      <c r="EJ35" s="111">
        <v>85467172.940000087</v>
      </c>
      <c r="EK35" s="111">
        <v>89023757.620000094</v>
      </c>
      <c r="EL35" s="111">
        <v>91465035.51000011</v>
      </c>
      <c r="EM35" s="111">
        <v>96058818.530000091</v>
      </c>
      <c r="EN35" s="111">
        <v>87061190.420000076</v>
      </c>
      <c r="EO35" s="111">
        <v>82111019.720000088</v>
      </c>
      <c r="EP35" s="111">
        <v>72994779.100000083</v>
      </c>
      <c r="EQ35" s="111">
        <v>73443821.860000089</v>
      </c>
      <c r="ER35" s="111">
        <v>71063302.770000055</v>
      </c>
      <c r="ES35" s="111">
        <v>65981929.480000064</v>
      </c>
      <c r="ET35" s="111">
        <v>70683795.070000067</v>
      </c>
      <c r="EU35" s="111">
        <v>75108776.810000062</v>
      </c>
      <c r="EV35" s="111">
        <v>85499275.740000069</v>
      </c>
      <c r="EW35" s="111">
        <v>89089145.850000054</v>
      </c>
      <c r="EX35" s="111">
        <v>91555935.01000005</v>
      </c>
      <c r="EY35" s="111">
        <v>96194926.690000057</v>
      </c>
      <c r="EZ35" s="111">
        <v>87114900.100000054</v>
      </c>
      <c r="FA35" s="111">
        <v>82124529.440000057</v>
      </c>
      <c r="FB35" s="111">
        <v>72930595.660000056</v>
      </c>
      <c r="FC35" s="111">
        <v>73385642.00000006</v>
      </c>
    </row>
    <row r="36" spans="1:159" ht="15.6" hidden="1" x14ac:dyDescent="0.25">
      <c r="A36" s="60">
        <f t="shared" si="5"/>
        <v>33</v>
      </c>
      <c r="B36" s="25" t="s">
        <v>94</v>
      </c>
      <c r="C36" s="26">
        <v>41208000</v>
      </c>
      <c r="D36" s="26">
        <v>39831370</v>
      </c>
      <c r="E36" s="26">
        <v>35837830</v>
      </c>
      <c r="F36" s="26">
        <v>38515340</v>
      </c>
      <c r="G36" s="26">
        <v>38296170</v>
      </c>
      <c r="H36" s="26">
        <v>48234570</v>
      </c>
      <c r="I36" s="26">
        <v>51920060</v>
      </c>
      <c r="J36" s="26">
        <v>54225890</v>
      </c>
      <c r="K36" s="26">
        <v>58416380</v>
      </c>
      <c r="L36" s="26">
        <v>50965610</v>
      </c>
      <c r="M36" s="26">
        <v>47758860</v>
      </c>
      <c r="N36" s="26">
        <v>41158510</v>
      </c>
      <c r="O36" s="26">
        <v>41620080</v>
      </c>
      <c r="P36" s="26">
        <v>41026311.100000001</v>
      </c>
      <c r="Q36" s="26">
        <v>38346478.100000001</v>
      </c>
      <c r="R36" s="26">
        <v>41211413.800000004</v>
      </c>
      <c r="S36" s="26">
        <v>40976901.900000006</v>
      </c>
      <c r="T36" s="26">
        <v>51610989.900000006</v>
      </c>
      <c r="U36" s="26">
        <v>55554464.200000003</v>
      </c>
      <c r="V36" s="26">
        <v>58021702.300000004</v>
      </c>
      <c r="W36" s="26">
        <v>62505526.600000001</v>
      </c>
      <c r="X36" s="26">
        <v>54533202.700000003</v>
      </c>
      <c r="Y36" s="26">
        <v>51101980.200000003</v>
      </c>
      <c r="Z36" s="26">
        <v>44039605.700000003</v>
      </c>
      <c r="AA36" s="26">
        <v>44533485.600000001</v>
      </c>
      <c r="AB36" s="26">
        <v>33976610</v>
      </c>
      <c r="AC36" s="26">
        <v>31095700</v>
      </c>
      <c r="AD36" s="26">
        <v>30279940</v>
      </c>
      <c r="AE36" s="26">
        <v>32390410</v>
      </c>
      <c r="AF36" s="26">
        <v>37134590</v>
      </c>
      <c r="AG36" s="26">
        <v>42127000</v>
      </c>
      <c r="AH36" s="26">
        <v>4769000</v>
      </c>
      <c r="AI36" s="26">
        <v>44709210</v>
      </c>
      <c r="AJ36" s="26">
        <v>58350526.889000006</v>
      </c>
      <c r="AK36" s="26">
        <v>54679118.814000003</v>
      </c>
      <c r="AL36" s="26">
        <v>47122378.099000007</v>
      </c>
      <c r="AM36" s="26">
        <v>47650829.592000008</v>
      </c>
      <c r="AN36" s="26">
        <v>32113000</v>
      </c>
      <c r="AO36" s="26">
        <v>29922000</v>
      </c>
      <c r="AP36" s="26">
        <v>32845000</v>
      </c>
      <c r="AQ36" s="26">
        <v>34365000</v>
      </c>
      <c r="AR36" s="26">
        <v>43031000</v>
      </c>
      <c r="AS36" s="26">
        <v>46743000</v>
      </c>
      <c r="AT36" s="26">
        <v>47679000</v>
      </c>
      <c r="AU36" s="26">
        <v>50246000</v>
      </c>
      <c r="AV36" s="26">
        <v>45149000</v>
      </c>
      <c r="AW36" s="26">
        <v>29896000</v>
      </c>
      <c r="AX36" s="26">
        <v>34889000</v>
      </c>
      <c r="AY36" s="26">
        <v>34510000</v>
      </c>
      <c r="AZ36" s="26">
        <v>24897000</v>
      </c>
      <c r="BA36" s="26">
        <v>22224000</v>
      </c>
      <c r="BB36" s="26">
        <v>24548000</v>
      </c>
      <c r="BC36" s="26">
        <v>27066000</v>
      </c>
      <c r="BD36" s="26">
        <v>32456000</v>
      </c>
      <c r="BE36" s="26">
        <v>35545000</v>
      </c>
      <c r="BF36" s="26">
        <v>36391000</v>
      </c>
      <c r="BG36" s="26">
        <v>39730000</v>
      </c>
      <c r="BH36" s="26">
        <v>34199000</v>
      </c>
      <c r="BI36" s="26">
        <v>31507000</v>
      </c>
      <c r="BJ36" s="26">
        <v>27638000</v>
      </c>
      <c r="BK36" s="26">
        <v>28937000</v>
      </c>
      <c r="BL36" s="26">
        <v>25568284.385473493</v>
      </c>
      <c r="BM36" s="26">
        <v>24684507.358406071</v>
      </c>
      <c r="BN36" s="26">
        <v>24724364.951322112</v>
      </c>
      <c r="BO36" s="26">
        <v>26366596.218460027</v>
      </c>
      <c r="BP36" s="26">
        <v>30961954.320980109</v>
      </c>
      <c r="BQ36" s="26">
        <v>36330889.247888505</v>
      </c>
      <c r="BR36" s="26">
        <v>37847128.143678397</v>
      </c>
      <c r="BS36" s="26">
        <v>34749884.552843153</v>
      </c>
      <c r="BT36" s="26">
        <v>31201111.652472805</v>
      </c>
      <c r="BU36" s="26">
        <v>27674274.772105884</v>
      </c>
      <c r="BV36" s="26">
        <v>23422441.902726687</v>
      </c>
      <c r="BW36" s="26">
        <v>26054771.839570735</v>
      </c>
      <c r="BX36" s="26">
        <v>33748000</v>
      </c>
      <c r="BY36" s="26">
        <v>28043074.965</v>
      </c>
      <c r="BZ36" s="26">
        <v>28655357.655651696</v>
      </c>
      <c r="CA36" s="26">
        <v>37414147.435164839</v>
      </c>
      <c r="CB36" s="26">
        <v>46983114.375141554</v>
      </c>
      <c r="CC36" s="26">
        <v>47420776.173274726</v>
      </c>
      <c r="CD36" s="26">
        <v>47448442</v>
      </c>
      <c r="CE36" s="26">
        <v>52074901.213210024</v>
      </c>
      <c r="CF36" s="26">
        <v>45327692</v>
      </c>
      <c r="CG36" s="26">
        <v>45496288.606173001</v>
      </c>
      <c r="CH36" s="26">
        <v>32995062.251560751</v>
      </c>
      <c r="CI36" s="26">
        <v>33522344</v>
      </c>
      <c r="CJ36" s="26">
        <v>31543771.345676068</v>
      </c>
      <c r="CK36" s="26">
        <v>31679358.887796357</v>
      </c>
      <c r="CL36" s="26">
        <v>38285704.712767959</v>
      </c>
      <c r="CM36" s="26">
        <v>37230688.002667457</v>
      </c>
      <c r="CN36" s="26">
        <v>38529445.844538115</v>
      </c>
      <c r="CO36" s="26">
        <v>50366339.650093041</v>
      </c>
      <c r="CP36" s="26">
        <v>51454132.803713456</v>
      </c>
      <c r="CQ36" s="26">
        <v>49527317.387372226</v>
      </c>
      <c r="CR36" s="26">
        <v>47288647.578138433</v>
      </c>
      <c r="CS36" s="26">
        <v>45723440.656376161</v>
      </c>
      <c r="CT36" s="26">
        <v>36490834.159001775</v>
      </c>
      <c r="CU36" s="26">
        <v>37717619.736037761</v>
      </c>
      <c r="CV36" s="26">
        <v>31775782.270941462</v>
      </c>
      <c r="CW36" s="26">
        <v>29510783.842661269</v>
      </c>
      <c r="CX36" s="26">
        <v>35246764.21049273</v>
      </c>
      <c r="CY36" s="26">
        <v>35996379.684216999</v>
      </c>
      <c r="CZ36" s="26">
        <v>43508241.144752607</v>
      </c>
      <c r="DA36" s="26">
        <v>46555714.977402046</v>
      </c>
      <c r="DB36" s="26">
        <v>49658861.426329985</v>
      </c>
      <c r="DC36" s="26">
        <v>53288282.839668974</v>
      </c>
      <c r="DD36" s="26">
        <v>44554272.566020317</v>
      </c>
      <c r="DE36" s="26">
        <v>42423938.369615227</v>
      </c>
      <c r="DF36" s="26">
        <v>32501568.743227184</v>
      </c>
      <c r="DG36" s="26">
        <v>35605331.421026856</v>
      </c>
      <c r="DH36" s="26">
        <v>34822818.240083098</v>
      </c>
      <c r="DI36" s="26">
        <v>30928730.524669178</v>
      </c>
      <c r="DJ36" s="26">
        <v>34341787.032469064</v>
      </c>
      <c r="DK36" s="26">
        <v>37268866.331218287</v>
      </c>
      <c r="DL36" s="26">
        <v>45044074.034897789</v>
      </c>
      <c r="DM36" s="26">
        <v>48195133.130045816</v>
      </c>
      <c r="DN36" s="26">
        <v>50498324.505062535</v>
      </c>
      <c r="DO36" s="26">
        <v>51696748.857632704</v>
      </c>
      <c r="DP36" s="26">
        <v>41989888.635993913</v>
      </c>
      <c r="DQ36" s="26">
        <v>40652377.319520049</v>
      </c>
      <c r="DR36" s="26">
        <v>37421470.389585011</v>
      </c>
      <c r="DS36" s="26">
        <v>35995578.738537841</v>
      </c>
      <c r="DT36" s="26">
        <v>59428568.393350773</v>
      </c>
      <c r="DU36" s="26">
        <v>55318518.724781536</v>
      </c>
      <c r="DV36" s="26">
        <v>63376780.263330035</v>
      </c>
      <c r="DW36" s="26">
        <v>65784447.764792524</v>
      </c>
      <c r="DX36" s="26">
        <v>74507408.583801687</v>
      </c>
      <c r="DY36" s="26">
        <v>87938324.356796816</v>
      </c>
      <c r="DZ36" s="26">
        <v>90721707.474980921</v>
      </c>
      <c r="EA36" s="36">
        <f>EA35*EA69</f>
        <v>93878833.4048834</v>
      </c>
      <c r="EB36" s="36">
        <f>EB35*EB69</f>
        <v>87542766.00858593</v>
      </c>
      <c r="EC36" s="36">
        <f>EC35*EC69</f>
        <v>80809153.837379858</v>
      </c>
      <c r="ED36" s="36">
        <f>ED35*ED69</f>
        <v>62092732.813602977</v>
      </c>
      <c r="EE36" s="36">
        <f>EE35*EE69</f>
        <v>61486034.698131949</v>
      </c>
      <c r="EF36" s="36">
        <f t="shared" ref="EF36:FC36" si="49">EF35*EF69</f>
        <v>48749740.472738691</v>
      </c>
      <c r="EG36" s="36">
        <f t="shared" si="49"/>
        <v>44521595.586097002</v>
      </c>
      <c r="EH36" s="36">
        <f t="shared" si="49"/>
        <v>47918065.821332812</v>
      </c>
      <c r="EI36" s="36">
        <f t="shared" si="49"/>
        <v>51406314.030823417</v>
      </c>
      <c r="EJ36" s="36">
        <f t="shared" si="49"/>
        <v>59990922.713134572</v>
      </c>
      <c r="EK36" s="36">
        <f t="shared" si="49"/>
        <v>64100342.127219588</v>
      </c>
      <c r="EL36" s="36">
        <f t="shared" si="49"/>
        <v>66564100.33427307</v>
      </c>
      <c r="EM36" s="36">
        <f t="shared" si="49"/>
        <v>70176575.698968843</v>
      </c>
      <c r="EN36" s="36">
        <f t="shared" si="49"/>
        <v>63511342.819875769</v>
      </c>
      <c r="EO36" s="36">
        <f t="shared" si="49"/>
        <v>58752233.72806067</v>
      </c>
      <c r="EP36" s="36">
        <f t="shared" si="49"/>
        <v>50986596.065312386</v>
      </c>
      <c r="EQ36" s="36">
        <f t="shared" si="49"/>
        <v>49830149.360512853</v>
      </c>
      <c r="ER36" s="36">
        <f t="shared" si="49"/>
        <v>43675545.840060219</v>
      </c>
      <c r="ES36" s="36">
        <f t="shared" si="49"/>
        <v>39845162.216936015</v>
      </c>
      <c r="ET36" s="36">
        <f t="shared" si="49"/>
        <v>42906148.829036728</v>
      </c>
      <c r="EU36" s="36">
        <f t="shared" si="49"/>
        <v>46053457.799592257</v>
      </c>
      <c r="EV36" s="36">
        <f t="shared" si="49"/>
        <v>53789377.104157969</v>
      </c>
      <c r="EW36" s="36">
        <f t="shared" si="49"/>
        <v>57546092.00834842</v>
      </c>
      <c r="EX36" s="36">
        <f t="shared" si="49"/>
        <v>59783227.765119344</v>
      </c>
      <c r="EY36" s="36">
        <f t="shared" si="49"/>
        <v>63047738.750285998</v>
      </c>
      <c r="EZ36" s="36">
        <f t="shared" si="49"/>
        <v>57020760.988548234</v>
      </c>
      <c r="FA36" s="36">
        <f t="shared" si="49"/>
        <v>52689585.670969628</v>
      </c>
      <c r="FB36" s="36">
        <f t="shared" si="49"/>
        <v>45633935.757634647</v>
      </c>
      <c r="FC36" s="36">
        <f t="shared" si="49"/>
        <v>44589466.890032746</v>
      </c>
    </row>
    <row r="37" spans="1:159" ht="16.2" hidden="1" thickBot="1" x14ac:dyDescent="0.3">
      <c r="A37" s="60">
        <f t="shared" si="5"/>
        <v>34</v>
      </c>
      <c r="B37" s="43" t="s">
        <v>95</v>
      </c>
      <c r="C37" s="78">
        <v>213593000</v>
      </c>
      <c r="D37" s="78">
        <v>218606420</v>
      </c>
      <c r="E37" s="78">
        <v>207110600</v>
      </c>
      <c r="F37" s="78">
        <v>194726990</v>
      </c>
      <c r="G37" s="78">
        <v>193932120</v>
      </c>
      <c r="H37" s="78">
        <v>229466950</v>
      </c>
      <c r="I37" s="78">
        <v>252643420</v>
      </c>
      <c r="J37" s="78">
        <v>268284280</v>
      </c>
      <c r="K37" s="78">
        <v>279687180</v>
      </c>
      <c r="L37" s="78">
        <v>281094110</v>
      </c>
      <c r="M37" s="78">
        <v>252453540</v>
      </c>
      <c r="N37" s="78">
        <v>225161320</v>
      </c>
      <c r="O37" s="78">
        <v>215728930</v>
      </c>
      <c r="P37" s="78">
        <v>227956212.19999999</v>
      </c>
      <c r="Q37" s="78">
        <v>217461383</v>
      </c>
      <c r="R37" s="78">
        <v>204458350.10000002</v>
      </c>
      <c r="S37" s="78">
        <v>203634281</v>
      </c>
      <c r="T37" s="78">
        <v>240959851.09999999</v>
      </c>
      <c r="U37" s="78">
        <v>265316698</v>
      </c>
      <c r="V37" s="78">
        <v>281744630.80000001</v>
      </c>
      <c r="W37" s="78">
        <v>293722119.80000001</v>
      </c>
      <c r="X37" s="78">
        <v>295191599.10000002</v>
      </c>
      <c r="Y37" s="78">
        <v>265099608.60000002</v>
      </c>
      <c r="Z37" s="78">
        <v>236419749.60000002</v>
      </c>
      <c r="AA37" s="78">
        <v>226515679.5</v>
      </c>
      <c r="AB37" s="78">
        <v>203295750</v>
      </c>
      <c r="AC37" s="78">
        <v>188928580</v>
      </c>
      <c r="AD37" s="78">
        <v>180720140</v>
      </c>
      <c r="AE37" s="78">
        <v>184526670</v>
      </c>
      <c r="AF37" s="78">
        <v>208614510</v>
      </c>
      <c r="AG37" s="78">
        <v>240649710</v>
      </c>
      <c r="AH37" s="78">
        <v>208901163</v>
      </c>
      <c r="AI37" s="78">
        <v>252798250</v>
      </c>
      <c r="AJ37" s="78">
        <v>310036018.65100002</v>
      </c>
      <c r="AK37" s="78">
        <v>278416889.46600002</v>
      </c>
      <c r="AL37" s="78">
        <v>248274038.39600003</v>
      </c>
      <c r="AM37" s="78">
        <v>237875071.62900001</v>
      </c>
      <c r="AN37" s="78">
        <v>196714426</v>
      </c>
      <c r="AO37" s="78">
        <v>186728350</v>
      </c>
      <c r="AP37" s="78">
        <v>186095951</v>
      </c>
      <c r="AQ37" s="78">
        <v>202450878</v>
      </c>
      <c r="AR37" s="78">
        <v>239466634</v>
      </c>
      <c r="AS37" s="78">
        <v>247024895</v>
      </c>
      <c r="AT37" s="78">
        <v>251811163</v>
      </c>
      <c r="AU37" s="78">
        <v>266287307</v>
      </c>
      <c r="AV37" s="78">
        <v>256610400</v>
      </c>
      <c r="AW37" s="78">
        <v>214413300</v>
      </c>
      <c r="AX37" s="78">
        <v>205458100</v>
      </c>
      <c r="AY37" s="78">
        <v>194933100</v>
      </c>
      <c r="AZ37" s="78">
        <f t="shared" ref="AZ37:BK37" si="50">SUM(AZ34:AZ36)</f>
        <v>199043188</v>
      </c>
      <c r="BA37" s="78">
        <f t="shared" si="50"/>
        <v>183875466</v>
      </c>
      <c r="BB37" s="78">
        <f t="shared" si="50"/>
        <v>171516200</v>
      </c>
      <c r="BC37" s="78">
        <f t="shared" si="50"/>
        <v>186853809.67000002</v>
      </c>
      <c r="BD37" s="78">
        <f t="shared" si="50"/>
        <v>215225359.61000001</v>
      </c>
      <c r="BE37" s="78">
        <f t="shared" si="50"/>
        <v>227942632.67000002</v>
      </c>
      <c r="BF37" s="78">
        <f t="shared" si="50"/>
        <v>244582055.80000001</v>
      </c>
      <c r="BG37" s="78">
        <f t="shared" si="50"/>
        <v>241649328.94</v>
      </c>
      <c r="BH37" s="78">
        <f t="shared" si="50"/>
        <v>257554381.44999999</v>
      </c>
      <c r="BI37" s="78">
        <f t="shared" si="50"/>
        <v>228983374.65000001</v>
      </c>
      <c r="BJ37" s="78">
        <f t="shared" si="50"/>
        <v>194420416.38</v>
      </c>
      <c r="BK37" s="78">
        <f t="shared" si="50"/>
        <v>186716853.24000001</v>
      </c>
      <c r="BL37" s="78">
        <f t="shared" ref="BL37:BW37" si="51">SUM(BL34:BL36)</f>
        <v>195270719.7854735</v>
      </c>
      <c r="BM37" s="78">
        <f t="shared" si="51"/>
        <v>184273505.92840606</v>
      </c>
      <c r="BN37" s="78">
        <f t="shared" si="51"/>
        <v>181172247.72132209</v>
      </c>
      <c r="BO37" s="78">
        <f t="shared" si="51"/>
        <v>185712649.69846004</v>
      </c>
      <c r="BP37" s="78">
        <f t="shared" si="51"/>
        <v>199338803.99098012</v>
      </c>
      <c r="BQ37" s="78">
        <f t="shared" si="51"/>
        <v>226347002.92788851</v>
      </c>
      <c r="BR37" s="78">
        <f t="shared" si="51"/>
        <v>241860230.88367841</v>
      </c>
      <c r="BS37" s="78">
        <f t="shared" si="51"/>
        <v>240930331.91284317</v>
      </c>
      <c r="BT37" s="78">
        <f t="shared" si="51"/>
        <v>269789507.47247279</v>
      </c>
      <c r="BU37" s="78">
        <f t="shared" si="51"/>
        <v>237421501.31210586</v>
      </c>
      <c r="BV37" s="78">
        <f t="shared" si="51"/>
        <v>208991460.56272668</v>
      </c>
      <c r="BW37" s="78">
        <f t="shared" si="51"/>
        <v>198950670.49957073</v>
      </c>
      <c r="BX37" s="78">
        <f t="shared" ref="BX37:CJ37" si="52">SUM(BX34:BX36)</f>
        <v>189908337.361</v>
      </c>
      <c r="BY37" s="78">
        <f t="shared" si="52"/>
        <v>181837244.655</v>
      </c>
      <c r="BZ37" s="78">
        <f t="shared" si="52"/>
        <v>178751693.93565169</v>
      </c>
      <c r="CA37" s="78">
        <f t="shared" si="52"/>
        <v>193967203.03516483</v>
      </c>
      <c r="CB37" s="78">
        <f t="shared" si="52"/>
        <v>225958225.72514156</v>
      </c>
      <c r="CC37" s="78">
        <f t="shared" si="52"/>
        <v>255898466.41327474</v>
      </c>
      <c r="CD37" s="78">
        <f t="shared" si="52"/>
        <v>252385587</v>
      </c>
      <c r="CE37" s="78">
        <f t="shared" si="52"/>
        <v>254257270.41321</v>
      </c>
      <c r="CF37" s="78">
        <f t="shared" si="52"/>
        <v>264248213.75299999</v>
      </c>
      <c r="CG37" s="78">
        <f t="shared" si="52"/>
        <v>239062633.79617301</v>
      </c>
      <c r="CH37" s="78">
        <f t="shared" si="52"/>
        <v>216897204.40156075</v>
      </c>
      <c r="CI37" s="78">
        <f t="shared" si="52"/>
        <v>186670575</v>
      </c>
      <c r="CJ37" s="78">
        <f t="shared" si="52"/>
        <v>180680783.55567604</v>
      </c>
      <c r="CK37" s="78">
        <f>SUM(CK34:CK36)</f>
        <v>190100574.21779633</v>
      </c>
      <c r="CL37" s="78">
        <f>SUM(CL34:CL36)</f>
        <v>202561400.09276795</v>
      </c>
      <c r="CM37" s="78">
        <f>SUM(CM34:CM36)</f>
        <v>214365383.41266745</v>
      </c>
      <c r="CN37" s="78">
        <f t="shared" ref="CN37:CU37" si="53">SUM(CN34:CN36)</f>
        <v>221794583.15453812</v>
      </c>
      <c r="CO37" s="78">
        <f t="shared" si="53"/>
        <v>239863283.37009305</v>
      </c>
      <c r="CP37" s="78">
        <f t="shared" si="53"/>
        <v>253342121.21371347</v>
      </c>
      <c r="CQ37" s="78">
        <f t="shared" si="53"/>
        <v>254677306.71737221</v>
      </c>
      <c r="CR37" s="78">
        <f t="shared" si="53"/>
        <v>264617456.57813844</v>
      </c>
      <c r="CS37" s="78">
        <f t="shared" si="53"/>
        <v>245600357.38637617</v>
      </c>
      <c r="CT37" s="78">
        <f t="shared" si="53"/>
        <v>220669408.41900176</v>
      </c>
      <c r="CU37" s="78">
        <f t="shared" si="53"/>
        <v>202158411.70603776</v>
      </c>
      <c r="CV37" s="78">
        <f>SUM(CV34:CV36)</f>
        <v>210063284.24094146</v>
      </c>
      <c r="CW37" s="78">
        <f>SUM(CW34:CW36)</f>
        <v>202709568.99266127</v>
      </c>
      <c r="CX37" s="78">
        <f>SUM(CX34:CX36)</f>
        <v>194127114.34049273</v>
      </c>
      <c r="CY37" s="78">
        <f t="shared" ref="CY37:DI37" si="54">SUM(CY34:CY36)</f>
        <v>201252971.16421703</v>
      </c>
      <c r="CZ37" s="78">
        <f t="shared" si="54"/>
        <v>238132806.76475263</v>
      </c>
      <c r="DA37" s="78">
        <f t="shared" si="54"/>
        <v>259410211.13740206</v>
      </c>
      <c r="DB37" s="78">
        <f t="shared" si="54"/>
        <v>271135317.45633</v>
      </c>
      <c r="DC37" s="78">
        <f t="shared" si="54"/>
        <v>280636843.42966896</v>
      </c>
      <c r="DD37" s="78">
        <f t="shared" si="54"/>
        <v>294083941.75602031</v>
      </c>
      <c r="DE37" s="78">
        <f t="shared" si="54"/>
        <v>282891118.04961526</v>
      </c>
      <c r="DF37" s="78">
        <f t="shared" si="54"/>
        <v>232854077.71322718</v>
      </c>
      <c r="DG37" s="78">
        <f t="shared" si="54"/>
        <v>231800530.56102684</v>
      </c>
      <c r="DH37" s="78">
        <f t="shared" si="54"/>
        <v>240658952.48008311</v>
      </c>
      <c r="DI37" s="78">
        <f t="shared" si="54"/>
        <v>234954529.50466916</v>
      </c>
      <c r="DJ37" s="78">
        <f>SUM(DJ34:DJ36)</f>
        <v>224413905.43246907</v>
      </c>
      <c r="DK37" s="78">
        <f>SUM(DK34:DK36)</f>
        <v>248272132.0812183</v>
      </c>
      <c r="DL37" s="78">
        <f>SUM(DL34:DL36)</f>
        <v>285364299.31489778</v>
      </c>
      <c r="DM37" s="78">
        <f>SUM(DM34:DM36)</f>
        <v>313947913.05004579</v>
      </c>
      <c r="DN37" s="78">
        <f>SUM(DN34:DN36)</f>
        <v>346084710.21506256</v>
      </c>
      <c r="DO37" s="78">
        <f t="shared" ref="DO37:DS37" si="55">SUM(DO34:DO36)</f>
        <v>329731242.63763267</v>
      </c>
      <c r="DP37" s="78">
        <f t="shared" si="55"/>
        <v>330050338.58599389</v>
      </c>
      <c r="DQ37" s="78">
        <f t="shared" si="55"/>
        <v>296418788.80652004</v>
      </c>
      <c r="DR37" s="78">
        <f t="shared" si="55"/>
        <v>272868646.67958498</v>
      </c>
      <c r="DS37" s="78">
        <f t="shared" si="55"/>
        <v>265198148.21853784</v>
      </c>
      <c r="DT37" s="112">
        <f t="shared" ref="DT37:DZ37" si="56">SUM(DT34:DT36)</f>
        <v>312089723.05335075</v>
      </c>
      <c r="DU37" s="112">
        <f t="shared" si="56"/>
        <v>284084636.76478153</v>
      </c>
      <c r="DV37" s="112">
        <f t="shared" si="56"/>
        <v>285509643.19333005</v>
      </c>
      <c r="DW37" s="112">
        <f t="shared" si="56"/>
        <v>337329461.17479247</v>
      </c>
      <c r="DX37" s="112">
        <f t="shared" si="56"/>
        <v>346493794.20380169</v>
      </c>
      <c r="DY37" s="112">
        <f t="shared" si="56"/>
        <v>388331659.92679679</v>
      </c>
      <c r="DZ37" s="112">
        <f t="shared" si="56"/>
        <v>433799607.54498088</v>
      </c>
      <c r="EA37" s="112">
        <f>SUM(EA34:EA36)</f>
        <v>417861095.2120167</v>
      </c>
      <c r="EB37" s="112">
        <f>SUM(EB34:EB36)</f>
        <v>421526396.98246807</v>
      </c>
      <c r="EC37" s="112">
        <f>SUM(EC34:EC36)</f>
        <v>390158035.00470829</v>
      </c>
      <c r="ED37" s="112">
        <f>SUM(ED34:ED36)</f>
        <v>328941702.72551078</v>
      </c>
      <c r="EE37" s="112">
        <f>SUM(EE34:EE36)</f>
        <v>306910996.96795881</v>
      </c>
      <c r="EF37" s="112">
        <f t="shared" ref="EF37:EQ37" si="57">SUM(EF34:EF36)</f>
        <v>294612608.86306781</v>
      </c>
      <c r="EG37" s="112">
        <f t="shared" si="57"/>
        <v>279020667.01505435</v>
      </c>
      <c r="EH37" s="112">
        <f t="shared" si="57"/>
        <v>260481475.68521941</v>
      </c>
      <c r="EI37" s="112">
        <f t="shared" si="57"/>
        <v>281382762.42870152</v>
      </c>
      <c r="EJ37" s="112">
        <f t="shared" si="57"/>
        <v>312125204.77243483</v>
      </c>
      <c r="EK37" s="112">
        <f t="shared" si="57"/>
        <v>344386208.05683959</v>
      </c>
      <c r="EL37" s="112">
        <f t="shared" si="57"/>
        <v>369806989.80686665</v>
      </c>
      <c r="EM37" s="112">
        <f t="shared" si="57"/>
        <v>360567836.00891811</v>
      </c>
      <c r="EN37" s="112">
        <f t="shared" si="57"/>
        <v>367287086.06726712</v>
      </c>
      <c r="EO37" s="112">
        <f t="shared" si="57"/>
        <v>336513967.01595765</v>
      </c>
      <c r="EP37" s="112">
        <f t="shared" si="57"/>
        <v>297767116.47240531</v>
      </c>
      <c r="EQ37" s="112">
        <f t="shared" si="57"/>
        <v>285727842.29171288</v>
      </c>
      <c r="ER37" s="112">
        <f t="shared" ref="ER37:FC37" si="58">SUM(ER34:ER36)</f>
        <v>288341019.8571648</v>
      </c>
      <c r="ES37" s="112">
        <f t="shared" si="58"/>
        <v>271456154.14327776</v>
      </c>
      <c r="ET37" s="112">
        <f t="shared" si="58"/>
        <v>254261922.33420652</v>
      </c>
      <c r="EU37" s="112">
        <f t="shared" si="58"/>
        <v>276734332.21559632</v>
      </c>
      <c r="EV37" s="112">
        <f t="shared" si="58"/>
        <v>303805076.50757962</v>
      </c>
      <c r="EW37" s="112">
        <f t="shared" si="58"/>
        <v>336046037.77282727</v>
      </c>
      <c r="EX37" s="112">
        <f t="shared" si="58"/>
        <v>362412244.5087471</v>
      </c>
      <c r="EY37" s="112">
        <f t="shared" si="58"/>
        <v>351356644.80460656</v>
      </c>
      <c r="EZ37" s="112">
        <f t="shared" si="58"/>
        <v>359468868.85673892</v>
      </c>
      <c r="FA37" s="112">
        <f t="shared" si="58"/>
        <v>326270759.97372067</v>
      </c>
      <c r="FB37" s="112">
        <f t="shared" si="58"/>
        <v>290300416.7523129</v>
      </c>
      <c r="FC37" s="112">
        <f t="shared" si="58"/>
        <v>277412770.68424612</v>
      </c>
    </row>
    <row r="38" spans="1:159" ht="16.2" hidden="1" thickTop="1" x14ac:dyDescent="0.25">
      <c r="A38" s="60">
        <f t="shared" si="5"/>
        <v>35</v>
      </c>
      <c r="B38" s="22" t="s">
        <v>48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 t="s">
        <v>96</v>
      </c>
      <c r="AI38" s="30">
        <v>252949300</v>
      </c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>
        <f t="shared" ref="AZ38:CJ38" si="59">AZ37/AN37-1</f>
        <v>1.1838287853886298E-2</v>
      </c>
      <c r="BA38" s="30">
        <f t="shared" si="59"/>
        <v>-1.5278258496902009E-2</v>
      </c>
      <c r="BB38" s="30">
        <f t="shared" si="59"/>
        <v>-7.8345342398126627E-2</v>
      </c>
      <c r="BC38" s="30">
        <f t="shared" si="59"/>
        <v>-7.7041248149094188E-2</v>
      </c>
      <c r="BD38" s="30">
        <f t="shared" si="59"/>
        <v>-0.10123027991448685</v>
      </c>
      <c r="BE38" s="30">
        <f t="shared" si="59"/>
        <v>-7.7248336974295562E-2</v>
      </c>
      <c r="BF38" s="30">
        <f t="shared" si="59"/>
        <v>-2.8708446098555163E-2</v>
      </c>
      <c r="BG38" s="30">
        <f t="shared" si="59"/>
        <v>-9.2524042311937893E-2</v>
      </c>
      <c r="BH38" s="30">
        <f t="shared" si="59"/>
        <v>3.678656243082834E-3</v>
      </c>
      <c r="BI38" s="30">
        <f t="shared" si="59"/>
        <v>6.7953222351412101E-2</v>
      </c>
      <c r="BJ38" s="30">
        <f t="shared" si="59"/>
        <v>-5.3722309414912406E-2</v>
      </c>
      <c r="BK38" s="30">
        <f t="shared" si="59"/>
        <v>-4.2149059138750666E-2</v>
      </c>
      <c r="BL38" s="30">
        <f t="shared" si="59"/>
        <v>-1.8953013426043497E-2</v>
      </c>
      <c r="BM38" s="30">
        <f t="shared" si="59"/>
        <v>2.1647255996950499E-3</v>
      </c>
      <c r="BN38" s="30">
        <f t="shared" si="59"/>
        <v>5.6298167294530188E-2</v>
      </c>
      <c r="BO38" s="30">
        <f t="shared" si="59"/>
        <v>-6.1072341717589573E-3</v>
      </c>
      <c r="BP38" s="30">
        <f t="shared" si="59"/>
        <v>-7.3813586130403896E-2</v>
      </c>
      <c r="BQ38" s="30">
        <f t="shared" si="59"/>
        <v>-7.0001373741328532E-3</v>
      </c>
      <c r="BR38" s="30">
        <f t="shared" si="59"/>
        <v>-1.112847345819723E-2</v>
      </c>
      <c r="BS38" s="30">
        <f t="shared" si="59"/>
        <v>-2.9753735725678299E-3</v>
      </c>
      <c r="BT38" s="30">
        <f t="shared" si="59"/>
        <v>4.7505019924687364E-2</v>
      </c>
      <c r="BU38" s="30">
        <f t="shared" si="59"/>
        <v>3.6850390011953893E-2</v>
      </c>
      <c r="BV38" s="30">
        <f t="shared" si="59"/>
        <v>7.494605995620951E-2</v>
      </c>
      <c r="BW38" s="30">
        <f t="shared" si="59"/>
        <v>6.5520691074660187E-2</v>
      </c>
      <c r="BX38" s="30">
        <f t="shared" si="59"/>
        <v>-2.7461272383103141E-2</v>
      </c>
      <c r="BY38" s="30">
        <f t="shared" si="59"/>
        <v>-1.3220898257357727E-2</v>
      </c>
      <c r="BZ38" s="30">
        <f t="shared" si="59"/>
        <v>-1.3360510873573039E-2</v>
      </c>
      <c r="CA38" s="30">
        <f t="shared" si="59"/>
        <v>4.444798644630632E-2</v>
      </c>
      <c r="CB38" s="30">
        <f t="shared" si="59"/>
        <v>0.13353858456663525</v>
      </c>
      <c r="CC38" s="30">
        <f t="shared" si="59"/>
        <v>0.130558227425706</v>
      </c>
      <c r="CD38" s="30">
        <f t="shared" si="59"/>
        <v>4.3518341472946531E-2</v>
      </c>
      <c r="CE38" s="30">
        <f t="shared" si="59"/>
        <v>5.531449027010793E-2</v>
      </c>
      <c r="CF38" s="30">
        <f t="shared" si="59"/>
        <v>-2.0539322568125407E-2</v>
      </c>
      <c r="CG38" s="30">
        <f t="shared" si="59"/>
        <v>6.9123161760726859E-3</v>
      </c>
      <c r="CH38" s="30">
        <f t="shared" si="59"/>
        <v>3.7828071144855535E-2</v>
      </c>
      <c r="CI38" s="30">
        <f t="shared" si="59"/>
        <v>-6.1724323264330083E-2</v>
      </c>
      <c r="CJ38" s="30">
        <f t="shared" si="59"/>
        <v>-4.858951393894384E-2</v>
      </c>
      <c r="CK38" s="30">
        <f>CK37/BY37-1</f>
        <v>4.5443548039205917E-2</v>
      </c>
      <c r="CL38" s="30">
        <f>CL37/BZ37-1</f>
        <v>0.13319989104935392</v>
      </c>
      <c r="CM38" s="30">
        <f>CM37/CA37-1</f>
        <v>0.10516303817509076</v>
      </c>
      <c r="CN38" s="30">
        <f t="shared" ref="CN38:DI38" si="60">CN37/CB37-1</f>
        <v>-1.842660322385492E-2</v>
      </c>
      <c r="CO38" s="30">
        <f t="shared" si="60"/>
        <v>-6.2662286601143369E-2</v>
      </c>
      <c r="CP38" s="30">
        <f t="shared" si="60"/>
        <v>3.7899716266820427E-3</v>
      </c>
      <c r="CQ38" s="30">
        <f t="shared" si="60"/>
        <v>1.6520129531776284E-3</v>
      </c>
      <c r="CR38" s="30">
        <f t="shared" si="60"/>
        <v>1.3973332871175526E-3</v>
      </c>
      <c r="CS38" s="30">
        <f t="shared" si="60"/>
        <v>2.7347325202554673E-2</v>
      </c>
      <c r="CT38" s="30">
        <f t="shared" si="60"/>
        <v>1.7391667300871161E-2</v>
      </c>
      <c r="CU38" s="30">
        <f t="shared" si="60"/>
        <v>8.2968816622747132E-2</v>
      </c>
      <c r="CV38" s="30">
        <f t="shared" si="60"/>
        <v>0.16262106078486949</v>
      </c>
      <c r="CW38" s="30">
        <f t="shared" si="60"/>
        <v>6.6328020453104708E-2</v>
      </c>
      <c r="CX38" s="30">
        <f t="shared" si="60"/>
        <v>-4.1638168715325552E-2</v>
      </c>
      <c r="CY38" s="30">
        <f t="shared" si="60"/>
        <v>-6.1168515362427622E-2</v>
      </c>
      <c r="CZ38" s="30">
        <f t="shared" si="60"/>
        <v>7.3663763009174321E-2</v>
      </c>
      <c r="DA38" s="30">
        <f t="shared" si="60"/>
        <v>8.1491954469535832E-2</v>
      </c>
      <c r="DB38" s="30">
        <f t="shared" si="60"/>
        <v>7.0233864615061758E-2</v>
      </c>
      <c r="DC38" s="30">
        <f t="shared" si="60"/>
        <v>0.10193109487020502</v>
      </c>
      <c r="DD38" s="30">
        <f t="shared" si="60"/>
        <v>0.11135503136838887</v>
      </c>
      <c r="DE38" s="30">
        <f t="shared" si="60"/>
        <v>0.15183512377619879</v>
      </c>
      <c r="DF38" s="30">
        <f t="shared" si="60"/>
        <v>5.5216848504390237E-2</v>
      </c>
      <c r="DG38" s="30">
        <f t="shared" si="60"/>
        <v>0.14662817443427589</v>
      </c>
      <c r="DH38" s="30">
        <f t="shared" si="60"/>
        <v>0.14564976621068437</v>
      </c>
      <c r="DI38" s="30">
        <f t="shared" si="60"/>
        <v>0.15906975024536352</v>
      </c>
      <c r="DJ38" s="30">
        <f>DJ37/CX37-1</f>
        <v>0.1560152542053157</v>
      </c>
      <c r="DK38" s="30">
        <f>DK37/CY37-1</f>
        <v>0.23363213295685914</v>
      </c>
      <c r="DL38" s="30">
        <f>DL37/CZ37-1</f>
        <v>0.19834097280348417</v>
      </c>
      <c r="DM38" s="30">
        <f>DM37/DA37-1</f>
        <v>0.2102372981908438</v>
      </c>
      <c r="DN38" s="30">
        <f>DN37/DB37-1</f>
        <v>0.27642799714133215</v>
      </c>
      <c r="DO38" s="30">
        <f t="shared" ref="DO38:FC38" si="61">DO37/DC37-1</f>
        <v>0.17493925105477959</v>
      </c>
      <c r="DP38" s="30">
        <f t="shared" si="61"/>
        <v>0.12229976453393787</v>
      </c>
      <c r="DQ38" s="30">
        <f t="shared" si="61"/>
        <v>4.7819354846383666E-2</v>
      </c>
      <c r="DR38" s="30">
        <f t="shared" si="61"/>
        <v>0.17184396923311773</v>
      </c>
      <c r="DS38" s="30">
        <f t="shared" si="61"/>
        <v>0.14407912517145127</v>
      </c>
      <c r="DT38" s="30">
        <f t="shared" si="61"/>
        <v>0.29681326972109723</v>
      </c>
      <c r="DU38" s="30">
        <f t="shared" si="61"/>
        <v>0.2091047461978639</v>
      </c>
      <c r="DV38" s="30">
        <f>DV37/DJ37-1</f>
        <v>0.27224577569345842</v>
      </c>
      <c r="DW38" s="30">
        <f>DW37/DK37-1</f>
        <v>0.35870852015094656</v>
      </c>
      <c r="DX38" s="30">
        <f>DX37/DL37-1</f>
        <v>0.21421563606822414</v>
      </c>
      <c r="DY38" s="30">
        <f>DY37/DM37-1</f>
        <v>0.23693021607980436</v>
      </c>
      <c r="DZ38" s="30">
        <f>DZ37/DN37-1</f>
        <v>0.25344921269538578</v>
      </c>
      <c r="EA38" s="30">
        <f t="shared" si="61"/>
        <v>0.26727783472807509</v>
      </c>
      <c r="EB38" s="30">
        <f t="shared" si="61"/>
        <v>0.27715789896891829</v>
      </c>
      <c r="EC38" s="30">
        <f t="shared" si="61"/>
        <v>0.31623921876077232</v>
      </c>
      <c r="ED38" s="30">
        <f t="shared" si="61"/>
        <v>0.20549468298484785</v>
      </c>
      <c r="EE38" s="30">
        <f t="shared" si="61"/>
        <v>0.15728936657222548</v>
      </c>
      <c r="EF38" s="30">
        <f t="shared" si="61"/>
        <v>-5.6000287415088223E-2</v>
      </c>
      <c r="EG38" s="30">
        <f t="shared" si="61"/>
        <v>-1.7825567082390581E-2</v>
      </c>
      <c r="EH38" s="30">
        <f t="shared" si="61"/>
        <v>-8.7661373634105422E-2</v>
      </c>
      <c r="EI38" s="30">
        <f t="shared" si="61"/>
        <v>-0.16585180123683685</v>
      </c>
      <c r="EJ38" s="30">
        <f t="shared" si="61"/>
        <v>-9.9189624767570428E-2</v>
      </c>
      <c r="EK38" s="30">
        <f t="shared" si="61"/>
        <v>-0.11316474139203903</v>
      </c>
      <c r="EL38" s="30">
        <f t="shared" si="61"/>
        <v>-0.14751654133637915</v>
      </c>
      <c r="EM38" s="30">
        <f t="shared" si="61"/>
        <v>-0.1371107764268622</v>
      </c>
      <c r="EN38" s="30">
        <f t="shared" si="61"/>
        <v>-0.12867358083260638</v>
      </c>
      <c r="EO38" s="30">
        <f t="shared" si="61"/>
        <v>-0.13749317757380874</v>
      </c>
      <c r="EP38" s="30">
        <f t="shared" si="61"/>
        <v>-9.4772374541757243E-2</v>
      </c>
      <c r="EQ38" s="30">
        <f t="shared" si="61"/>
        <v>-6.9020513717393595E-2</v>
      </c>
      <c r="ER38" s="30">
        <f t="shared" si="61"/>
        <v>-2.1287578390163042E-2</v>
      </c>
      <c r="ES38" s="30">
        <f t="shared" si="61"/>
        <v>-2.711094110949297E-2</v>
      </c>
      <c r="ET38" s="30">
        <f t="shared" si="61"/>
        <v>-2.3877142643836002E-2</v>
      </c>
      <c r="EU38" s="30">
        <f t="shared" si="61"/>
        <v>-1.6519953720630087E-2</v>
      </c>
      <c r="EV38" s="30">
        <f t="shared" si="61"/>
        <v>-2.6656380637126942E-2</v>
      </c>
      <c r="EW38" s="30">
        <f t="shared" si="61"/>
        <v>-2.4217492132076912E-2</v>
      </c>
      <c r="EX38" s="30">
        <f t="shared" si="61"/>
        <v>-1.9996229119361608E-2</v>
      </c>
      <c r="EY38" s="30">
        <f t="shared" si="61"/>
        <v>-2.554634741209616E-2</v>
      </c>
      <c r="EZ38" s="30">
        <f t="shared" si="61"/>
        <v>-2.1286392871151305E-2</v>
      </c>
      <c r="FA38" s="30">
        <f t="shared" si="61"/>
        <v>-3.0439173544767772E-2</v>
      </c>
      <c r="FB38" s="30">
        <f t="shared" si="61"/>
        <v>-2.5075635646236161E-2</v>
      </c>
      <c r="FC38" s="30">
        <f t="shared" si="61"/>
        <v>-2.9101369823727241E-2</v>
      </c>
    </row>
    <row r="39" spans="1:159" ht="15.6" hidden="1" x14ac:dyDescent="0.25">
      <c r="A39" s="60">
        <f t="shared" si="5"/>
        <v>36</v>
      </c>
      <c r="B39" s="22"/>
      <c r="AH39" s="56" t="s">
        <v>97</v>
      </c>
      <c r="AI39" s="56">
        <v>-151050</v>
      </c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</row>
    <row r="40" spans="1:159" ht="15.6" hidden="1" x14ac:dyDescent="0.25">
      <c r="A40" s="60">
        <f t="shared" si="5"/>
        <v>37</v>
      </c>
      <c r="B40" s="22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</row>
    <row r="41" spans="1:159" ht="15.6" hidden="1" x14ac:dyDescent="0.25">
      <c r="A41" s="60">
        <f t="shared" si="5"/>
        <v>38</v>
      </c>
      <c r="B41" s="32" t="s">
        <v>98</v>
      </c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</row>
    <row r="42" spans="1:159" ht="15.6" hidden="1" x14ac:dyDescent="0.25">
      <c r="A42" s="60">
        <f t="shared" si="5"/>
        <v>39</v>
      </c>
      <c r="B42" s="32" t="s">
        <v>99</v>
      </c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</row>
    <row r="43" spans="1:159" ht="15.6" hidden="1" x14ac:dyDescent="0.25">
      <c r="A43" s="60">
        <f t="shared" si="5"/>
        <v>40</v>
      </c>
      <c r="B43" s="32" t="s">
        <v>100</v>
      </c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</row>
    <row r="44" spans="1:159" ht="15.6" hidden="1" x14ac:dyDescent="0.25">
      <c r="A44" s="60">
        <f t="shared" si="5"/>
        <v>41</v>
      </c>
      <c r="B44" s="22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</row>
    <row r="45" spans="1:159" ht="15.6" hidden="1" x14ac:dyDescent="0.25">
      <c r="A45" s="60">
        <f t="shared" si="5"/>
        <v>42</v>
      </c>
      <c r="B45" s="22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</row>
    <row r="46" spans="1:159" ht="15.6" hidden="1" x14ac:dyDescent="0.25">
      <c r="A46" s="60">
        <f t="shared" si="5"/>
        <v>43</v>
      </c>
      <c r="B46" s="25" t="s">
        <v>101</v>
      </c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79">
        <v>0</v>
      </c>
      <c r="AI46" s="79">
        <v>0</v>
      </c>
      <c r="AJ46" s="79">
        <v>0</v>
      </c>
      <c r="AK46" s="79">
        <v>0</v>
      </c>
      <c r="AL46" s="79">
        <v>0</v>
      </c>
      <c r="AM46" s="79">
        <v>0</v>
      </c>
      <c r="AN46" s="79">
        <v>0</v>
      </c>
      <c r="AO46" s="79">
        <v>0</v>
      </c>
      <c r="AP46" s="79">
        <v>0</v>
      </c>
      <c r="AQ46" s="79">
        <v>0</v>
      </c>
      <c r="AR46" s="79">
        <v>0</v>
      </c>
      <c r="AS46" s="79">
        <v>0</v>
      </c>
      <c r="AT46" s="79">
        <v>0</v>
      </c>
      <c r="AU46" s="79">
        <v>0</v>
      </c>
      <c r="AV46" s="79">
        <v>0</v>
      </c>
      <c r="AW46" s="79">
        <v>0</v>
      </c>
      <c r="AX46" s="79">
        <v>0</v>
      </c>
      <c r="AY46" s="79">
        <v>0</v>
      </c>
      <c r="AZ46" s="79">
        <f t="shared" ref="AZ46:BK46" si="62">SUM(AZ41:AZ44)</f>
        <v>0</v>
      </c>
      <c r="BA46" s="79">
        <f t="shared" si="62"/>
        <v>0</v>
      </c>
      <c r="BB46" s="79">
        <f t="shared" si="62"/>
        <v>0</v>
      </c>
      <c r="BC46" s="79">
        <f t="shared" si="62"/>
        <v>0</v>
      </c>
      <c r="BD46" s="79">
        <f t="shared" si="62"/>
        <v>0</v>
      </c>
      <c r="BE46" s="79">
        <f t="shared" si="62"/>
        <v>0</v>
      </c>
      <c r="BF46" s="79">
        <f t="shared" si="62"/>
        <v>0</v>
      </c>
      <c r="BG46" s="79">
        <f t="shared" si="62"/>
        <v>0</v>
      </c>
      <c r="BH46" s="79">
        <f t="shared" si="62"/>
        <v>0</v>
      </c>
      <c r="BI46" s="79">
        <f t="shared" si="62"/>
        <v>0</v>
      </c>
      <c r="BJ46" s="79">
        <f t="shared" si="62"/>
        <v>0</v>
      </c>
      <c r="BK46" s="79">
        <f t="shared" si="62"/>
        <v>0</v>
      </c>
      <c r="BL46" s="79">
        <f t="shared" ref="BL46:BW46" si="63">SUM(BL41:BL44)</f>
        <v>0</v>
      </c>
      <c r="BM46" s="79">
        <f t="shared" si="63"/>
        <v>0</v>
      </c>
      <c r="BN46" s="79">
        <f t="shared" si="63"/>
        <v>0</v>
      </c>
      <c r="BO46" s="79">
        <f t="shared" si="63"/>
        <v>0</v>
      </c>
      <c r="BP46" s="79">
        <f t="shared" si="63"/>
        <v>0</v>
      </c>
      <c r="BQ46" s="79">
        <f t="shared" si="63"/>
        <v>0</v>
      </c>
      <c r="BR46" s="79">
        <f t="shared" si="63"/>
        <v>0</v>
      </c>
      <c r="BS46" s="61">
        <f t="shared" si="63"/>
        <v>0</v>
      </c>
      <c r="BT46" s="61">
        <f t="shared" si="63"/>
        <v>0</v>
      </c>
      <c r="BU46" s="61">
        <f t="shared" si="63"/>
        <v>0</v>
      </c>
      <c r="BV46" s="61">
        <f t="shared" si="63"/>
        <v>0</v>
      </c>
      <c r="BW46" s="61">
        <f t="shared" si="63"/>
        <v>0</v>
      </c>
      <c r="BX46" s="61">
        <v>0</v>
      </c>
      <c r="BY46" s="61">
        <v>0</v>
      </c>
      <c r="BZ46" s="61">
        <v>0</v>
      </c>
      <c r="CA46" s="61">
        <v>0</v>
      </c>
      <c r="CB46" s="61">
        <v>0</v>
      </c>
      <c r="CC46" s="61">
        <v>0</v>
      </c>
      <c r="CD46" s="61">
        <v>0</v>
      </c>
      <c r="CE46" s="61">
        <v>0</v>
      </c>
      <c r="CF46" s="61">
        <v>0</v>
      </c>
      <c r="CG46" s="61">
        <v>0</v>
      </c>
      <c r="CH46" s="61">
        <v>0</v>
      </c>
      <c r="CI46" s="61">
        <v>0</v>
      </c>
      <c r="CJ46" s="61">
        <v>0</v>
      </c>
      <c r="CK46" s="61">
        <v>0</v>
      </c>
      <c r="CL46" s="61">
        <v>0</v>
      </c>
      <c r="CM46" s="61">
        <v>0</v>
      </c>
      <c r="CN46" s="61">
        <v>0</v>
      </c>
      <c r="CO46" s="61">
        <v>0</v>
      </c>
      <c r="CP46" s="61">
        <v>0</v>
      </c>
      <c r="CQ46" s="61">
        <v>0</v>
      </c>
      <c r="CR46" s="61">
        <v>0</v>
      </c>
      <c r="CS46" s="61">
        <v>0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0</v>
      </c>
      <c r="DA46" s="61">
        <v>0</v>
      </c>
      <c r="DB46" s="61">
        <v>0</v>
      </c>
      <c r="DC46" s="61">
        <v>0</v>
      </c>
      <c r="DD46" s="61">
        <v>0</v>
      </c>
      <c r="DE46" s="61">
        <v>0</v>
      </c>
      <c r="DF46" s="61">
        <v>0</v>
      </c>
      <c r="DG46" s="61">
        <v>0</v>
      </c>
      <c r="DH46" s="61">
        <v>0</v>
      </c>
      <c r="DI46" s="61">
        <v>0</v>
      </c>
      <c r="DJ46" s="61">
        <v>0</v>
      </c>
      <c r="DK46" s="61">
        <v>0</v>
      </c>
      <c r="DL46" s="61">
        <v>0</v>
      </c>
      <c r="DM46" s="61">
        <v>0</v>
      </c>
      <c r="DN46" s="61">
        <v>0</v>
      </c>
      <c r="DO46" s="61">
        <v>0</v>
      </c>
      <c r="DP46" s="61">
        <v>0</v>
      </c>
      <c r="DQ46" s="61">
        <v>0</v>
      </c>
      <c r="DR46" s="61">
        <v>0</v>
      </c>
      <c r="DS46" s="61">
        <v>0</v>
      </c>
      <c r="DT46" s="97">
        <v>0</v>
      </c>
      <c r="DU46" s="97">
        <v>0</v>
      </c>
      <c r="DV46" s="97">
        <v>0</v>
      </c>
      <c r="DW46" s="97">
        <v>0</v>
      </c>
      <c r="DX46" s="97">
        <v>0</v>
      </c>
      <c r="DY46" s="97">
        <v>0</v>
      </c>
      <c r="DZ46" s="97">
        <v>0</v>
      </c>
      <c r="EA46" s="97">
        <v>0</v>
      </c>
      <c r="EB46" s="97">
        <v>0</v>
      </c>
      <c r="EC46" s="97">
        <v>0</v>
      </c>
      <c r="ED46" s="97">
        <v>0</v>
      </c>
      <c r="EE46" s="97">
        <v>0</v>
      </c>
      <c r="EF46" s="97">
        <v>0</v>
      </c>
      <c r="EG46" s="97">
        <v>0</v>
      </c>
      <c r="EH46" s="97">
        <v>0</v>
      </c>
      <c r="EI46" s="97">
        <v>0</v>
      </c>
      <c r="EJ46" s="97">
        <v>0</v>
      </c>
      <c r="EK46" s="97">
        <v>0</v>
      </c>
      <c r="EL46" s="97">
        <v>0</v>
      </c>
      <c r="EM46" s="97">
        <v>0</v>
      </c>
      <c r="EN46" s="97">
        <v>0</v>
      </c>
      <c r="EO46" s="97">
        <v>0</v>
      </c>
      <c r="EP46" s="97">
        <v>0</v>
      </c>
      <c r="EQ46" s="97">
        <v>0</v>
      </c>
      <c r="ER46" s="97">
        <v>0</v>
      </c>
      <c r="ES46" s="97">
        <v>0</v>
      </c>
      <c r="ET46" s="97">
        <v>0</v>
      </c>
      <c r="EU46" s="97">
        <v>0</v>
      </c>
      <c r="EV46" s="97">
        <v>0</v>
      </c>
      <c r="EW46" s="97">
        <v>0</v>
      </c>
      <c r="EX46" s="97">
        <v>0</v>
      </c>
      <c r="EY46" s="97">
        <v>0</v>
      </c>
      <c r="EZ46" s="97">
        <v>0</v>
      </c>
      <c r="FA46" s="97">
        <v>0</v>
      </c>
      <c r="FB46" s="97">
        <v>0</v>
      </c>
      <c r="FC46" s="97">
        <v>0</v>
      </c>
    </row>
    <row r="47" spans="1:159" ht="15.6" hidden="1" x14ac:dyDescent="0.25">
      <c r="A47" s="60">
        <f t="shared" si="5"/>
        <v>44</v>
      </c>
      <c r="B47" s="22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</row>
    <row r="48" spans="1:159" ht="15.6" hidden="1" x14ac:dyDescent="0.25">
      <c r="A48" s="60">
        <f t="shared" si="5"/>
        <v>45</v>
      </c>
      <c r="B48" s="32" t="s">
        <v>102</v>
      </c>
      <c r="C48" s="26">
        <v>412442.7053859203</v>
      </c>
      <c r="D48" s="26">
        <v>210879.99619834032</v>
      </c>
      <c r="E48" s="26">
        <v>-54686.220629457996</v>
      </c>
      <c r="F48" s="26">
        <v>-57651.379031795164</v>
      </c>
      <c r="G48" s="26">
        <v>30491.412578600866</v>
      </c>
      <c r="H48" s="26">
        <v>14851.688763995684</v>
      </c>
      <c r="I48" s="26">
        <v>66634.459760943428</v>
      </c>
      <c r="J48" s="26">
        <v>56429.367714388762</v>
      </c>
      <c r="K48" s="26">
        <v>-33505</v>
      </c>
      <c r="L48" s="26">
        <v>63548.842166777838</v>
      </c>
      <c r="M48" s="26">
        <v>162777.06</v>
      </c>
      <c r="N48" s="26">
        <v>213752</v>
      </c>
      <c r="O48" s="26">
        <v>273605.56458241702</v>
      </c>
      <c r="P48" s="26">
        <v>156285</v>
      </c>
      <c r="Q48" s="26">
        <v>-95009</v>
      </c>
      <c r="R48" s="26">
        <v>-89351</v>
      </c>
      <c r="S48" s="26">
        <v>-93323</v>
      </c>
      <c r="T48" s="26">
        <v>-191517</v>
      </c>
      <c r="U48" s="26">
        <v>-107210</v>
      </c>
      <c r="V48" s="26">
        <v>-109037</v>
      </c>
      <c r="W48" s="26">
        <v>34024</v>
      </c>
      <c r="X48" s="26">
        <v>98838</v>
      </c>
      <c r="Y48" s="26">
        <v>230179</v>
      </c>
      <c r="Z48" s="26">
        <v>245388</v>
      </c>
      <c r="AA48" s="26">
        <v>280575</v>
      </c>
      <c r="AB48" s="26">
        <v>21997</v>
      </c>
      <c r="AC48" s="26">
        <v>-145771</v>
      </c>
      <c r="AD48" s="26">
        <v>-163323</v>
      </c>
      <c r="AE48" s="26">
        <v>-22117</v>
      </c>
      <c r="AF48" s="26">
        <v>-113318</v>
      </c>
      <c r="AG48" s="26">
        <v>-91742</v>
      </c>
      <c r="AH48" s="26">
        <v>-99205</v>
      </c>
      <c r="AI48" s="26">
        <v>37001</v>
      </c>
      <c r="AJ48" s="26">
        <v>140897</v>
      </c>
      <c r="AK48" s="26">
        <v>257768</v>
      </c>
      <c r="AL48" s="26">
        <v>258332</v>
      </c>
      <c r="AM48" s="26">
        <v>295395</v>
      </c>
      <c r="AN48" s="26">
        <v>36948</v>
      </c>
      <c r="AO48" s="26">
        <v>-90707</v>
      </c>
      <c r="AP48" s="26">
        <v>-146158</v>
      </c>
      <c r="AQ48" s="26">
        <v>4144</v>
      </c>
      <c r="AR48" s="26">
        <v>-107988</v>
      </c>
      <c r="AS48" s="26">
        <v>-103114</v>
      </c>
      <c r="AT48" s="26">
        <v>-109932</v>
      </c>
      <c r="AU48" s="26">
        <v>88103</v>
      </c>
      <c r="AV48" s="26">
        <v>129418</v>
      </c>
      <c r="AW48" s="26">
        <v>250151</v>
      </c>
      <c r="AX48" s="26">
        <v>297603</v>
      </c>
      <c r="AY48" s="26">
        <v>165483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0</v>
      </c>
      <c r="DJ48" s="26">
        <v>0</v>
      </c>
      <c r="DK48" s="26">
        <v>0</v>
      </c>
      <c r="DL48" s="26">
        <v>0</v>
      </c>
      <c r="DM48" s="26">
        <v>0</v>
      </c>
      <c r="DN48" s="26">
        <v>0</v>
      </c>
      <c r="DO48" s="26">
        <v>0</v>
      </c>
      <c r="DP48" s="26">
        <v>0</v>
      </c>
      <c r="DQ48" s="26">
        <v>0</v>
      </c>
      <c r="DR48" s="26">
        <v>0</v>
      </c>
      <c r="DS48" s="26">
        <v>0</v>
      </c>
      <c r="DT48" s="26">
        <v>0</v>
      </c>
      <c r="DU48" s="26">
        <v>0</v>
      </c>
      <c r="DV48" s="26">
        <v>0</v>
      </c>
      <c r="DW48" s="26">
        <v>0</v>
      </c>
      <c r="DX48" s="26">
        <v>0</v>
      </c>
      <c r="DY48" s="26">
        <v>0</v>
      </c>
      <c r="DZ48" s="26">
        <v>0</v>
      </c>
      <c r="EA48" s="106">
        <v>-230935.58390628058</v>
      </c>
      <c r="EB48" s="106">
        <v>-190632.44855983369</v>
      </c>
      <c r="EC48" s="106">
        <v>-119635.60513639497</v>
      </c>
      <c r="ED48" s="106">
        <v>-71297.773745013401</v>
      </c>
      <c r="EE48" s="106">
        <v>106668.36846755492</v>
      </c>
      <c r="EF48" s="106">
        <v>120965.53897108044</v>
      </c>
      <c r="EG48" s="106">
        <v>73469.325111455168</v>
      </c>
      <c r="EH48" s="106">
        <v>48198.053301626234</v>
      </c>
      <c r="EI48" s="106">
        <v>83767.931543109589</v>
      </c>
      <c r="EJ48" s="106">
        <v>10801.803983657737</v>
      </c>
      <c r="EK48" s="106">
        <v>-60318.896571073099</v>
      </c>
      <c r="EL48" s="106">
        <v>-83652.738148881937</v>
      </c>
      <c r="EM48" s="106">
        <v>-118003.25968295999</v>
      </c>
      <c r="EN48" s="106">
        <v>-23819.209795289091</v>
      </c>
      <c r="EO48" s="106">
        <v>-18534.406530669075</v>
      </c>
      <c r="EP48" s="106">
        <v>34238.290320877451</v>
      </c>
      <c r="EQ48" s="106">
        <v>129731.63471113797</v>
      </c>
      <c r="ER48" s="106">
        <v>89018.085481499205</v>
      </c>
      <c r="ES48" s="106">
        <v>1308.4384360585827</v>
      </c>
      <c r="ET48" s="106">
        <v>-8486.7329749860801</v>
      </c>
      <c r="EU48" s="106">
        <v>73514.709268354345</v>
      </c>
      <c r="EV48" s="106">
        <v>9261.7193105462939</v>
      </c>
      <c r="EW48" s="106">
        <v>-63310.836668757955</v>
      </c>
      <c r="EX48" s="106">
        <v>-84761.353407114279</v>
      </c>
      <c r="EY48" s="106">
        <v>-120416.77713941189</v>
      </c>
      <c r="EZ48" s="106">
        <v>-20120.887480592704</v>
      </c>
      <c r="FA48" s="106">
        <v>-25258.379714648938</v>
      </c>
      <c r="FB48" s="106">
        <v>37170.764066718169</v>
      </c>
      <c r="FC48" s="106">
        <v>123519.6769138379</v>
      </c>
    </row>
    <row r="49" spans="1:159" hidden="1" x14ac:dyDescent="0.25">
      <c r="A49" s="58"/>
      <c r="B49" s="22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99"/>
      <c r="DU49" s="99"/>
      <c r="DV49" s="99"/>
      <c r="DW49" s="99"/>
      <c r="DX49" s="99"/>
      <c r="DY49" s="99"/>
      <c r="DZ49" s="99"/>
      <c r="EA49" s="99">
        <f>-EA25</f>
        <v>0</v>
      </c>
      <c r="EB49" s="99">
        <f>-EB25</f>
        <v>0</v>
      </c>
      <c r="EC49" s="99">
        <f>-EC25</f>
        <v>0</v>
      </c>
      <c r="ED49" s="99">
        <f>-ED25</f>
        <v>0</v>
      </c>
      <c r="EE49" s="99">
        <f>-EE25</f>
        <v>0</v>
      </c>
      <c r="EF49" s="99">
        <f t="shared" ref="EF49:FC49" si="64">-EF25</f>
        <v>0</v>
      </c>
      <c r="EG49" s="99">
        <f t="shared" si="64"/>
        <v>0</v>
      </c>
      <c r="EH49" s="99">
        <f t="shared" si="64"/>
        <v>0</v>
      </c>
      <c r="EI49" s="99">
        <f t="shared" si="64"/>
        <v>0</v>
      </c>
      <c r="EJ49" s="99">
        <f t="shared" si="64"/>
        <v>0</v>
      </c>
      <c r="EK49" s="99">
        <f t="shared" si="64"/>
        <v>0</v>
      </c>
      <c r="EL49" s="99">
        <f t="shared" si="64"/>
        <v>0</v>
      </c>
      <c r="EM49" s="99">
        <f t="shared" si="64"/>
        <v>0</v>
      </c>
      <c r="EN49" s="99">
        <f t="shared" si="64"/>
        <v>0</v>
      </c>
      <c r="EO49" s="99">
        <f t="shared" si="64"/>
        <v>0</v>
      </c>
      <c r="EP49" s="99">
        <f t="shared" si="64"/>
        <v>0</v>
      </c>
      <c r="EQ49" s="99">
        <f t="shared" si="64"/>
        <v>0</v>
      </c>
      <c r="ER49" s="99">
        <f t="shared" si="64"/>
        <v>0</v>
      </c>
      <c r="ES49" s="99">
        <f t="shared" si="64"/>
        <v>0</v>
      </c>
      <c r="ET49" s="99">
        <f t="shared" si="64"/>
        <v>0</v>
      </c>
      <c r="EU49" s="99">
        <f t="shared" si="64"/>
        <v>0</v>
      </c>
      <c r="EV49" s="99">
        <f t="shared" si="64"/>
        <v>0</v>
      </c>
      <c r="EW49" s="99">
        <f t="shared" si="64"/>
        <v>0</v>
      </c>
      <c r="EX49" s="99">
        <f t="shared" si="64"/>
        <v>0</v>
      </c>
      <c r="EY49" s="99">
        <f t="shared" si="64"/>
        <v>0</v>
      </c>
      <c r="EZ49" s="99">
        <f t="shared" si="64"/>
        <v>0</v>
      </c>
      <c r="FA49" s="99">
        <f t="shared" si="64"/>
        <v>0</v>
      </c>
      <c r="FB49" s="99">
        <f t="shared" si="64"/>
        <v>0</v>
      </c>
      <c r="FC49" s="99">
        <f t="shared" si="64"/>
        <v>0</v>
      </c>
    </row>
    <row r="50" spans="1:159" hidden="1" x14ac:dyDescent="0.25">
      <c r="B50" s="22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113"/>
      <c r="DU50" s="113"/>
      <c r="DV50" s="113"/>
      <c r="DW50" s="113"/>
      <c r="DX50" s="113"/>
      <c r="DY50" s="114"/>
      <c r="DZ50" s="113"/>
      <c r="EA50" s="115" t="s">
        <v>103</v>
      </c>
      <c r="EB50" s="115" t="s">
        <v>104</v>
      </c>
      <c r="EC50" s="115" t="s">
        <v>105</v>
      </c>
      <c r="ED50" s="115" t="s">
        <v>106</v>
      </c>
      <c r="EE50" s="115" t="s">
        <v>107</v>
      </c>
      <c r="EF50" s="115" t="s">
        <v>108</v>
      </c>
      <c r="EG50" s="115" t="s">
        <v>109</v>
      </c>
      <c r="EH50" s="115" t="s">
        <v>110</v>
      </c>
      <c r="EI50" s="115" t="s">
        <v>111</v>
      </c>
      <c r="EJ50" s="115" t="s">
        <v>112</v>
      </c>
      <c r="EK50" s="115" t="s">
        <v>113</v>
      </c>
      <c r="EL50" s="115" t="s">
        <v>114</v>
      </c>
      <c r="EM50" s="115" t="s">
        <v>115</v>
      </c>
      <c r="EN50" s="115" t="s">
        <v>116</v>
      </c>
      <c r="EO50" s="115" t="s">
        <v>117</v>
      </c>
      <c r="EP50" s="115" t="s">
        <v>118</v>
      </c>
      <c r="EQ50" s="115" t="s">
        <v>119</v>
      </c>
      <c r="ER50" s="115" t="s">
        <v>108</v>
      </c>
      <c r="ES50" s="115" t="s">
        <v>109</v>
      </c>
      <c r="ET50" s="115" t="s">
        <v>110</v>
      </c>
      <c r="EU50" s="115" t="s">
        <v>111</v>
      </c>
      <c r="EV50" s="115" t="s">
        <v>112</v>
      </c>
      <c r="EW50" s="115" t="s">
        <v>113</v>
      </c>
      <c r="EX50" s="115" t="s">
        <v>114</v>
      </c>
      <c r="EY50" s="115" t="s">
        <v>115</v>
      </c>
      <c r="EZ50" s="115" t="s">
        <v>116</v>
      </c>
      <c r="FA50" s="115" t="s">
        <v>117</v>
      </c>
      <c r="FB50" s="115" t="s">
        <v>118</v>
      </c>
      <c r="FC50" s="115" t="s">
        <v>119</v>
      </c>
    </row>
    <row r="51" spans="1:159" hidden="1" x14ac:dyDescent="0.25">
      <c r="B51" s="22"/>
      <c r="BO51" s="80"/>
      <c r="BP51" s="80"/>
      <c r="BQ51" s="80"/>
      <c r="BR51" s="80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116">
        <f>EA49-SUM($CD51:DZ51)</f>
        <v>0</v>
      </c>
      <c r="EB51" s="116">
        <f>EB49-SUM($CD51:EA51)</f>
        <v>0</v>
      </c>
      <c r="EC51" s="116">
        <f>EC49-SUM($CD51:EB51)</f>
        <v>0</v>
      </c>
      <c r="ED51" s="116">
        <f>ED49-SUM($CD51:EC51)</f>
        <v>0</v>
      </c>
      <c r="EE51" s="116">
        <f>EE49-SUM($CD51:ED51)</f>
        <v>0</v>
      </c>
      <c r="EF51" s="116">
        <f>EF49-SUM($CD51:EE51)</f>
        <v>0</v>
      </c>
      <c r="EG51" s="116">
        <f>EG49-SUM($CD51:EF51)</f>
        <v>0</v>
      </c>
      <c r="EH51" s="116">
        <f>EH49-SUM($CD51:EG51)</f>
        <v>0</v>
      </c>
      <c r="EI51" s="116">
        <f>EI49-SUM($CD51:EH51)</f>
        <v>0</v>
      </c>
      <c r="EJ51" s="116">
        <f>EJ49-SUM($CD51:EI51)</f>
        <v>0</v>
      </c>
      <c r="EK51" s="116">
        <f>EK49-SUM($CD51:EJ51)</f>
        <v>0</v>
      </c>
      <c r="EL51" s="116">
        <f>EL49-SUM($CD51:EK51)</f>
        <v>0</v>
      </c>
      <c r="EM51" s="116">
        <f>EM49-SUM($CD51:EL51)</f>
        <v>0</v>
      </c>
      <c r="EN51" s="116">
        <f>EN49-SUM($CD51:EM51)</f>
        <v>0</v>
      </c>
      <c r="EO51" s="116">
        <f>EO49-SUM($CD51:EN51)</f>
        <v>0</v>
      </c>
      <c r="EP51" s="116">
        <f>EP49-SUM($CD51:EO51)</f>
        <v>0</v>
      </c>
      <c r="EQ51" s="116">
        <f>EQ49-SUM($CD51:EP51)</f>
        <v>0</v>
      </c>
      <c r="ER51" s="116">
        <f>ER49-SUM($CD51:EQ51)</f>
        <v>0</v>
      </c>
      <c r="ES51" s="116">
        <f>ES49-SUM($CD51:ER51)</f>
        <v>0</v>
      </c>
      <c r="ET51" s="116">
        <f>ET49-SUM($CD51:ES51)</f>
        <v>0</v>
      </c>
      <c r="EU51" s="116">
        <f>EU49-SUM($CD51:ET51)</f>
        <v>0</v>
      </c>
      <c r="EV51" s="116">
        <f>EV49-SUM($CD51:EU51)</f>
        <v>0</v>
      </c>
      <c r="EW51" s="116">
        <f>EW49-SUM($CD51:EV51)</f>
        <v>0</v>
      </c>
      <c r="EX51" s="116">
        <f>EX49-SUM($CD51:EW51)</f>
        <v>0</v>
      </c>
      <c r="EY51" s="116">
        <f>EY49-SUM($CD51:EX51)</f>
        <v>0</v>
      </c>
      <c r="EZ51" s="116">
        <f>EZ49-SUM($CD51:EY51)</f>
        <v>0</v>
      </c>
      <c r="FA51" s="116">
        <f>FA49-SUM($CD51:EZ51)</f>
        <v>0</v>
      </c>
      <c r="FB51" s="116">
        <f>FB49-SUM($CD51:FA51)</f>
        <v>0</v>
      </c>
      <c r="FC51" s="116">
        <f>FC49-SUM($CD51:FB51)</f>
        <v>0</v>
      </c>
    </row>
    <row r="52" spans="1:159" hidden="1" x14ac:dyDescent="0.25">
      <c r="B52" s="22"/>
      <c r="BO52" s="81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</row>
    <row r="53" spans="1:159" hidden="1" x14ac:dyDescent="0.25">
      <c r="B53" s="22" t="s">
        <v>120</v>
      </c>
      <c r="BO53" s="81"/>
      <c r="CL53" s="82">
        <f>CL23*0.004</f>
        <v>810245.60037107184</v>
      </c>
      <c r="CM53" s="82">
        <f>CM23*0.004</f>
        <v>857461.53365066985</v>
      </c>
      <c r="CN53" s="82">
        <f>CN23*0.004</f>
        <v>887178.33261815249</v>
      </c>
      <c r="CO53" s="82">
        <f t="shared" ref="CO53:CU53" si="65">CO23*0.004</f>
        <v>959453.13348037226</v>
      </c>
      <c r="CP53" s="82">
        <f t="shared" si="65"/>
        <v>1013368.4848548539</v>
      </c>
      <c r="CQ53" s="82">
        <f t="shared" si="65"/>
        <v>1018709.2268694888</v>
      </c>
      <c r="CR53" s="82">
        <f t="shared" si="65"/>
        <v>1058469.8263125538</v>
      </c>
      <c r="CS53" s="82">
        <f t="shared" si="65"/>
        <v>982401.42954550474</v>
      </c>
      <c r="CT53" s="82">
        <f t="shared" si="65"/>
        <v>882677.63367600704</v>
      </c>
      <c r="CU53" s="82">
        <f t="shared" si="65"/>
        <v>808633.64682415104</v>
      </c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</row>
    <row r="54" spans="1:159" hidden="1" x14ac:dyDescent="0.25">
      <c r="B54" s="22" t="s">
        <v>121</v>
      </c>
      <c r="BO54" s="81"/>
      <c r="CJ54" s="71"/>
      <c r="CK54" s="71"/>
      <c r="CL54" s="71">
        <f>(CL53-CL24)+CL17</f>
        <v>1311729.1825454496</v>
      </c>
      <c r="CM54" s="71">
        <f>(CM53-CM24)+CM17</f>
        <v>431823.71522545861</v>
      </c>
      <c r="CN54" s="71">
        <f>(CN53-CN24)+CN17</f>
        <v>327101.11285975948</v>
      </c>
      <c r="CO54" s="71">
        <f t="shared" ref="CO54:CU54" si="66">(CO53-CO24)+CO17</f>
        <v>3473603.1767971301</v>
      </c>
      <c r="CP54" s="71">
        <f t="shared" si="66"/>
        <v>1273901.0896014969</v>
      </c>
      <c r="CQ54" s="71">
        <f t="shared" si="66"/>
        <v>1496840.9879268794</v>
      </c>
      <c r="CR54" s="71">
        <f t="shared" si="66"/>
        <v>1927134.0323556005</v>
      </c>
      <c r="CS54" s="71">
        <f t="shared" si="66"/>
        <v>1348422.9891509393</v>
      </c>
      <c r="CT54" s="71">
        <f t="shared" si="66"/>
        <v>1223802.4251851842</v>
      </c>
      <c r="CU54" s="71">
        <f t="shared" si="66"/>
        <v>1008904.3753801782</v>
      </c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</row>
    <row r="55" spans="1:159" hidden="1" x14ac:dyDescent="0.25">
      <c r="B55" s="22" t="s">
        <v>122</v>
      </c>
      <c r="BO55" s="81"/>
      <c r="CJ55" s="83">
        <f>CJ17</f>
        <v>243650</v>
      </c>
      <c r="CK55" s="83">
        <f>CK17</f>
        <v>208296</v>
      </c>
      <c r="CL55" s="83">
        <f>CL17</f>
        <v>807778</v>
      </c>
      <c r="CM55" s="83">
        <f>CM17</f>
        <v>-147832</v>
      </c>
      <c r="CN55" s="71">
        <f>CN19-1000</f>
        <v>220552.99388321111</v>
      </c>
      <c r="CO55" s="71">
        <f>CO19-1000</f>
        <v>241462.32215194701</v>
      </c>
      <c r="CP55" s="71">
        <f>CP19+500000</f>
        <v>708857.77622472844</v>
      </c>
      <c r="CQ55" s="71">
        <f>CQ19+500000</f>
        <v>746593.22327834903</v>
      </c>
      <c r="CR55" s="71">
        <f>CR19+500000+26000</f>
        <v>896306.61660292628</v>
      </c>
      <c r="CS55" s="71">
        <f>CS19-12000</f>
        <v>407038.55291213235</v>
      </c>
      <c r="CT55" s="71">
        <f>CT19-49000</f>
        <v>297466.54065896623</v>
      </c>
      <c r="CU55" s="71">
        <f>CU19-177000</f>
        <v>279101.61029971624</v>
      </c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</row>
    <row r="56" spans="1:159" hidden="1" x14ac:dyDescent="0.25">
      <c r="B56" s="22"/>
      <c r="BO56" s="8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</row>
    <row r="57" spans="1:159" hidden="1" x14ac:dyDescent="0.25">
      <c r="B57" s="22"/>
      <c r="BO57" s="81"/>
      <c r="CJ57" s="84"/>
      <c r="CK57" s="85"/>
      <c r="CL57" s="85"/>
      <c r="CM57" s="85"/>
      <c r="CN57" s="83"/>
      <c r="CO57" s="83"/>
      <c r="CP57" s="83"/>
      <c r="CQ57" s="71"/>
      <c r="CR57" s="71"/>
      <c r="CS57" s="71"/>
      <c r="CT57" s="71"/>
      <c r="CU57" s="71"/>
      <c r="CV57" s="79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</row>
    <row r="58" spans="1:159" hidden="1" x14ac:dyDescent="0.25">
      <c r="B58" s="22"/>
      <c r="BO58" s="81"/>
      <c r="CN58" s="71"/>
      <c r="CO58" s="71"/>
      <c r="CP58" s="71"/>
      <c r="CQ58" s="71"/>
      <c r="CR58" s="71"/>
      <c r="CS58" s="71"/>
      <c r="CT58" s="71"/>
      <c r="CU58" s="71"/>
      <c r="DS58" s="86"/>
      <c r="DT58"/>
      <c r="DU58" s="117"/>
      <c r="DV58" s="117"/>
      <c r="DW58" s="117"/>
      <c r="DX58"/>
      <c r="DY58"/>
      <c r="DZ58"/>
      <c r="EA58"/>
      <c r="EB58"/>
      <c r="EC58"/>
      <c r="ED58"/>
      <c r="EE58"/>
      <c r="EF58" s="118"/>
      <c r="EG58" s="118"/>
      <c r="EH58" s="118"/>
      <c r="EI58" s="118"/>
      <c r="EJ58" s="118"/>
      <c r="EK58" s="118"/>
      <c r="EL58" s="118"/>
      <c r="EM58" s="118"/>
      <c r="EN58" s="118"/>
      <c r="EO58" s="118"/>
      <c r="EP58" s="118"/>
      <c r="EQ58" s="118"/>
      <c r="ER58" s="118"/>
      <c r="ES58" s="118"/>
      <c r="ET58" s="118"/>
      <c r="EU58" s="118"/>
      <c r="EV58" s="118"/>
      <c r="EW58" s="118"/>
      <c r="EX58" s="118"/>
      <c r="EY58" s="118"/>
      <c r="EZ58" s="118"/>
      <c r="FA58" s="118"/>
      <c r="FB58" s="118"/>
      <c r="FC58" s="118"/>
    </row>
    <row r="59" spans="1:159" hidden="1" x14ac:dyDescent="0.25">
      <c r="BO59" s="8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</row>
    <row r="60" spans="1:159" hidden="1" x14ac:dyDescent="0.25">
      <c r="B60" s="22"/>
      <c r="BO60" s="81"/>
      <c r="CN60" s="71"/>
      <c r="CO60" s="71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</row>
    <row r="61" spans="1:159" hidden="1" x14ac:dyDescent="0.25">
      <c r="B61" s="22"/>
      <c r="BN61" s="87"/>
      <c r="CR61" s="7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</row>
    <row r="62" spans="1:159" hidden="1" x14ac:dyDescent="0.25">
      <c r="B62" s="22"/>
      <c r="BN62" s="58"/>
      <c r="CO62" s="71"/>
      <c r="DT62"/>
      <c r="DU62"/>
      <c r="DV62"/>
      <c r="DW62"/>
      <c r="DX62"/>
      <c r="DY62"/>
      <c r="DZ62"/>
      <c r="EA62" s="119">
        <v>45160</v>
      </c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</row>
    <row r="63" spans="1:159" hidden="1" x14ac:dyDescent="0.25">
      <c r="B63" s="22"/>
      <c r="BN63" s="58"/>
      <c r="CR63" s="71"/>
      <c r="CS63" s="71"/>
      <c r="CT63" s="71"/>
      <c r="CU63" s="71"/>
      <c r="DT63"/>
      <c r="DU63"/>
      <c r="DV63"/>
      <c r="DW63"/>
      <c r="DX63"/>
      <c r="DY63"/>
      <c r="DZ63"/>
      <c r="EA63" s="120">
        <v>476298.62</v>
      </c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</row>
    <row r="64" spans="1:159" hidden="1" x14ac:dyDescent="0.25">
      <c r="B64" s="22"/>
      <c r="BN64" s="58"/>
      <c r="DT64"/>
      <c r="DU64"/>
      <c r="DV64"/>
      <c r="DW64"/>
      <c r="DX64"/>
      <c r="DY64"/>
      <c r="DZ64"/>
      <c r="EA64" s="121">
        <f>DAY(EA62)</f>
        <v>22</v>
      </c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</row>
    <row r="65" spans="2:159" hidden="1" x14ac:dyDescent="0.25">
      <c r="B65" s="22"/>
      <c r="BN65" s="58"/>
      <c r="DT65"/>
      <c r="DU65"/>
      <c r="DV65"/>
      <c r="DW65"/>
      <c r="DX65"/>
      <c r="DY65"/>
      <c r="DZ65"/>
      <c r="EA65" s="122">
        <v>32</v>
      </c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</row>
    <row r="66" spans="2:159" ht="13.8" hidden="1" thickBot="1" x14ac:dyDescent="0.3">
      <c r="B66" s="22"/>
      <c r="DT66"/>
      <c r="DU66"/>
      <c r="DV66"/>
      <c r="DW66"/>
      <c r="DX66"/>
      <c r="DY66"/>
      <c r="DZ66"/>
      <c r="EA66" s="123">
        <f>EA63/EA64*EA$65</f>
        <v>692797.99272727268</v>
      </c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</row>
    <row r="67" spans="2:159" ht="13.8" hidden="1" thickTop="1" x14ac:dyDescent="0.25">
      <c r="B67" s="22"/>
      <c r="DT67"/>
      <c r="DU67"/>
      <c r="DV67"/>
      <c r="DW67"/>
      <c r="DX67"/>
      <c r="DY67"/>
      <c r="DZ67"/>
      <c r="EA67" s="98">
        <f>EA$4-EA66</f>
        <v>-143703.99272727268</v>
      </c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</row>
    <row r="68" spans="2:159" hidden="1" x14ac:dyDescent="0.25">
      <c r="B68" s="22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</row>
    <row r="69" spans="2:159" hidden="1" x14ac:dyDescent="0.25">
      <c r="B69" s="46" t="s">
        <v>123</v>
      </c>
      <c r="DT69"/>
      <c r="DU69"/>
      <c r="DV69"/>
      <c r="DW69"/>
      <c r="DX69"/>
      <c r="DY69"/>
      <c r="DZ69"/>
      <c r="EA69" s="124">
        <v>0.99711984498017425</v>
      </c>
      <c r="EB69" s="124">
        <v>1.0039308028507561</v>
      </c>
      <c r="EC69" s="124">
        <v>0.98668075503516317</v>
      </c>
      <c r="ED69" s="124">
        <v>0.96267802811787562</v>
      </c>
      <c r="EE69" s="124">
        <v>0.93728711430079192</v>
      </c>
      <c r="EF69" s="124">
        <v>0.68584567901293114</v>
      </c>
      <c r="EG69" s="124">
        <v>0.67423869800715996</v>
      </c>
      <c r="EH69" s="124">
        <v>0.67773375258765356</v>
      </c>
      <c r="EI69" s="124">
        <v>0.68450769149731683</v>
      </c>
      <c r="EJ69" s="124">
        <v>0.70191771471427489</v>
      </c>
      <c r="EK69" s="124">
        <v>0.72003635704564772</v>
      </c>
      <c r="EL69" s="124">
        <v>0.72775460002959758</v>
      </c>
      <c r="EM69" s="124">
        <v>0.73055838883810575</v>
      </c>
      <c r="EN69" s="124">
        <v>0.72950234787147672</v>
      </c>
      <c r="EO69" s="124">
        <v>0.71552191080328487</v>
      </c>
      <c r="EP69" s="124">
        <v>0.69849647733658704</v>
      </c>
      <c r="EQ69" s="124">
        <v>0.67847979719110973</v>
      </c>
      <c r="ER69" s="124">
        <v>0.61460056228203064</v>
      </c>
      <c r="ES69" s="124">
        <v>0.60387991880433833</v>
      </c>
      <c r="ET69" s="124">
        <v>0.60701535318732691</v>
      </c>
      <c r="EU69" s="124">
        <v>0.61315680744065382</v>
      </c>
      <c r="EV69" s="124">
        <v>0.62912085089152503</v>
      </c>
      <c r="EW69" s="124">
        <v>0.64593830661749896</v>
      </c>
      <c r="EX69" s="124">
        <v>0.65296944167070781</v>
      </c>
      <c r="EY69" s="124">
        <v>0.65541646446142698</v>
      </c>
      <c r="EZ69" s="124">
        <v>0.65454659217990885</v>
      </c>
      <c r="FA69" s="124">
        <v>0.64158158384900688</v>
      </c>
      <c r="FB69" s="124">
        <v>0.62571730485211574</v>
      </c>
      <c r="FC69" s="124">
        <v>0.60760478037424148</v>
      </c>
    </row>
    <row r="70" spans="2:159" hidden="1" x14ac:dyDescent="0.25">
      <c r="B70" s="22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</row>
    <row r="71" spans="2:159" hidden="1" x14ac:dyDescent="0.25">
      <c r="B71" s="47" t="s">
        <v>124</v>
      </c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DT71"/>
      <c r="DU71"/>
      <c r="DV71"/>
      <c r="DW71"/>
      <c r="DX71"/>
      <c r="DY71"/>
      <c r="DZ71"/>
      <c r="EA71" s="125">
        <f>-EA17</f>
        <v>-556684.41609371942</v>
      </c>
      <c r="EB71" s="125">
        <f>-EB17</f>
        <v>-576405.55144016631</v>
      </c>
      <c r="EC71" s="125">
        <f>-EC17</f>
        <v>-560342.39486360503</v>
      </c>
      <c r="ED71" s="125">
        <f>-ED17</f>
        <v>-490175.2262549866</v>
      </c>
      <c r="EE71" s="125">
        <f>-EE17</f>
        <v>-607718.36846755492</v>
      </c>
      <c r="EF71" s="125">
        <f t="shared" ref="EF71:FC71" si="67">-EF17</f>
        <v>-574632.53897108044</v>
      </c>
      <c r="EG71" s="125">
        <f t="shared" si="67"/>
        <v>-486320.32511145517</v>
      </c>
      <c r="EH71" s="125">
        <f t="shared" si="67"/>
        <v>-451292.05330162623</v>
      </c>
      <c r="EI71" s="125">
        <f t="shared" si="67"/>
        <v>-518358.93154310959</v>
      </c>
      <c r="EJ71" s="125">
        <f t="shared" si="67"/>
        <v>-483819.80398365774</v>
      </c>
      <c r="EK71" s="125">
        <f t="shared" si="67"/>
        <v>-486213.1034289269</v>
      </c>
      <c r="EL71" s="125">
        <f t="shared" si="67"/>
        <v>-495813.26185111806</v>
      </c>
      <c r="EM71" s="125">
        <f t="shared" si="67"/>
        <v>-457544.74031704001</v>
      </c>
      <c r="EN71" s="125">
        <f t="shared" si="67"/>
        <v>-565906.79020471091</v>
      </c>
      <c r="EO71" s="125">
        <f t="shared" si="67"/>
        <v>-510622.59346933092</v>
      </c>
      <c r="EP71" s="125">
        <f t="shared" si="67"/>
        <v>-488866.29032087745</v>
      </c>
      <c r="EQ71" s="125">
        <f t="shared" si="67"/>
        <v>-562792.63471113797</v>
      </c>
      <c r="ER71" s="125">
        <f t="shared" si="67"/>
        <v>-535004.08548149921</v>
      </c>
      <c r="ES71" s="125">
        <f t="shared" si="67"/>
        <v>-416854.43843605858</v>
      </c>
      <c r="ET71" s="125">
        <f t="shared" si="67"/>
        <v>-394595.26702501392</v>
      </c>
      <c r="EU71" s="125">
        <f t="shared" si="67"/>
        <v>-496259.70926835435</v>
      </c>
      <c r="EV71" s="125">
        <f t="shared" si="67"/>
        <v>-476106.71931054629</v>
      </c>
      <c r="EW71" s="125">
        <f t="shared" si="67"/>
        <v>-475209.16333124205</v>
      </c>
      <c r="EX71" s="125">
        <f t="shared" si="67"/>
        <v>-481730.64659288572</v>
      </c>
      <c r="EY71" s="125">
        <f t="shared" si="67"/>
        <v>-442112.22286058811</v>
      </c>
      <c r="EZ71" s="125">
        <f t="shared" si="67"/>
        <v>-556668.1125194073</v>
      </c>
      <c r="FA71" s="125">
        <f t="shared" si="67"/>
        <v>-492223.62028535106</v>
      </c>
      <c r="FB71" s="125">
        <f t="shared" si="67"/>
        <v>-482058.76406671817</v>
      </c>
      <c r="FC71" s="125">
        <f t="shared" si="67"/>
        <v>-547957.6769138379</v>
      </c>
    </row>
    <row r="72" spans="2:159" hidden="1" x14ac:dyDescent="0.25">
      <c r="B72" s="47" t="s">
        <v>125</v>
      </c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DT72"/>
      <c r="DU72"/>
      <c r="DV72"/>
      <c r="DW72"/>
      <c r="DX72"/>
      <c r="DY72"/>
      <c r="DZ72"/>
      <c r="EA72" s="126">
        <f>EA4</f>
        <v>549094</v>
      </c>
      <c r="EB72" s="126">
        <f>EB4</f>
        <v>598669</v>
      </c>
      <c r="EC72" s="126">
        <f>EC4</f>
        <v>682507</v>
      </c>
      <c r="ED72" s="126">
        <f>ED4</f>
        <v>671552</v>
      </c>
      <c r="EE72" s="126">
        <f>EE4</f>
        <v>673414</v>
      </c>
      <c r="EF72" s="126">
        <f t="shared" ref="EF72:FC72" si="68">EF4</f>
        <v>623465</v>
      </c>
      <c r="EG72" s="126">
        <f t="shared" si="68"/>
        <v>536197</v>
      </c>
      <c r="EH72" s="126">
        <f t="shared" si="68"/>
        <v>488057</v>
      </c>
      <c r="EI72" s="126">
        <f t="shared" si="68"/>
        <v>455770</v>
      </c>
      <c r="EJ72" s="126">
        <f t="shared" si="68"/>
        <v>425135</v>
      </c>
      <c r="EK72" s="126">
        <f t="shared" si="68"/>
        <v>412528</v>
      </c>
      <c r="EL72" s="126">
        <f t="shared" si="68"/>
        <v>432870</v>
      </c>
      <c r="EM72" s="126">
        <f t="shared" si="68"/>
        <v>478214</v>
      </c>
      <c r="EN72" s="126">
        <f t="shared" si="68"/>
        <v>550875</v>
      </c>
      <c r="EO72" s="126">
        <f t="shared" si="68"/>
        <v>579466</v>
      </c>
      <c r="EP72" s="126">
        <f t="shared" si="68"/>
        <v>575548</v>
      </c>
      <c r="EQ72" s="126">
        <f t="shared" si="68"/>
        <v>589726</v>
      </c>
      <c r="ER72" s="126">
        <f t="shared" si="68"/>
        <v>529158</v>
      </c>
      <c r="ES72" s="126">
        <f t="shared" si="68"/>
        <v>454628</v>
      </c>
      <c r="ET72" s="126">
        <f t="shared" si="68"/>
        <v>433061</v>
      </c>
      <c r="EU72" s="126">
        <f t="shared" si="68"/>
        <v>445986</v>
      </c>
      <c r="EV72" s="126">
        <f t="shared" si="68"/>
        <v>415546</v>
      </c>
      <c r="EW72" s="126">
        <f t="shared" si="68"/>
        <v>403082</v>
      </c>
      <c r="EX72" s="126">
        <f t="shared" si="68"/>
        <v>422746</v>
      </c>
      <c r="EY72" s="126">
        <f t="shared" si="68"/>
        <v>466845</v>
      </c>
      <c r="EZ72" s="126">
        <f t="shared" si="68"/>
        <v>538520</v>
      </c>
      <c r="FA72" s="126">
        <f t="shared" si="68"/>
        <v>566492</v>
      </c>
      <c r="FB72" s="126">
        <f t="shared" si="68"/>
        <v>562529</v>
      </c>
      <c r="FC72" s="126">
        <f t="shared" si="68"/>
        <v>576789</v>
      </c>
    </row>
    <row r="73" spans="2:159" hidden="1" x14ac:dyDescent="0.25">
      <c r="B73" s="22"/>
    </row>
    <row r="74" spans="2:159" x14ac:dyDescent="0.25">
      <c r="B74" s="22"/>
    </row>
    <row r="75" spans="2:159" x14ac:dyDescent="0.25">
      <c r="B75" s="22"/>
    </row>
    <row r="76" spans="2:159" x14ac:dyDescent="0.25">
      <c r="B76" s="22"/>
    </row>
    <row r="77" spans="2:159" x14ac:dyDescent="0.25">
      <c r="B77" s="22"/>
    </row>
    <row r="78" spans="2:159" x14ac:dyDescent="0.25">
      <c r="B78" s="22"/>
    </row>
    <row r="79" spans="2:159" x14ac:dyDescent="0.25">
      <c r="B79" s="22"/>
    </row>
    <row r="80" spans="2:159" x14ac:dyDescent="0.25">
      <c r="B80" s="22"/>
      <c r="BO80" s="71"/>
      <c r="BP80" s="71"/>
      <c r="BQ80" s="71"/>
      <c r="BR80" s="71"/>
      <c r="BS80" s="71"/>
      <c r="BT80" s="71"/>
      <c r="BU80" s="71"/>
      <c r="BV80" s="71"/>
      <c r="BW80" s="71"/>
      <c r="CI80" s="71"/>
      <c r="CJ80" s="71"/>
    </row>
    <row r="81" spans="2:2" x14ac:dyDescent="0.25">
      <c r="B81" s="22"/>
    </row>
  </sheetData>
  <mergeCells count="1">
    <mergeCell ref="EA14:EE14"/>
  </mergeCells>
  <printOptions horizontalCentered="1"/>
  <pageMargins left="0.25" right="0.25" top="0.75" bottom="0.75" header="0.3" footer="0.3"/>
  <pageSetup orientation="landscape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E7CC-27DB-4BAE-B6BF-C9EEB57B356A}">
  <sheetPr>
    <pageSetUpPr fitToPage="1"/>
  </sheetPr>
  <dimension ref="A1:EE81"/>
  <sheetViews>
    <sheetView zoomScale="70" zoomScaleNormal="70" workbookViewId="0">
      <pane xSplit="3" ySplit="1" topLeftCell="DQ2" activePane="bottomRight" state="frozenSplit"/>
      <selection pane="topRight" activeCell="P214" sqref="P214"/>
      <selection pane="bottomLeft" activeCell="P214" sqref="P214"/>
      <selection pane="bottomRight" activeCell="CL6" sqref="CL6:CM6"/>
    </sheetView>
  </sheetViews>
  <sheetFormatPr defaultColWidth="8.88671875" defaultRowHeight="13.2" x14ac:dyDescent="0.25"/>
  <cols>
    <col min="1" max="1" width="2.44140625" style="217" bestFit="1" customWidth="1"/>
    <col min="2" max="2" width="46.6640625" style="217" bestFit="1" customWidth="1"/>
    <col min="3" max="33" width="15" style="217" hidden="1" customWidth="1"/>
    <col min="34" max="34" width="16.33203125" style="217" hidden="1" customWidth="1"/>
    <col min="35" max="35" width="17.88671875" style="217" hidden="1" customWidth="1"/>
    <col min="36" max="55" width="15" style="217" hidden="1" customWidth="1"/>
    <col min="56" max="59" width="15.6640625" style="217" hidden="1" customWidth="1"/>
    <col min="60" max="63" width="15" style="217" hidden="1" customWidth="1"/>
    <col min="64" max="64" width="15" style="217" customWidth="1"/>
    <col min="65" max="65" width="15" style="217" bestFit="1" customWidth="1"/>
    <col min="66" max="69" width="15.6640625" style="217" hidden="1" customWidth="1"/>
    <col min="70" max="75" width="15" style="217" hidden="1" customWidth="1"/>
    <col min="76" max="102" width="15" style="217" bestFit="1" customWidth="1"/>
    <col min="103" max="109" width="15" style="217" customWidth="1"/>
    <col min="110" max="127" width="15" style="217" bestFit="1" customWidth="1"/>
    <col min="128" max="128" width="15.33203125" style="217" bestFit="1" customWidth="1"/>
    <col min="129" max="135" width="15" style="217" bestFit="1" customWidth="1"/>
    <col min="136" max="16384" width="8.88671875" style="217"/>
  </cols>
  <sheetData>
    <row r="1" spans="1:135" x14ac:dyDescent="0.25">
      <c r="B1" s="22"/>
      <c r="C1" s="218" t="s">
        <v>42</v>
      </c>
      <c r="D1" s="218" t="s">
        <v>42</v>
      </c>
      <c r="E1" s="218" t="s">
        <v>42</v>
      </c>
      <c r="F1" s="218" t="s">
        <v>42</v>
      </c>
      <c r="G1" s="218" t="s">
        <v>42</v>
      </c>
      <c r="H1" s="218" t="s">
        <v>42</v>
      </c>
      <c r="I1" s="218" t="s">
        <v>42</v>
      </c>
      <c r="J1" s="218" t="s">
        <v>42</v>
      </c>
      <c r="K1" s="218" t="s">
        <v>42</v>
      </c>
      <c r="L1" s="218" t="s">
        <v>42</v>
      </c>
      <c r="M1" s="218" t="s">
        <v>42</v>
      </c>
      <c r="N1" s="218" t="s">
        <v>42</v>
      </c>
      <c r="O1" s="218" t="s">
        <v>42</v>
      </c>
      <c r="P1" s="218" t="s">
        <v>42</v>
      </c>
      <c r="Q1" s="218" t="s">
        <v>42</v>
      </c>
      <c r="R1" s="218" t="s">
        <v>42</v>
      </c>
      <c r="S1" s="218" t="s">
        <v>42</v>
      </c>
      <c r="T1" s="218" t="s">
        <v>42</v>
      </c>
      <c r="U1" s="218" t="s">
        <v>42</v>
      </c>
      <c r="V1" s="218" t="s">
        <v>42</v>
      </c>
      <c r="W1" s="218" t="s">
        <v>42</v>
      </c>
      <c r="X1" s="218" t="s">
        <v>42</v>
      </c>
      <c r="Y1" s="218" t="s">
        <v>42</v>
      </c>
      <c r="Z1" s="218" t="s">
        <v>42</v>
      </c>
      <c r="AA1" s="218" t="s">
        <v>42</v>
      </c>
      <c r="AB1" s="218" t="s">
        <v>42</v>
      </c>
      <c r="AC1" s="218" t="s">
        <v>42</v>
      </c>
      <c r="AD1" s="218" t="s">
        <v>42</v>
      </c>
      <c r="AE1" s="218" t="s">
        <v>42</v>
      </c>
      <c r="AF1" s="218" t="s">
        <v>42</v>
      </c>
      <c r="AG1" s="218" t="s">
        <v>42</v>
      </c>
      <c r="AH1" s="218" t="s">
        <v>42</v>
      </c>
      <c r="AI1" s="218" t="s">
        <v>42</v>
      </c>
      <c r="AJ1" s="218" t="s">
        <v>42</v>
      </c>
      <c r="AK1" s="218" t="s">
        <v>42</v>
      </c>
      <c r="AL1" s="218" t="s">
        <v>42</v>
      </c>
      <c r="AM1" s="218" t="s">
        <v>42</v>
      </c>
      <c r="AN1" s="218" t="s">
        <v>42</v>
      </c>
      <c r="AO1" s="218" t="s">
        <v>42</v>
      </c>
      <c r="AP1" s="218" t="s">
        <v>42</v>
      </c>
      <c r="AQ1" s="218" t="s">
        <v>42</v>
      </c>
      <c r="AR1" s="218" t="s">
        <v>42</v>
      </c>
      <c r="AS1" s="218" t="s">
        <v>42</v>
      </c>
      <c r="AT1" s="218" t="s">
        <v>42</v>
      </c>
      <c r="AU1" s="218" t="s">
        <v>42</v>
      </c>
      <c r="AV1" s="218" t="s">
        <v>42</v>
      </c>
      <c r="AW1" s="218" t="s">
        <v>42</v>
      </c>
      <c r="AX1" s="218" t="s">
        <v>42</v>
      </c>
      <c r="AY1" s="218" t="s">
        <v>42</v>
      </c>
      <c r="AZ1" s="218" t="s">
        <v>37</v>
      </c>
      <c r="BA1" s="218" t="s">
        <v>37</v>
      </c>
      <c r="BB1" s="218" t="s">
        <v>37</v>
      </c>
      <c r="BC1" s="218" t="s">
        <v>37</v>
      </c>
      <c r="BD1" s="218" t="s">
        <v>37</v>
      </c>
      <c r="BE1" s="218" t="s">
        <v>37</v>
      </c>
      <c r="BF1" s="218" t="s">
        <v>37</v>
      </c>
      <c r="BG1" s="218" t="s">
        <v>37</v>
      </c>
      <c r="BH1" s="218" t="s">
        <v>37</v>
      </c>
      <c r="BI1" s="218" t="s">
        <v>37</v>
      </c>
      <c r="BJ1" s="218" t="s">
        <v>37</v>
      </c>
      <c r="BK1" s="218" t="s">
        <v>37</v>
      </c>
      <c r="BL1" s="218" t="s">
        <v>37</v>
      </c>
      <c r="BM1" s="218" t="s">
        <v>37</v>
      </c>
      <c r="BN1" s="218" t="s">
        <v>37</v>
      </c>
      <c r="BO1" s="218" t="s">
        <v>37</v>
      </c>
      <c r="BP1" s="218" t="s">
        <v>37</v>
      </c>
      <c r="BQ1" s="218" t="s">
        <v>37</v>
      </c>
      <c r="BR1" s="218" t="s">
        <v>37</v>
      </c>
      <c r="BS1" s="218" t="s">
        <v>37</v>
      </c>
      <c r="BT1" s="218" t="s">
        <v>37</v>
      </c>
      <c r="BU1" s="218" t="s">
        <v>37</v>
      </c>
      <c r="BV1" s="218" t="s">
        <v>37</v>
      </c>
      <c r="BW1" s="218" t="s">
        <v>37</v>
      </c>
      <c r="BX1" s="218" t="s">
        <v>37</v>
      </c>
      <c r="BY1" s="218" t="s">
        <v>37</v>
      </c>
      <c r="BZ1" s="218" t="s">
        <v>37</v>
      </c>
      <c r="CA1" s="218" t="s">
        <v>37</v>
      </c>
      <c r="CB1" s="218" t="s">
        <v>37</v>
      </c>
      <c r="CC1" s="218" t="s">
        <v>37</v>
      </c>
      <c r="CD1" s="218" t="s">
        <v>37</v>
      </c>
      <c r="CE1" s="218" t="s">
        <v>37</v>
      </c>
      <c r="CF1" s="218" t="s">
        <v>37</v>
      </c>
      <c r="CG1" s="218" t="s">
        <v>37</v>
      </c>
      <c r="CH1" s="218" t="s">
        <v>37</v>
      </c>
      <c r="CI1" s="218" t="s">
        <v>37</v>
      </c>
      <c r="CJ1" s="218" t="s">
        <v>37</v>
      </c>
      <c r="CK1" s="218" t="s">
        <v>37</v>
      </c>
      <c r="CL1" s="218" t="s">
        <v>37</v>
      </c>
      <c r="CM1" s="218" t="s">
        <v>37</v>
      </c>
      <c r="CN1" s="218" t="s">
        <v>37</v>
      </c>
      <c r="CO1" s="218" t="s">
        <v>37</v>
      </c>
      <c r="CP1" s="218" t="s">
        <v>37</v>
      </c>
      <c r="CQ1" s="218" t="s">
        <v>37</v>
      </c>
      <c r="CR1" s="218" t="s">
        <v>37</v>
      </c>
      <c r="CS1" s="218" t="s">
        <v>37</v>
      </c>
      <c r="CT1" s="218" t="s">
        <v>37</v>
      </c>
      <c r="CU1" s="218" t="s">
        <v>37</v>
      </c>
      <c r="CV1" s="218" t="s">
        <v>37</v>
      </c>
      <c r="CW1" s="218" t="s">
        <v>37</v>
      </c>
      <c r="CX1" s="218" t="s">
        <v>37</v>
      </c>
      <c r="CY1" s="218" t="s">
        <v>37</v>
      </c>
      <c r="CZ1" s="218" t="s">
        <v>37</v>
      </c>
      <c r="DA1" s="218" t="s">
        <v>37</v>
      </c>
      <c r="DB1" s="218" t="s">
        <v>37</v>
      </c>
      <c r="DC1" s="218" t="s">
        <v>37</v>
      </c>
      <c r="DD1" s="218" t="s">
        <v>37</v>
      </c>
      <c r="DE1" s="218" t="s">
        <v>37</v>
      </c>
      <c r="DF1" s="218" t="s">
        <v>37</v>
      </c>
      <c r="DG1" s="218" t="s">
        <v>37</v>
      </c>
      <c r="DH1" s="218" t="s">
        <v>37</v>
      </c>
      <c r="DI1" s="218" t="s">
        <v>37</v>
      </c>
      <c r="DJ1" s="218" t="s">
        <v>37</v>
      </c>
      <c r="DK1" s="218" t="s">
        <v>37</v>
      </c>
      <c r="DL1" s="218" t="s">
        <v>37</v>
      </c>
      <c r="DM1" s="218" t="s">
        <v>37</v>
      </c>
      <c r="DN1" s="218" t="s">
        <v>37</v>
      </c>
      <c r="DO1" s="218" t="s">
        <v>37</v>
      </c>
      <c r="DP1" s="218" t="s">
        <v>37</v>
      </c>
      <c r="DQ1" s="218" t="s">
        <v>37</v>
      </c>
      <c r="DR1" s="218" t="s">
        <v>37</v>
      </c>
      <c r="DS1" s="218" t="s">
        <v>37</v>
      </c>
      <c r="DT1" s="218" t="s">
        <v>37</v>
      </c>
      <c r="DU1" s="218" t="s">
        <v>37</v>
      </c>
      <c r="DV1" s="218" t="s">
        <v>37</v>
      </c>
      <c r="DW1" s="218" t="s">
        <v>37</v>
      </c>
      <c r="DX1" s="218" t="s">
        <v>37</v>
      </c>
      <c r="DY1" s="218" t="s">
        <v>37</v>
      </c>
      <c r="DZ1" s="218" t="s">
        <v>37</v>
      </c>
      <c r="EA1" s="218" t="s">
        <v>37</v>
      </c>
      <c r="EB1" s="218" t="s">
        <v>37</v>
      </c>
      <c r="EC1" s="218" t="s">
        <v>37</v>
      </c>
      <c r="ED1" s="218" t="s">
        <v>37</v>
      </c>
      <c r="EE1" s="218" t="s">
        <v>37</v>
      </c>
    </row>
    <row r="2" spans="1:135" x14ac:dyDescent="0.25">
      <c r="B2" s="23" t="s">
        <v>44</v>
      </c>
      <c r="C2" s="219">
        <v>41244</v>
      </c>
      <c r="D2" s="219">
        <v>41275</v>
      </c>
      <c r="E2" s="219">
        <v>41306</v>
      </c>
      <c r="F2" s="219">
        <v>41334</v>
      </c>
      <c r="G2" s="219">
        <v>41365</v>
      </c>
      <c r="H2" s="219">
        <v>41395</v>
      </c>
      <c r="I2" s="219">
        <v>41426</v>
      </c>
      <c r="J2" s="219">
        <v>41456</v>
      </c>
      <c r="K2" s="219">
        <v>41487</v>
      </c>
      <c r="L2" s="219">
        <v>41518</v>
      </c>
      <c r="M2" s="219">
        <v>41548</v>
      </c>
      <c r="N2" s="219">
        <v>41579</v>
      </c>
      <c r="O2" s="219">
        <v>41609</v>
      </c>
      <c r="P2" s="219">
        <v>41640</v>
      </c>
      <c r="Q2" s="219">
        <v>41671</v>
      </c>
      <c r="R2" s="219">
        <v>41699</v>
      </c>
      <c r="S2" s="219">
        <v>41730</v>
      </c>
      <c r="T2" s="219">
        <v>41760</v>
      </c>
      <c r="U2" s="219">
        <v>41791</v>
      </c>
      <c r="V2" s="219">
        <v>41821</v>
      </c>
      <c r="W2" s="219">
        <v>41852</v>
      </c>
      <c r="X2" s="219">
        <v>41883</v>
      </c>
      <c r="Y2" s="219">
        <v>41913</v>
      </c>
      <c r="Z2" s="219">
        <v>41944</v>
      </c>
      <c r="AA2" s="219">
        <v>41974</v>
      </c>
      <c r="AB2" s="219">
        <v>42005</v>
      </c>
      <c r="AC2" s="219">
        <v>42036</v>
      </c>
      <c r="AD2" s="219">
        <v>42064</v>
      </c>
      <c r="AE2" s="219">
        <v>42095</v>
      </c>
      <c r="AF2" s="219">
        <v>42125</v>
      </c>
      <c r="AG2" s="219">
        <v>42156</v>
      </c>
      <c r="AH2" s="219">
        <v>42186</v>
      </c>
      <c r="AI2" s="219">
        <v>42217</v>
      </c>
      <c r="AJ2" s="219">
        <v>42248</v>
      </c>
      <c r="AK2" s="219">
        <v>42278</v>
      </c>
      <c r="AL2" s="219">
        <v>42309</v>
      </c>
      <c r="AM2" s="219">
        <v>42339</v>
      </c>
      <c r="AN2" s="219">
        <v>42370</v>
      </c>
      <c r="AO2" s="219">
        <v>42428</v>
      </c>
      <c r="AP2" s="219">
        <v>42460</v>
      </c>
      <c r="AQ2" s="219">
        <v>42461</v>
      </c>
      <c r="AR2" s="219">
        <v>42491</v>
      </c>
      <c r="AS2" s="219">
        <v>42522</v>
      </c>
      <c r="AT2" s="219">
        <v>42552</v>
      </c>
      <c r="AU2" s="219">
        <v>42583</v>
      </c>
      <c r="AV2" s="219">
        <v>42614</v>
      </c>
      <c r="AW2" s="219">
        <v>42644</v>
      </c>
      <c r="AX2" s="219">
        <v>42675</v>
      </c>
      <c r="AY2" s="219">
        <v>42705</v>
      </c>
      <c r="AZ2" s="219">
        <v>42736</v>
      </c>
      <c r="BA2" s="219">
        <f>+AZ2+31</f>
        <v>42767</v>
      </c>
      <c r="BB2" s="219">
        <f t="shared" ref="BB2:CH2" si="0">+BA2+31</f>
        <v>42798</v>
      </c>
      <c r="BC2" s="219">
        <f t="shared" si="0"/>
        <v>42829</v>
      </c>
      <c r="BD2" s="219">
        <f t="shared" si="0"/>
        <v>42860</v>
      </c>
      <c r="BE2" s="219">
        <f t="shared" si="0"/>
        <v>42891</v>
      </c>
      <c r="BF2" s="219">
        <f t="shared" si="0"/>
        <v>42922</v>
      </c>
      <c r="BG2" s="219">
        <f t="shared" si="0"/>
        <v>42953</v>
      </c>
      <c r="BH2" s="219">
        <f t="shared" si="0"/>
        <v>42984</v>
      </c>
      <c r="BI2" s="219">
        <f t="shared" si="0"/>
        <v>43015</v>
      </c>
      <c r="BJ2" s="219">
        <f t="shared" si="0"/>
        <v>43046</v>
      </c>
      <c r="BK2" s="219">
        <f t="shared" si="0"/>
        <v>43077</v>
      </c>
      <c r="BL2" s="219">
        <f t="shared" si="0"/>
        <v>43108</v>
      </c>
      <c r="BM2" s="219">
        <f t="shared" si="0"/>
        <v>43139</v>
      </c>
      <c r="BN2" s="219">
        <f t="shared" si="0"/>
        <v>43170</v>
      </c>
      <c r="BO2" s="219">
        <f t="shared" si="0"/>
        <v>43201</v>
      </c>
      <c r="BP2" s="219">
        <f t="shared" si="0"/>
        <v>43232</v>
      </c>
      <c r="BQ2" s="219">
        <f t="shared" si="0"/>
        <v>43263</v>
      </c>
      <c r="BR2" s="219">
        <f t="shared" si="0"/>
        <v>43294</v>
      </c>
      <c r="BS2" s="219">
        <f t="shared" si="0"/>
        <v>43325</v>
      </c>
      <c r="BT2" s="219">
        <f t="shared" si="0"/>
        <v>43356</v>
      </c>
      <c r="BU2" s="219">
        <f t="shared" si="0"/>
        <v>43387</v>
      </c>
      <c r="BV2" s="219">
        <f t="shared" si="0"/>
        <v>43418</v>
      </c>
      <c r="BW2" s="219">
        <f t="shared" si="0"/>
        <v>43449</v>
      </c>
      <c r="BX2" s="219">
        <f t="shared" si="0"/>
        <v>43480</v>
      </c>
      <c r="BY2" s="219">
        <f t="shared" si="0"/>
        <v>43511</v>
      </c>
      <c r="BZ2" s="219">
        <f t="shared" si="0"/>
        <v>43542</v>
      </c>
      <c r="CA2" s="219">
        <f t="shared" si="0"/>
        <v>43573</v>
      </c>
      <c r="CB2" s="219">
        <f t="shared" si="0"/>
        <v>43604</v>
      </c>
      <c r="CC2" s="219">
        <f t="shared" si="0"/>
        <v>43635</v>
      </c>
      <c r="CD2" s="219">
        <f t="shared" si="0"/>
        <v>43666</v>
      </c>
      <c r="CE2" s="219">
        <f t="shared" si="0"/>
        <v>43697</v>
      </c>
      <c r="CF2" s="219">
        <f t="shared" si="0"/>
        <v>43728</v>
      </c>
      <c r="CG2" s="219">
        <f t="shared" si="0"/>
        <v>43759</v>
      </c>
      <c r="CH2" s="219">
        <f t="shared" si="0"/>
        <v>43790</v>
      </c>
      <c r="CI2" s="219">
        <f>+CH2+31</f>
        <v>43821</v>
      </c>
      <c r="CJ2" s="219">
        <f>+CI2+31</f>
        <v>43852</v>
      </c>
      <c r="CK2" s="219">
        <f>+CJ2+31</f>
        <v>43883</v>
      </c>
      <c r="CL2" s="219">
        <f t="shared" ref="CL2:CT2" si="1">+CK2+31</f>
        <v>43914</v>
      </c>
      <c r="CM2" s="219">
        <f t="shared" si="1"/>
        <v>43945</v>
      </c>
      <c r="CN2" s="219">
        <f t="shared" si="1"/>
        <v>43976</v>
      </c>
      <c r="CO2" s="219">
        <f t="shared" si="1"/>
        <v>44007</v>
      </c>
      <c r="CP2" s="219">
        <f t="shared" si="1"/>
        <v>44038</v>
      </c>
      <c r="CQ2" s="219">
        <f t="shared" si="1"/>
        <v>44069</v>
      </c>
      <c r="CR2" s="219">
        <f t="shared" si="1"/>
        <v>44100</v>
      </c>
      <c r="CS2" s="219">
        <f t="shared" si="1"/>
        <v>44131</v>
      </c>
      <c r="CT2" s="219">
        <f t="shared" si="1"/>
        <v>44162</v>
      </c>
      <c r="CU2" s="219">
        <f>+CT2+31</f>
        <v>44193</v>
      </c>
      <c r="CV2" s="219">
        <f t="shared" ref="CV2:EE2" si="2">+CU2+31</f>
        <v>44224</v>
      </c>
      <c r="CW2" s="219">
        <f t="shared" si="2"/>
        <v>44255</v>
      </c>
      <c r="CX2" s="219">
        <f t="shared" si="2"/>
        <v>44286</v>
      </c>
      <c r="CY2" s="219">
        <f>+CX2+30</f>
        <v>44316</v>
      </c>
      <c r="CZ2" s="219">
        <f>+CX2+31</f>
        <v>44317</v>
      </c>
      <c r="DA2" s="219">
        <f t="shared" si="2"/>
        <v>44348</v>
      </c>
      <c r="DB2" s="219">
        <f t="shared" si="2"/>
        <v>44379</v>
      </c>
      <c r="DC2" s="219">
        <f t="shared" si="2"/>
        <v>44410</v>
      </c>
      <c r="DD2" s="219">
        <f t="shared" si="2"/>
        <v>44441</v>
      </c>
      <c r="DE2" s="219">
        <f t="shared" si="2"/>
        <v>44472</v>
      </c>
      <c r="DF2" s="219">
        <f t="shared" si="2"/>
        <v>44503</v>
      </c>
      <c r="DG2" s="219">
        <f t="shared" si="2"/>
        <v>44534</v>
      </c>
      <c r="DH2" s="219">
        <f t="shared" si="2"/>
        <v>44565</v>
      </c>
      <c r="DI2" s="219">
        <f t="shared" si="2"/>
        <v>44596</v>
      </c>
      <c r="DJ2" s="219">
        <f t="shared" si="2"/>
        <v>44627</v>
      </c>
      <c r="DK2" s="219">
        <f t="shared" si="2"/>
        <v>44658</v>
      </c>
      <c r="DL2" s="219">
        <f t="shared" si="2"/>
        <v>44689</v>
      </c>
      <c r="DM2" s="219">
        <f t="shared" si="2"/>
        <v>44720</v>
      </c>
      <c r="DN2" s="219">
        <f t="shared" si="2"/>
        <v>44751</v>
      </c>
      <c r="DO2" s="219">
        <f t="shared" si="2"/>
        <v>44782</v>
      </c>
      <c r="DP2" s="219">
        <f>+DO2+31</f>
        <v>44813</v>
      </c>
      <c r="DQ2" s="219">
        <f t="shared" si="2"/>
        <v>44844</v>
      </c>
      <c r="DR2" s="219">
        <f>+DQ2+31</f>
        <v>44875</v>
      </c>
      <c r="DS2" s="219">
        <f t="shared" si="2"/>
        <v>44906</v>
      </c>
      <c r="DT2" s="219">
        <f t="shared" si="2"/>
        <v>44937</v>
      </c>
      <c r="DU2" s="219">
        <f t="shared" si="2"/>
        <v>44968</v>
      </c>
      <c r="DV2" s="219">
        <f t="shared" si="2"/>
        <v>44999</v>
      </c>
      <c r="DW2" s="219">
        <f t="shared" si="2"/>
        <v>45030</v>
      </c>
      <c r="DX2" s="219">
        <f t="shared" si="2"/>
        <v>45061</v>
      </c>
      <c r="DY2" s="219">
        <f t="shared" si="2"/>
        <v>45092</v>
      </c>
      <c r="DZ2" s="219">
        <f t="shared" si="2"/>
        <v>45123</v>
      </c>
      <c r="EA2" s="219">
        <f t="shared" si="2"/>
        <v>45154</v>
      </c>
      <c r="EB2" s="219">
        <f t="shared" si="2"/>
        <v>45185</v>
      </c>
      <c r="EC2" s="219">
        <f t="shared" si="2"/>
        <v>45216</v>
      </c>
      <c r="ED2" s="219">
        <f t="shared" si="2"/>
        <v>45247</v>
      </c>
      <c r="EE2" s="219">
        <f t="shared" si="2"/>
        <v>45278</v>
      </c>
    </row>
    <row r="3" spans="1:135" x14ac:dyDescent="0.25">
      <c r="B3" s="24"/>
    </row>
    <row r="4" spans="1:135" ht="15.6" x14ac:dyDescent="0.25">
      <c r="A4" s="220">
        <v>1</v>
      </c>
      <c r="B4" s="25" t="s">
        <v>45</v>
      </c>
      <c r="C4" s="26">
        <v>458040</v>
      </c>
      <c r="D4" s="26">
        <v>276869</v>
      </c>
      <c r="E4" s="26">
        <v>4903</v>
      </c>
      <c r="F4" s="26">
        <v>15522</v>
      </c>
      <c r="G4" s="26">
        <v>-4521</v>
      </c>
      <c r="H4" s="26">
        <v>-19485</v>
      </c>
      <c r="I4" s="26">
        <v>-5890</v>
      </c>
      <c r="J4" s="26">
        <v>55811</v>
      </c>
      <c r="K4" s="26">
        <v>178070</v>
      </c>
      <c r="L4" s="26">
        <v>242813</v>
      </c>
      <c r="M4" s="26">
        <v>393890</v>
      </c>
      <c r="N4" s="26">
        <v>413304</v>
      </c>
      <c r="O4" s="26">
        <v>425710</v>
      </c>
      <c r="P4" s="26">
        <v>238753</v>
      </c>
      <c r="Q4" s="26">
        <v>18889</v>
      </c>
      <c r="R4" s="26">
        <v>-33316</v>
      </c>
      <c r="S4" s="26">
        <v>114142</v>
      </c>
      <c r="T4" s="26">
        <v>135155</v>
      </c>
      <c r="U4" s="26">
        <v>40094</v>
      </c>
      <c r="V4" s="26">
        <v>77409</v>
      </c>
      <c r="W4" s="26">
        <v>193773</v>
      </c>
      <c r="X4" s="26">
        <v>326528</v>
      </c>
      <c r="Y4" s="26">
        <v>426934</v>
      </c>
      <c r="Z4" s="26">
        <v>367129</v>
      </c>
      <c r="AA4" s="26">
        <v>471565</v>
      </c>
      <c r="AB4" s="26">
        <v>205123</v>
      </c>
      <c r="AC4" s="26">
        <v>-6251</v>
      </c>
      <c r="AD4" s="26">
        <v>-31546</v>
      </c>
      <c r="AE4" s="26">
        <v>26987</v>
      </c>
      <c r="AF4" s="26">
        <v>-18695</v>
      </c>
      <c r="AG4" s="26">
        <v>41628</v>
      </c>
      <c r="AH4" s="26">
        <v>131703</v>
      </c>
      <c r="AI4" s="26">
        <v>163501</v>
      </c>
      <c r="AJ4" s="26">
        <v>274685</v>
      </c>
      <c r="AK4" s="26">
        <v>301113</v>
      </c>
      <c r="AL4" s="26">
        <v>363569</v>
      </c>
      <c r="AM4" s="26">
        <v>443847</v>
      </c>
      <c r="AN4" s="26">
        <v>141859</v>
      </c>
      <c r="AO4" s="26">
        <v>40018</v>
      </c>
      <c r="AP4" s="26">
        <v>17824</v>
      </c>
      <c r="AQ4" s="26">
        <v>59022</v>
      </c>
      <c r="AR4" s="26">
        <v>-31027</v>
      </c>
      <c r="AS4" s="26">
        <v>253085</v>
      </c>
      <c r="AT4" s="26">
        <v>113956</v>
      </c>
      <c r="AU4" s="26">
        <v>95394</v>
      </c>
      <c r="AV4" s="26">
        <v>283003</v>
      </c>
      <c r="AW4" s="26">
        <v>498611</v>
      </c>
      <c r="AX4" s="26">
        <v>394379</v>
      </c>
      <c r="AY4" s="26">
        <v>369443</v>
      </c>
      <c r="AZ4" s="26">
        <v>252944</v>
      </c>
      <c r="BA4" s="26">
        <v>42019</v>
      </c>
      <c r="BB4" s="26">
        <v>351212.5</v>
      </c>
      <c r="BC4" s="26">
        <v>-159757.85999999999</v>
      </c>
      <c r="BD4" s="26">
        <v>185246.03</v>
      </c>
      <c r="BE4" s="26">
        <v>149515.78000000003</v>
      </c>
      <c r="BF4" s="26">
        <v>225783.33</v>
      </c>
      <c r="BG4" s="26">
        <v>397054.35</v>
      </c>
      <c r="BH4" s="26">
        <v>566242.35</v>
      </c>
      <c r="BI4" s="26">
        <v>657364.69999999995</v>
      </c>
      <c r="BJ4" s="26">
        <v>431461.43</v>
      </c>
      <c r="BK4" s="26">
        <v>356327.94999999995</v>
      </c>
      <c r="BL4" s="26">
        <v>466464.31</v>
      </c>
      <c r="BM4" s="26">
        <v>446343.79</v>
      </c>
      <c r="BN4" s="26">
        <v>279110.71000000002</v>
      </c>
      <c r="BO4" s="48">
        <f>812475.07-452515.55*1</f>
        <v>359959.51999999996</v>
      </c>
      <c r="BP4" s="48">
        <f>-91481.68+452515.55*1</f>
        <v>361033.87</v>
      </c>
      <c r="BQ4" s="26">
        <v>120126.43</v>
      </c>
      <c r="BR4" s="26">
        <v>242514.64</v>
      </c>
      <c r="BS4" s="26">
        <v>269771.33</v>
      </c>
      <c r="BT4" s="26">
        <v>337053.84</v>
      </c>
      <c r="BU4" s="26">
        <v>470818.49</v>
      </c>
      <c r="BV4" s="26">
        <v>506747.63</v>
      </c>
      <c r="BW4" s="26">
        <v>486283.85</v>
      </c>
      <c r="BX4" s="26">
        <f>326339.461</f>
        <v>326339.46100000001</v>
      </c>
      <c r="BY4" s="26">
        <v>244405.23</v>
      </c>
      <c r="BZ4" s="26">
        <v>179896.11</v>
      </c>
      <c r="CA4" s="48">
        <v>224251.5</v>
      </c>
      <c r="CB4" s="48">
        <v>112954.81</v>
      </c>
      <c r="CC4" s="26">
        <v>188062.05</v>
      </c>
      <c r="CD4" s="26">
        <v>185561</v>
      </c>
      <c r="CE4" s="26">
        <v>266703.94</v>
      </c>
      <c r="CF4" s="26">
        <v>378195.45799999998</v>
      </c>
      <c r="CG4" s="26">
        <v>463599.94</v>
      </c>
      <c r="CH4" s="26">
        <v>344269.73</v>
      </c>
      <c r="CI4" s="26">
        <v>448887.02</v>
      </c>
      <c r="CJ4" s="26">
        <v>258451.76</v>
      </c>
      <c r="CK4" s="26">
        <v>197211.897</v>
      </c>
      <c r="CL4" s="26">
        <v>-80761.27</v>
      </c>
      <c r="CM4" s="48">
        <v>-194440</v>
      </c>
      <c r="CN4" s="48">
        <v>83577.710000000006</v>
      </c>
      <c r="CO4" s="26">
        <v>-169513</v>
      </c>
      <c r="CP4" s="26">
        <v>-174725.51</v>
      </c>
      <c r="CQ4" s="26">
        <v>-194491.22</v>
      </c>
      <c r="CR4" s="26">
        <v>198854.07</v>
      </c>
      <c r="CS4" s="26">
        <v>1743107.8</v>
      </c>
      <c r="CT4" s="26">
        <v>419734.51</v>
      </c>
      <c r="CU4" s="26">
        <v>1243411.68</v>
      </c>
      <c r="CV4" s="26">
        <v>327566.17</v>
      </c>
      <c r="CW4" s="26">
        <v>373920.4</v>
      </c>
      <c r="CX4" s="26">
        <v>441784.39999999997</v>
      </c>
      <c r="CY4" s="48">
        <v>271607.63</v>
      </c>
      <c r="CZ4" s="48">
        <v>24255.197799999965</v>
      </c>
      <c r="DA4" s="26">
        <v>341769.53162999998</v>
      </c>
      <c r="DB4" s="26">
        <v>347536.27</v>
      </c>
      <c r="DC4" s="26">
        <v>85557.82058</v>
      </c>
      <c r="DD4" s="26">
        <v>2351679.4500000002</v>
      </c>
      <c r="DE4" s="26">
        <v>502927.92000000004</v>
      </c>
      <c r="DF4" s="26">
        <v>598092.65</v>
      </c>
      <c r="DG4" s="26">
        <v>659466.97</v>
      </c>
      <c r="DH4" s="26">
        <v>168006.12</v>
      </c>
      <c r="DI4" s="26">
        <v>338048</v>
      </c>
      <c r="DJ4" s="26">
        <v>313770.95908700005</v>
      </c>
      <c r="DK4" s="48">
        <v>291233.14232000004</v>
      </c>
      <c r="DL4" s="48">
        <v>373801.91444799997</v>
      </c>
      <c r="DM4" s="26">
        <v>286276</v>
      </c>
      <c r="DN4" s="26">
        <v>395897.3</v>
      </c>
      <c r="DO4" s="26">
        <v>491712.55</v>
      </c>
      <c r="DP4" s="26">
        <v>711544.11</v>
      </c>
      <c r="DQ4" s="26">
        <v>830019.54799999995</v>
      </c>
      <c r="DR4" s="26">
        <v>818026.35</v>
      </c>
      <c r="DS4" s="26">
        <v>689473.67</v>
      </c>
      <c r="DT4" s="26">
        <v>671660.06</v>
      </c>
      <c r="DU4" s="26">
        <v>585558.02</v>
      </c>
      <c r="DV4" s="26">
        <v>389074.72</v>
      </c>
      <c r="DW4" s="48">
        <v>298182.34000000003</v>
      </c>
      <c r="DX4" s="48">
        <v>527387.49</v>
      </c>
      <c r="DY4" s="26">
        <v>423049.89</v>
      </c>
      <c r="DZ4" s="26">
        <v>468099.29</v>
      </c>
      <c r="EA4" s="26">
        <v>866511.22</v>
      </c>
      <c r="EB4" s="26">
        <v>717591.95</v>
      </c>
      <c r="EC4" s="26">
        <v>993730.51</v>
      </c>
      <c r="ED4" s="26">
        <v>1135329.8400000001</v>
      </c>
      <c r="EE4" s="26">
        <v>1505051.01</v>
      </c>
    </row>
    <row r="5" spans="1:135" ht="15.6" x14ac:dyDescent="0.25">
      <c r="A5" s="220">
        <f t="shared" ref="A5:A48" si="3">+A4+1</f>
        <v>2</v>
      </c>
      <c r="B5" s="28" t="s">
        <v>46</v>
      </c>
      <c r="C5" s="29">
        <v>2.3465876806605854E-3</v>
      </c>
      <c r="D5" s="29">
        <v>1.6070471981895461E-3</v>
      </c>
      <c r="E5" s="29">
        <v>3.3924071134300547E-5</v>
      </c>
      <c r="F5" s="29">
        <v>1.1434812111936865E-4</v>
      </c>
      <c r="G5" s="29">
        <v>-3.1691236370744286E-5</v>
      </c>
      <c r="H5" s="29">
        <v>-1.4805384193565161E-4</v>
      </c>
      <c r="I5" s="29">
        <v>-4.373789907296372E-5</v>
      </c>
      <c r="J5" s="29">
        <v>3.942467927421914E-4</v>
      </c>
      <c r="K5" s="29">
        <v>1.1861075321878125E-3</v>
      </c>
      <c r="L5" s="29">
        <v>1.4051193523353051E-3</v>
      </c>
      <c r="M5" s="29">
        <v>2.2224456071544907E-3</v>
      </c>
      <c r="N5" s="29">
        <v>2.2560586960000124E-3</v>
      </c>
      <c r="O5" s="29">
        <v>2.2430976982803228E-3</v>
      </c>
      <c r="P5" s="29">
        <v>1.3940373080848281E-3</v>
      </c>
      <c r="Q5" s="29">
        <v>1.2295069622834267E-4</v>
      </c>
      <c r="R5" s="29">
        <v>-2.2978422025066083E-4</v>
      </c>
      <c r="S5" s="29">
        <v>7.5004618939277271E-4</v>
      </c>
      <c r="T5" s="29">
        <v>1.019461580643484E-4</v>
      </c>
      <c r="U5" s="29">
        <v>2.9138783394381921E-4</v>
      </c>
      <c r="V5" s="29">
        <v>3.942467927421914E-4</v>
      </c>
      <c r="W5" s="29">
        <v>1.1861075321878125E-3</v>
      </c>
      <c r="X5" s="29">
        <v>1.4051193523353051E-3</v>
      </c>
      <c r="Y5" s="29">
        <v>2.1524456071544905E-3</v>
      </c>
      <c r="Z5" s="29">
        <v>2.1560586960000126E-3</v>
      </c>
      <c r="AA5" s="29">
        <v>2.1430976982803229E-3</v>
      </c>
      <c r="AB5" s="29">
        <v>1.3940373080848281E-3</v>
      </c>
      <c r="AC5" s="29">
        <v>2.7295069622834266E-4</v>
      </c>
      <c r="AD5" s="29">
        <v>-7.9784220250660843E-5</v>
      </c>
      <c r="AE5" s="29">
        <v>9.0004618939277267E-4</v>
      </c>
      <c r="AF5" s="29">
        <v>2.5294615806434838E-4</v>
      </c>
      <c r="AG5" s="29">
        <v>4.423878339438192E-4</v>
      </c>
      <c r="AH5" s="29">
        <v>5.4524679274219143E-4</v>
      </c>
      <c r="AI5" s="29">
        <v>1.3371075321878126E-3</v>
      </c>
      <c r="AJ5" s="29">
        <v>1.5561193523353049E-3</v>
      </c>
      <c r="AK5" s="29">
        <v>2.4024456071544903E-3</v>
      </c>
      <c r="AL5" s="29">
        <v>2.4060586960000128E-3</v>
      </c>
      <c r="AM5" s="29">
        <v>2.1430976982803229E-3</v>
      </c>
      <c r="AN5" s="29">
        <v>7.9744085451184915E-4</v>
      </c>
      <c r="AO5" s="29">
        <v>2.4331173032251494E-4</v>
      </c>
      <c r="AP5" s="29">
        <v>1.1713919996029465E-4</v>
      </c>
      <c r="AQ5" s="29">
        <v>3.8011728352559961E-4</v>
      </c>
      <c r="AR5" s="29">
        <v>-2.1686964729965101E-4</v>
      </c>
      <c r="AS5" s="29">
        <v>1.8587211252481845E-3</v>
      </c>
      <c r="AT5" s="29">
        <v>7.8081755275885253E-4</v>
      </c>
      <c r="AU5" s="29">
        <v>6.0484579288677274E-4</v>
      </c>
      <c r="AV5" s="29">
        <v>1.5221523475046222E-3</v>
      </c>
      <c r="AW5" s="29">
        <v>2.500487535542491E-3</v>
      </c>
      <c r="AX5" s="29">
        <v>2.0082690588873798E-3</v>
      </c>
      <c r="AY5" s="29">
        <v>1.8597039559158049E-3</v>
      </c>
      <c r="AZ5" s="29">
        <f t="shared" ref="AZ5:DI5" si="4">AZ4/AW6</f>
        <v>1.4223617551296466E-3</v>
      </c>
      <c r="BA5" s="29">
        <f>BA4/AX6</f>
        <v>2.8162868007914927E-4</v>
      </c>
      <c r="BB5" s="29">
        <f t="shared" si="4"/>
        <v>2.4350129423760551E-3</v>
      </c>
      <c r="BC5" s="29">
        <f t="shared" si="4"/>
        <v>-1.1139096839124158E-3</v>
      </c>
      <c r="BD5" s="29">
        <f t="shared" si="4"/>
        <v>1.399075963064307E-3</v>
      </c>
      <c r="BE5" s="29">
        <f t="shared" si="4"/>
        <v>1.1194759203997583E-3</v>
      </c>
      <c r="BF5" s="29">
        <f t="shared" si="4"/>
        <v>1.558567784697024E-3</v>
      </c>
      <c r="BG5" s="29">
        <f t="shared" si="4"/>
        <v>2.3618055878603756E-3</v>
      </c>
      <c r="BH5" s="29">
        <f t="shared" si="4"/>
        <v>3.1984661092344007E-3</v>
      </c>
      <c r="BI5" s="29">
        <f t="shared" si="4"/>
        <v>3.6059083597662018E-3</v>
      </c>
      <c r="BJ5" s="29">
        <f t="shared" si="4"/>
        <v>2.2639694078154028E-3</v>
      </c>
      <c r="BK5" s="29">
        <f t="shared" si="4"/>
        <v>1.8340492397405351E-3</v>
      </c>
      <c r="BL5" s="29">
        <f t="shared" si="4"/>
        <v>2.6133748297550718E-3</v>
      </c>
      <c r="BM5" s="29">
        <f t="shared" si="4"/>
        <v>2.9805057882653411E-3</v>
      </c>
      <c r="BN5" s="29">
        <f t="shared" si="4"/>
        <v>2.0226885691779183E-3</v>
      </c>
      <c r="BO5" s="29">
        <f t="shared" si="4"/>
        <v>2.2519738977461491E-3</v>
      </c>
      <c r="BP5" s="29">
        <f t="shared" si="4"/>
        <v>2.471061525957277E-3</v>
      </c>
      <c r="BQ5" s="29">
        <f t="shared" si="4"/>
        <v>8.3506204272784104E-4</v>
      </c>
      <c r="BR5" s="29">
        <f t="shared" si="4"/>
        <v>1.6737984139018514E-3</v>
      </c>
      <c r="BS5" s="29">
        <f t="shared" si="4"/>
        <v>1.7619363645085407E-3</v>
      </c>
      <c r="BT5" s="29">
        <f t="shared" si="4"/>
        <v>1.9163085869101997E-3</v>
      </c>
      <c r="BU5" s="29">
        <f t="shared" si="4"/>
        <v>2.4219705999724028E-3</v>
      </c>
      <c r="BV5" s="29">
        <f t="shared" si="4"/>
        <v>2.6480605310558718E-3</v>
      </c>
      <c r="BW5" s="29">
        <f t="shared" si="4"/>
        <v>2.3360520658697943E-3</v>
      </c>
      <c r="BX5" s="29">
        <f t="shared" si="4"/>
        <v>1.7015928842267246E-3</v>
      </c>
      <c r="BY5" s="29">
        <f t="shared" si="4"/>
        <v>1.4678122678088283E-3</v>
      </c>
      <c r="BZ5" s="29">
        <f t="shared" si="4"/>
        <v>1.2143517380636671E-3</v>
      </c>
      <c r="CA5" s="29">
        <f t="shared" si="4"/>
        <v>1.6290595491878766E-3</v>
      </c>
      <c r="CB5" s="29">
        <f t="shared" si="4"/>
        <v>8.1951627494669275E-4</v>
      </c>
      <c r="CC5" s="29">
        <f t="shared" si="4"/>
        <v>1.38605297543918E-3</v>
      </c>
      <c r="CD5" s="29">
        <f t="shared" si="4"/>
        <v>1.3285541695130813E-3</v>
      </c>
      <c r="CE5" s="29">
        <f t="shared" si="4"/>
        <v>1.6151867724812485E-3</v>
      </c>
      <c r="CF5" s="29">
        <f t="shared" si="4"/>
        <v>1.996135822467496E-3</v>
      </c>
      <c r="CG5" s="29">
        <f t="shared" si="4"/>
        <v>2.3913398821976098E-3</v>
      </c>
      <c r="CH5" s="29">
        <f t="shared" si="4"/>
        <v>1.8418537191183942E-3</v>
      </c>
      <c r="CI5" s="29">
        <f t="shared" si="4"/>
        <v>2.235258664663225E-3</v>
      </c>
      <c r="CJ5" s="29">
        <f t="shared" si="4"/>
        <v>1.4186976249228975E-3</v>
      </c>
      <c r="CK5" s="29">
        <f t="shared" si="4"/>
        <v>1.1857906670084588E-3</v>
      </c>
      <c r="CL5" s="29">
        <f t="shared" si="4"/>
        <v>-5.7633622948581619E-4</v>
      </c>
      <c r="CM5" s="29">
        <f t="shared" si="4"/>
        <v>-1.3492188451473832E-3</v>
      </c>
      <c r="CN5" s="29">
        <f t="shared" si="4"/>
        <v>6.1710299156776389E-4</v>
      </c>
      <c r="CO5" s="29">
        <f t="shared" si="4"/>
        <v>-1.2438119357371618E-3</v>
      </c>
      <c r="CP5" s="29">
        <f t="shared" si="4"/>
        <v>-1.1352492243617083E-3</v>
      </c>
      <c r="CQ5" s="29">
        <f t="shared" si="4"/>
        <v>-1.2619790580522517E-3</v>
      </c>
      <c r="CR5" s="29">
        <f t="shared" si="4"/>
        <v>1.3993676226343986E-3</v>
      </c>
      <c r="CS5" s="29">
        <f t="shared" si="4"/>
        <v>1.0847670807474048E-2</v>
      </c>
      <c r="CT5" s="29">
        <f t="shared" si="4"/>
        <v>2.5719445560818343E-3</v>
      </c>
      <c r="CU5" s="29">
        <f t="shared" si="4"/>
        <v>6.7855798765893956E-3</v>
      </c>
      <c r="CV5" s="29">
        <f t="shared" si="4"/>
        <v>1.9168114828032477E-3</v>
      </c>
      <c r="CW5" s="29">
        <f t="shared" si="4"/>
        <v>2.3410543282091092E-3</v>
      </c>
      <c r="CX5" s="29">
        <f t="shared" si="4"/>
        <v>3.1449042283396172E-3</v>
      </c>
      <c r="CY5" s="29">
        <f t="shared" si="4"/>
        <v>1.7235377386354608E-3</v>
      </c>
      <c r="CZ5" s="29">
        <f t="shared" si="4"/>
        <v>1.6830484717840057E-4</v>
      </c>
      <c r="DA5" s="29">
        <f t="shared" si="4"/>
        <v>2.4186523595212408E-3</v>
      </c>
      <c r="DB5" s="29">
        <f t="shared" si="4"/>
        <v>2.2701961796758718E-3</v>
      </c>
      <c r="DC5" s="29">
        <f t="shared" si="4"/>
        <v>5.0629156859149449E-4</v>
      </c>
      <c r="DD5" s="29">
        <f t="shared" si="4"/>
        <v>1.2269202825733783E-2</v>
      </c>
      <c r="DE5" s="29">
        <f t="shared" si="4"/>
        <v>2.5912024487706234E-3</v>
      </c>
      <c r="DF5" s="29">
        <f t="shared" si="4"/>
        <v>2.9548500732915995E-3</v>
      </c>
      <c r="DG5" s="29">
        <f t="shared" si="4"/>
        <v>2.8112014979007746E-3</v>
      </c>
      <c r="DH5" s="29">
        <f t="shared" si="4"/>
        <v>7.9254767953936109E-4</v>
      </c>
      <c r="DI5" s="29">
        <f t="shared" si="4"/>
        <v>1.8781958073054573E-3</v>
      </c>
      <c r="DJ5" s="29">
        <f>DJ4/DG6</f>
        <v>1.8845171106205961E-3</v>
      </c>
      <c r="DK5" s="29">
        <f>DK4/DH6</f>
        <v>1.7305179874687706E-3</v>
      </c>
      <c r="DL5" s="29">
        <f>DL4/DI6</f>
        <v>2.2743010488169824E-3</v>
      </c>
      <c r="DM5" s="29">
        <f>DM4/DJ6</f>
        <v>1.7631463602590419E-3</v>
      </c>
      <c r="DN5" s="29">
        <f>DN4/DK6</f>
        <v>2.1446094624375002E-3</v>
      </c>
      <c r="DO5" s="29">
        <f t="shared" ref="DO5:EE5" si="5">DO4/DL6</f>
        <v>2.3796128782848864E-3</v>
      </c>
      <c r="DP5" s="29">
        <f t="shared" si="5"/>
        <v>3.0517819529970436E-3</v>
      </c>
      <c r="DQ5" s="29">
        <f t="shared" si="5"/>
        <v>3.3698553208032288E-3</v>
      </c>
      <c r="DR5" s="29">
        <f t="shared" si="5"/>
        <v>3.2903764546836334E-3</v>
      </c>
      <c r="DS5" s="29">
        <f t="shared" si="5"/>
        <v>2.734985512871308E-3</v>
      </c>
      <c r="DT5" s="29">
        <f t="shared" si="5"/>
        <v>3.1832414875426563E-3</v>
      </c>
      <c r="DU5" s="29">
        <f t="shared" si="5"/>
        <v>3.0895501626144245E-3</v>
      </c>
      <c r="DV5" s="29">
        <f t="shared" si="5"/>
        <v>2.0353046910808084E-3</v>
      </c>
      <c r="DW5" s="29">
        <f t="shared" si="5"/>
        <v>1.3962199434967568E-3</v>
      </c>
      <c r="DX5" s="29">
        <f t="shared" si="5"/>
        <v>2.7539306095495661E-3</v>
      </c>
      <c r="DY5" s="29">
        <f t="shared" si="5"/>
        <v>2.135548603468481E-3</v>
      </c>
      <c r="DZ5" s="29">
        <f t="shared" si="5"/>
        <v>2.0122154508483694E-3</v>
      </c>
      <c r="EA5" s="29">
        <f t="shared" si="5"/>
        <v>3.5303572572229691E-3</v>
      </c>
      <c r="EB5" s="29">
        <f t="shared" si="5"/>
        <v>2.6815252277131271E-3</v>
      </c>
      <c r="EC5" s="29">
        <f t="shared" si="5"/>
        <v>3.2572589042634071E-3</v>
      </c>
      <c r="ED5" s="29">
        <f t="shared" si="5"/>
        <v>3.7013566458750143E-3</v>
      </c>
      <c r="EE5" s="29">
        <f t="shared" si="5"/>
        <v>4.7417992120251436E-3</v>
      </c>
    </row>
    <row r="6" spans="1:135" ht="15.6" x14ac:dyDescent="0.25">
      <c r="A6" s="220">
        <f t="shared" si="3"/>
        <v>3</v>
      </c>
      <c r="B6" s="28" t="s">
        <v>47</v>
      </c>
      <c r="C6" s="221">
        <v>135743376</v>
      </c>
      <c r="D6" s="221">
        <v>142657735</v>
      </c>
      <c r="E6" s="221">
        <v>131607527</v>
      </c>
      <c r="F6" s="221">
        <v>134665819</v>
      </c>
      <c r="G6" s="221">
        <v>141563612</v>
      </c>
      <c r="H6" s="221">
        <v>150129727</v>
      </c>
      <c r="I6" s="221">
        <v>172805961</v>
      </c>
      <c r="J6" s="221">
        <v>177232684</v>
      </c>
      <c r="K6" s="221">
        <v>183197361.28</v>
      </c>
      <c r="L6" s="221">
        <v>189786650.99000001</v>
      </c>
      <c r="M6" s="221">
        <v>171267295.80000001</v>
      </c>
      <c r="N6" s="221">
        <v>153630687.58000001</v>
      </c>
      <c r="O6" s="221">
        <v>144988197.90000001</v>
      </c>
      <c r="P6" s="221">
        <v>152179961.19999999</v>
      </c>
      <c r="Q6" s="221">
        <v>148610023</v>
      </c>
      <c r="R6" s="221">
        <v>137596685</v>
      </c>
      <c r="S6" s="221">
        <v>139133366</v>
      </c>
      <c r="T6" s="221">
        <v>161564985</v>
      </c>
      <c r="U6" s="221">
        <v>187913849</v>
      </c>
      <c r="V6" s="221">
        <v>197008160</v>
      </c>
      <c r="W6" s="221">
        <v>193283773</v>
      </c>
      <c r="X6" s="221">
        <v>197849834</v>
      </c>
      <c r="Y6" s="221">
        <v>172695104</v>
      </c>
      <c r="Z6" s="221">
        <v>147970663</v>
      </c>
      <c r="AA6" s="221">
        <v>146796442</v>
      </c>
      <c r="AB6" s="221">
        <v>148008898</v>
      </c>
      <c r="AC6" s="221">
        <v>140156232</v>
      </c>
      <c r="AD6" s="221">
        <v>143178316</v>
      </c>
      <c r="AE6" s="221">
        <v>157806084</v>
      </c>
      <c r="AF6" s="221">
        <v>169387894</v>
      </c>
      <c r="AG6" s="221">
        <v>188012492</v>
      </c>
      <c r="AH6" s="221">
        <v>194516338</v>
      </c>
      <c r="AI6" s="221">
        <v>183818237</v>
      </c>
      <c r="AJ6" s="221">
        <v>192448462</v>
      </c>
      <c r="AK6" s="221">
        <v>177892817</v>
      </c>
      <c r="AL6" s="221">
        <v>164472136</v>
      </c>
      <c r="AM6" s="221">
        <v>152160848</v>
      </c>
      <c r="AN6" s="221">
        <v>155273129</v>
      </c>
      <c r="AO6" s="221">
        <v>143067508</v>
      </c>
      <c r="AP6" s="221">
        <v>136160824</v>
      </c>
      <c r="AQ6" s="221">
        <v>145944465</v>
      </c>
      <c r="AR6" s="221">
        <v>157716233</v>
      </c>
      <c r="AS6" s="221">
        <v>185922914</v>
      </c>
      <c r="AT6" s="221">
        <v>199405513.09</v>
      </c>
      <c r="AU6" s="221">
        <v>196377571.15000001</v>
      </c>
      <c r="AV6" s="221">
        <v>198656887.74000001</v>
      </c>
      <c r="AW6" s="221">
        <v>177833802.88999999</v>
      </c>
      <c r="AX6" s="221">
        <v>149200003.31</v>
      </c>
      <c r="AY6" s="221">
        <v>144234346.31</v>
      </c>
      <c r="AZ6" s="221">
        <v>143420837.71000001</v>
      </c>
      <c r="BA6" s="221">
        <v>132405984.3</v>
      </c>
      <c r="BB6" s="221">
        <v>133558728.04000001</v>
      </c>
      <c r="BC6" s="221">
        <v>144865903.31</v>
      </c>
      <c r="BD6" s="221">
        <v>168114747.47999999</v>
      </c>
      <c r="BE6" s="221">
        <v>177035594.77000001</v>
      </c>
      <c r="BF6" s="221">
        <v>182302109.31999999</v>
      </c>
      <c r="BG6" s="221">
        <v>190577411.74000001</v>
      </c>
      <c r="BH6" s="221">
        <v>194284832.86000001</v>
      </c>
      <c r="BI6" s="221">
        <v>178491161.96000001</v>
      </c>
      <c r="BJ6" s="221">
        <v>149754377.84999999</v>
      </c>
      <c r="BK6" s="221">
        <v>137989957.65000001</v>
      </c>
      <c r="BL6" s="222">
        <v>159841781.63000003</v>
      </c>
      <c r="BM6" s="222">
        <v>146104767.61000001</v>
      </c>
      <c r="BN6" s="222">
        <v>143853299.34</v>
      </c>
      <c r="BO6" s="222">
        <v>144888797.83000001</v>
      </c>
      <c r="BP6" s="222">
        <v>153110711.28</v>
      </c>
      <c r="BQ6" s="222">
        <v>175887037.34999999</v>
      </c>
      <c r="BR6" s="222">
        <v>194394799.84</v>
      </c>
      <c r="BS6" s="222">
        <v>191365576.44999999</v>
      </c>
      <c r="BT6" s="222">
        <v>208164816.66</v>
      </c>
      <c r="BU6" s="222">
        <v>191784688.34999999</v>
      </c>
      <c r="BV6" s="222">
        <v>166509870.06999999</v>
      </c>
      <c r="BW6" s="222">
        <v>148141682.81</v>
      </c>
      <c r="BX6" s="222">
        <v>137657030.47</v>
      </c>
      <c r="BY6" s="222">
        <v>137831076.03</v>
      </c>
      <c r="BZ6" s="222">
        <v>135681718.75999999</v>
      </c>
      <c r="CA6" s="222">
        <v>139671384.31999999</v>
      </c>
      <c r="CB6" s="222">
        <v>165122662.31</v>
      </c>
      <c r="CC6" s="222">
        <v>189463789.86000001</v>
      </c>
      <c r="CD6" s="222">
        <v>193866185</v>
      </c>
      <c r="CE6" s="222">
        <v>186914805.68000001</v>
      </c>
      <c r="CF6" s="222">
        <v>200821062.5</v>
      </c>
      <c r="CG6" s="222">
        <v>182175366.66</v>
      </c>
      <c r="CH6" s="222">
        <v>166312573.11000001</v>
      </c>
      <c r="CI6" s="222">
        <v>140128740.59999999</v>
      </c>
      <c r="CJ6" s="222">
        <v>144113018.21000001</v>
      </c>
      <c r="CK6" s="222">
        <v>135435593.63999999</v>
      </c>
      <c r="CL6" s="222">
        <v>136285072.63</v>
      </c>
      <c r="CM6" s="222">
        <v>153909385.05000001</v>
      </c>
      <c r="CN6" s="222">
        <v>154116043.97</v>
      </c>
      <c r="CO6" s="222">
        <v>142102809</v>
      </c>
      <c r="CP6" s="222">
        <v>160689592.34999999</v>
      </c>
      <c r="CQ6" s="222">
        <v>163197339.92999998</v>
      </c>
      <c r="CR6" s="222">
        <v>183243245.62</v>
      </c>
      <c r="CS6" s="222">
        <v>170891176.80000001</v>
      </c>
      <c r="CT6" s="222">
        <v>159723076.69000003</v>
      </c>
      <c r="CU6" s="222">
        <v>140476265.07000002</v>
      </c>
      <c r="CV6" s="222">
        <v>157587283.36000001</v>
      </c>
      <c r="CW6" s="222">
        <v>144114671.72</v>
      </c>
      <c r="CX6" s="222">
        <v>141305769.01000002</v>
      </c>
      <c r="CY6" s="222">
        <v>153086448.25999999</v>
      </c>
      <c r="CZ6" s="222">
        <v>168989226.53999999</v>
      </c>
      <c r="DA6" s="222">
        <v>191673369.76999998</v>
      </c>
      <c r="DB6" s="222">
        <v>194090554.46000001</v>
      </c>
      <c r="DC6" s="222">
        <v>202410489.59</v>
      </c>
      <c r="DD6" s="222">
        <v>234585450.55999997</v>
      </c>
      <c r="DE6" s="222">
        <v>211982350.50999999</v>
      </c>
      <c r="DF6" s="222">
        <v>179985493.88999999</v>
      </c>
      <c r="DG6" s="222">
        <v>166499395.16</v>
      </c>
      <c r="DH6" s="222">
        <v>168292467.58999997</v>
      </c>
      <c r="DI6" s="222">
        <v>164359030.06</v>
      </c>
      <c r="DJ6" s="222">
        <v>162366554.72999999</v>
      </c>
      <c r="DK6" s="222">
        <v>184601115.93000001</v>
      </c>
      <c r="DL6" s="222">
        <v>206635522.31</v>
      </c>
      <c r="DM6" s="222">
        <v>233156929.60999998</v>
      </c>
      <c r="DN6" s="222">
        <v>246307176.12</v>
      </c>
      <c r="DO6" s="222">
        <v>248611780.83000001</v>
      </c>
      <c r="DP6" s="222">
        <v>252094084.87</v>
      </c>
      <c r="DQ6" s="222">
        <v>210998776.759</v>
      </c>
      <c r="DR6" s="222">
        <v>189528568.61999997</v>
      </c>
      <c r="DS6" s="222">
        <v>191162886.67000002</v>
      </c>
      <c r="DT6" s="222">
        <v>213564017.18000001</v>
      </c>
      <c r="DU6" s="222">
        <v>191503550.66</v>
      </c>
      <c r="DV6" s="222">
        <v>198098928.44999999</v>
      </c>
      <c r="DW6" s="222">
        <v>232628812.09</v>
      </c>
      <c r="DX6" s="222">
        <v>245445759.97999999</v>
      </c>
      <c r="DY6" s="222">
        <v>267605891.81999999</v>
      </c>
      <c r="DZ6" s="222">
        <v>305081830.83000004</v>
      </c>
      <c r="EA6" s="222">
        <v>306733435.5</v>
      </c>
      <c r="EB6" s="222">
        <v>317400830.93000001</v>
      </c>
      <c r="EC6" s="222">
        <v>267798047.06</v>
      </c>
      <c r="ED6" s="222">
        <v>223064735.62</v>
      </c>
      <c r="EE6" s="222">
        <v>215233130.59</v>
      </c>
    </row>
    <row r="7" spans="1:135" ht="15.6" x14ac:dyDescent="0.25">
      <c r="A7" s="220">
        <f t="shared" si="3"/>
        <v>4</v>
      </c>
      <c r="B7" s="22" t="s">
        <v>48</v>
      </c>
      <c r="C7" s="30">
        <v>-2.2839602411716453E-2</v>
      </c>
      <c r="D7" s="30">
        <v>-4.4632228230202409E-2</v>
      </c>
      <c r="E7" s="30">
        <v>-5.0132085076188937E-2</v>
      </c>
      <c r="F7" s="30">
        <v>-3.2812254303738464E-2</v>
      </c>
      <c r="G7" s="30">
        <v>-9.6600299986650318E-2</v>
      </c>
      <c r="H7" s="30">
        <v>-7.0379312061111365E-2</v>
      </c>
      <c r="I7" s="30">
        <v>-5.7233458745509225E-2</v>
      </c>
      <c r="J7" s="30">
        <v>-5.0345678743640154E-2</v>
      </c>
      <c r="K7" s="30">
        <v>-3.9481253683559814E-2</v>
      </c>
      <c r="L7" s="30">
        <v>-2.7702783235166839E-2</v>
      </c>
      <c r="M7" s="30">
        <v>-5.903052140578291E-3</v>
      </c>
      <c r="N7" s="30">
        <v>6.2977437053931107E-2</v>
      </c>
      <c r="O7" s="30">
        <v>6.810514201444362E-2</v>
      </c>
      <c r="P7" s="30">
        <v>6.6748754983387171E-2</v>
      </c>
      <c r="Q7" s="30">
        <v>0.12919090866284577</v>
      </c>
      <c r="R7" s="30">
        <v>2.1763993430285344E-2</v>
      </c>
      <c r="S7" s="30">
        <v>-1.7167165810943019E-2</v>
      </c>
      <c r="T7" s="30">
        <v>7.6169178673055171E-2</v>
      </c>
      <c r="U7" s="30">
        <v>8.7426891483216806E-2</v>
      </c>
      <c r="V7" s="30">
        <v>0.11157917125489103</v>
      </c>
      <c r="W7" s="30">
        <v>5.5057625554900236E-2</v>
      </c>
      <c r="X7" s="30">
        <v>4.248551185206817E-2</v>
      </c>
      <c r="Y7" s="30">
        <v>8.3367241441549833E-3</v>
      </c>
      <c r="Z7" s="30">
        <v>-3.6841757783923734E-2</v>
      </c>
      <c r="AA7" s="30">
        <v>1.2471664081563194E-2</v>
      </c>
      <c r="AB7" s="30">
        <v>-2.7408754523982504E-2</v>
      </c>
      <c r="AC7" s="30">
        <v>-5.6885739126761314E-2</v>
      </c>
      <c r="AD7" s="30">
        <v>4.0565156057356999E-2</v>
      </c>
      <c r="AE7" s="30">
        <v>0.13420733312812971</v>
      </c>
      <c r="AF7" s="30">
        <v>4.8419581755291929E-2</v>
      </c>
      <c r="AG7" s="30">
        <v>5.2493736105629907E-4</v>
      </c>
      <c r="AH7" s="30">
        <v>-1.2648318729538865E-2</v>
      </c>
      <c r="AI7" s="30">
        <v>-4.8972222825968914E-2</v>
      </c>
      <c r="AJ7" s="30">
        <v>-2.730036154591875E-2</v>
      </c>
      <c r="AK7" s="30">
        <v>3.0097628013820321E-2</v>
      </c>
      <c r="AL7" s="30">
        <v>0.11151854472666645</v>
      </c>
      <c r="AM7" s="30">
        <v>3.6543160903041549E-2</v>
      </c>
      <c r="AN7" s="30">
        <v>4.9079691141271864E-2</v>
      </c>
      <c r="AO7" s="30">
        <v>2.0771648598543857E-2</v>
      </c>
      <c r="AP7" s="30">
        <v>-4.9012254062270166E-2</v>
      </c>
      <c r="AQ7" s="30">
        <v>-7.5165790185884096E-2</v>
      </c>
      <c r="AR7" s="30">
        <v>-6.8904930124463304E-2</v>
      </c>
      <c r="AS7" s="30">
        <v>-1.1114038103383073E-2</v>
      </c>
      <c r="AT7" s="30">
        <v>2.5135035649293425E-2</v>
      </c>
      <c r="AU7" s="30">
        <v>6.8324744894599387E-2</v>
      </c>
      <c r="AV7" s="30">
        <v>3.2260199304684489E-2</v>
      </c>
      <c r="AW7" s="30">
        <v>-3.3173970144062537E-4</v>
      </c>
      <c r="AX7" s="30">
        <v>-9.285544081460706E-2</v>
      </c>
      <c r="AY7" s="30">
        <v>-5.2092912166209815E-2</v>
      </c>
      <c r="AZ7" s="30">
        <f>AZ6/AN6-1</f>
        <v>-7.6331889273642428E-2</v>
      </c>
      <c r="BA7" s="30">
        <f>BA6/AO6-1</f>
        <v>-7.4520929657906687E-2</v>
      </c>
      <c r="BB7" s="30">
        <f t="shared" ref="BB7:BV7" si="6">BB6/AP6-1</f>
        <v>-1.9110459848568406E-2</v>
      </c>
      <c r="BC7" s="30">
        <f t="shared" si="6"/>
        <v>-7.3902199031665727E-3</v>
      </c>
      <c r="BD7" s="30">
        <f t="shared" si="6"/>
        <v>6.5931795872907983E-2</v>
      </c>
      <c r="BE7" s="30">
        <f t="shared" si="6"/>
        <v>-4.7801096910518481E-2</v>
      </c>
      <c r="BF7" s="30">
        <f t="shared" si="6"/>
        <v>-8.5771970418292987E-2</v>
      </c>
      <c r="BG7" s="30">
        <f t="shared" si="6"/>
        <v>-2.9535752866449494E-2</v>
      </c>
      <c r="BH7" s="30">
        <f t="shared" si="6"/>
        <v>-2.200807094955648E-2</v>
      </c>
      <c r="BI7" s="30">
        <f t="shared" si="6"/>
        <v>3.6964798554448564E-3</v>
      </c>
      <c r="BJ7" s="30">
        <f t="shared" si="6"/>
        <v>3.7156469685066806E-3</v>
      </c>
      <c r="BK7" s="30">
        <f t="shared" si="6"/>
        <v>-4.3293354320607214E-2</v>
      </c>
      <c r="BL7" s="30">
        <f t="shared" si="6"/>
        <v>0.11449482642963993</v>
      </c>
      <c r="BM7" s="30">
        <f t="shared" si="6"/>
        <v>0.10346045446829555</v>
      </c>
      <c r="BN7" s="30">
        <f t="shared" si="6"/>
        <v>7.7078985784566845E-2</v>
      </c>
      <c r="BO7" s="30">
        <f t="shared" si="6"/>
        <v>1.5803939696579228E-4</v>
      </c>
      <c r="BP7" s="30">
        <f t="shared" si="6"/>
        <v>-8.9248780519894377E-2</v>
      </c>
      <c r="BQ7" s="30">
        <f t="shared" si="6"/>
        <v>-6.4877202886356455E-3</v>
      </c>
      <c r="BR7" s="30">
        <f t="shared" si="6"/>
        <v>6.6333245210966618E-2</v>
      </c>
      <c r="BS7" s="30">
        <f t="shared" si="6"/>
        <v>4.1356669859451411E-3</v>
      </c>
      <c r="BT7" s="30">
        <f t="shared" si="6"/>
        <v>7.1441417200084789E-2</v>
      </c>
      <c r="BU7" s="30">
        <f t="shared" si="6"/>
        <v>7.4477224776984041E-2</v>
      </c>
      <c r="BV7" s="30">
        <f t="shared" si="6"/>
        <v>0.11188649347388679</v>
      </c>
      <c r="BW7" s="30">
        <f>BW6/BK6-1</f>
        <v>7.3568579430606018E-2</v>
      </c>
      <c r="BX7" s="30">
        <f t="shared" ref="BX7:DI7" si="7">BX6/BL6-1</f>
        <v>-0.13879194121692817</v>
      </c>
      <c r="BY7" s="30">
        <f t="shared" si="7"/>
        <v>-5.6628484582276761E-2</v>
      </c>
      <c r="BZ7" s="30">
        <f t="shared" si="7"/>
        <v>-5.6804957672095702E-2</v>
      </c>
      <c r="CA7" s="30">
        <f t="shared" si="7"/>
        <v>-3.6009778451759122E-2</v>
      </c>
      <c r="CB7" s="30">
        <f t="shared" si="7"/>
        <v>7.8452715225346026E-2</v>
      </c>
      <c r="CC7" s="30">
        <f t="shared" si="7"/>
        <v>7.7190182486179815E-2</v>
      </c>
      <c r="CD7" s="30">
        <f t="shared" si="7"/>
        <v>-2.7192848802287672E-3</v>
      </c>
      <c r="CE7" s="30">
        <f t="shared" si="7"/>
        <v>-2.3257948752151258E-2</v>
      </c>
      <c r="CF7" s="30">
        <f t="shared" si="7"/>
        <v>-3.5278556087577018E-2</v>
      </c>
      <c r="CG7" s="30">
        <f t="shared" si="7"/>
        <v>-5.0104738666432724E-2</v>
      </c>
      <c r="CH7" s="30">
        <f t="shared" si="7"/>
        <v>-1.1848964864187295E-3</v>
      </c>
      <c r="CI7" s="30">
        <f t="shared" si="7"/>
        <v>-5.4089720448748047E-2</v>
      </c>
      <c r="CJ7" s="30">
        <f t="shared" si="7"/>
        <v>4.6899077496858954E-2</v>
      </c>
      <c r="CK7" s="30">
        <f t="shared" si="7"/>
        <v>-1.7379842478184138E-2</v>
      </c>
      <c r="CL7" s="30">
        <f t="shared" si="7"/>
        <v>4.4468324510780199E-3</v>
      </c>
      <c r="CM7" s="30">
        <f t="shared" si="7"/>
        <v>0.10193928269071528</v>
      </c>
      <c r="CN7" s="30">
        <f t="shared" si="7"/>
        <v>-6.6657224308413032E-2</v>
      </c>
      <c r="CO7" s="30">
        <f t="shared" si="7"/>
        <v>-0.24997378599359987</v>
      </c>
      <c r="CP7" s="30">
        <f t="shared" si="7"/>
        <v>-0.17113140514938185</v>
      </c>
      <c r="CQ7" s="30">
        <f t="shared" si="7"/>
        <v>-0.12688917640159847</v>
      </c>
      <c r="CR7" s="30">
        <f t="shared" si="7"/>
        <v>-8.7529747433738425E-2</v>
      </c>
      <c r="CS7" s="30">
        <f t="shared" si="7"/>
        <v>-6.1941359399375062E-2</v>
      </c>
      <c r="CT7" s="30">
        <f t="shared" si="7"/>
        <v>-3.9621156096488641E-2</v>
      </c>
      <c r="CU7" s="30">
        <f t="shared" si="7"/>
        <v>2.4800370610054134E-3</v>
      </c>
      <c r="CV7" s="30">
        <f t="shared" si="7"/>
        <v>9.3497904057254777E-2</v>
      </c>
      <c r="CW7" s="30">
        <f t="shared" si="7"/>
        <v>6.4082696776667003E-2</v>
      </c>
      <c r="CX7" s="30">
        <f t="shared" si="7"/>
        <v>3.683966470510458E-2</v>
      </c>
      <c r="CY7" s="30">
        <f t="shared" si="7"/>
        <v>-5.3468915474691459E-3</v>
      </c>
      <c r="CZ7" s="30">
        <f t="shared" si="7"/>
        <v>9.6506386920333753E-2</v>
      </c>
      <c r="DA7" s="30">
        <f t="shared" si="7"/>
        <v>0.34883589648111735</v>
      </c>
      <c r="DB7" s="30">
        <f t="shared" si="7"/>
        <v>0.20786014589699731</v>
      </c>
      <c r="DC7" s="30">
        <f t="shared" si="7"/>
        <v>0.2402805687691949</v>
      </c>
      <c r="DD7" s="30">
        <f t="shared" si="7"/>
        <v>0.28018607052218814</v>
      </c>
      <c r="DE7" s="30">
        <f t="shared" si="7"/>
        <v>0.24045228360789173</v>
      </c>
      <c r="DF7" s="30">
        <f t="shared" si="7"/>
        <v>0.126859672502593</v>
      </c>
      <c r="DG7" s="30">
        <f t="shared" si="7"/>
        <v>0.18524930227204228</v>
      </c>
      <c r="DH7" s="30">
        <f t="shared" si="7"/>
        <v>6.7931777245912262E-2</v>
      </c>
      <c r="DI7" s="30">
        <f t="shared" si="7"/>
        <v>0.14047395798349194</v>
      </c>
      <c r="DJ7" s="30">
        <f>DJ6/CX6-1</f>
        <v>0.14904406145307147</v>
      </c>
      <c r="DK7" s="30">
        <f>DK6/CY6-1</f>
        <v>0.20586190370342861</v>
      </c>
      <c r="DL7" s="30">
        <f>DL6/CZ6-1</f>
        <v>0.22277334798670778</v>
      </c>
      <c r="DM7" s="30">
        <f>DM6/DA6-1</f>
        <v>0.21642839529444569</v>
      </c>
      <c r="DN7" s="30">
        <f>DN6/DB6-1</f>
        <v>0.26903226591977858</v>
      </c>
      <c r="DO7" s="30">
        <f t="shared" ref="DO7:EE7" si="8">DO6/DC6-1</f>
        <v>0.2282554196355373</v>
      </c>
      <c r="DP7" s="30">
        <f t="shared" si="8"/>
        <v>7.4636488615144714E-2</v>
      </c>
      <c r="DQ7" s="30">
        <f t="shared" si="8"/>
        <v>-4.6398851066310476E-3</v>
      </c>
      <c r="DR7" s="30">
        <f t="shared" si="8"/>
        <v>5.3021354797805786E-2</v>
      </c>
      <c r="DS7" s="30">
        <f t="shared" si="8"/>
        <v>0.14812961624454712</v>
      </c>
      <c r="DT7" s="30">
        <f t="shared" si="8"/>
        <v>0.26900520408490403</v>
      </c>
      <c r="DU7" s="30">
        <f t="shared" si="8"/>
        <v>0.16515381351478386</v>
      </c>
      <c r="DV7" s="30">
        <f t="shared" si="8"/>
        <v>0.22007225428549315</v>
      </c>
      <c r="DW7" s="30">
        <f t="shared" si="8"/>
        <v>0.26017012908097437</v>
      </c>
      <c r="DX7" s="30">
        <f t="shared" si="8"/>
        <v>0.18781977675540151</v>
      </c>
      <c r="DY7" s="30">
        <f t="shared" si="8"/>
        <v>0.14775011091294843</v>
      </c>
      <c r="DZ7" s="30">
        <f t="shared" si="8"/>
        <v>0.23862339553341005</v>
      </c>
      <c r="EA7" s="30">
        <f t="shared" si="8"/>
        <v>0.23378479682643594</v>
      </c>
      <c r="EB7" s="30">
        <f t="shared" si="8"/>
        <v>0.25905703457372842</v>
      </c>
      <c r="EC7" s="30">
        <f t="shared" si="8"/>
        <v>0.26919241510994807</v>
      </c>
      <c r="ED7" s="30">
        <f t="shared" si="8"/>
        <v>0.17694518163770456</v>
      </c>
      <c r="EE7" s="30">
        <f t="shared" si="8"/>
        <v>0.12591483806975501</v>
      </c>
    </row>
    <row r="8" spans="1:135" ht="15.6" x14ac:dyDescent="0.25">
      <c r="A8" s="220">
        <f t="shared" si="3"/>
        <v>5</v>
      </c>
      <c r="B8" s="23" t="s">
        <v>49</v>
      </c>
      <c r="C8" s="223">
        <v>245965.59358487348</v>
      </c>
      <c r="D8" s="223">
        <v>235167.59358487348</v>
      </c>
      <c r="E8" s="223">
        <v>230759.59358487348</v>
      </c>
      <c r="F8" s="223">
        <v>216144.59358487348</v>
      </c>
      <c r="G8" s="223">
        <v>210038.59358487348</v>
      </c>
      <c r="H8" s="223">
        <v>238755.59358487348</v>
      </c>
      <c r="I8" s="223">
        <v>265703.59358487348</v>
      </c>
      <c r="J8" s="223">
        <v>279248.59358487348</v>
      </c>
      <c r="K8" s="223">
        <v>284424.59358487348</v>
      </c>
      <c r="L8" s="223">
        <v>287328.59358487348</v>
      </c>
      <c r="M8" s="223">
        <v>243924.65358487354</v>
      </c>
      <c r="N8" s="223">
        <v>208450.65358487354</v>
      </c>
      <c r="O8" s="223">
        <v>196173.55358487356</v>
      </c>
      <c r="P8" s="223">
        <v>202425.20358487358</v>
      </c>
      <c r="Q8" s="223">
        <v>188516.20358487358</v>
      </c>
      <c r="R8" s="223">
        <v>175258.20358487358</v>
      </c>
      <c r="S8" s="223">
        <v>189058.20358487358</v>
      </c>
      <c r="T8" s="223">
        <v>227918.20358487358</v>
      </c>
      <c r="U8" s="223">
        <v>267721.20358487358</v>
      </c>
      <c r="V8" s="223">
        <v>280687.20358487358</v>
      </c>
      <c r="W8" s="223">
        <v>284624.20358487358</v>
      </c>
      <c r="X8" s="223">
        <v>304365.20358487358</v>
      </c>
      <c r="Y8" s="223">
        <v>275633.20358487358</v>
      </c>
      <c r="Z8" s="223">
        <v>237972.20358487358</v>
      </c>
      <c r="AA8" s="223">
        <v>223088.20358487358</v>
      </c>
      <c r="AB8" s="223">
        <v>220547.20358487358</v>
      </c>
      <c r="AC8" s="223">
        <v>200583.20358487358</v>
      </c>
      <c r="AD8" s="223">
        <v>202084.20358487358</v>
      </c>
      <c r="AE8" s="223">
        <v>202565.20358487358</v>
      </c>
      <c r="AF8" s="223">
        <v>214763.20358487358</v>
      </c>
      <c r="AG8" s="223">
        <v>246839.20358487358</v>
      </c>
      <c r="AH8" s="223">
        <v>256919.20358487358</v>
      </c>
      <c r="AI8" s="223">
        <v>266676.20358487358</v>
      </c>
      <c r="AJ8" s="223">
        <v>258309.20358487358</v>
      </c>
      <c r="AK8" s="223">
        <v>207149.20358487358</v>
      </c>
      <c r="AL8" s="223">
        <v>191676.20358487358</v>
      </c>
      <c r="AM8" s="223">
        <v>181906.20358487358</v>
      </c>
      <c r="AN8" s="223">
        <v>181998.20358487358</v>
      </c>
      <c r="AO8" s="223">
        <v>175602.20358487358</v>
      </c>
      <c r="AP8" s="223">
        <v>179104.20358487358</v>
      </c>
      <c r="AQ8" s="223">
        <v>197403.20358487358</v>
      </c>
      <c r="AR8" s="223">
        <v>236954.43358487359</v>
      </c>
      <c r="AS8" s="223">
        <v>265799.30358487356</v>
      </c>
      <c r="AT8" s="223">
        <v>255505.39358487353</v>
      </c>
      <c r="AU8" s="223">
        <v>263850.95358487352</v>
      </c>
      <c r="AV8" s="223">
        <v>255010.8635848735</v>
      </c>
      <c r="AW8" s="223">
        <v>231245.08358487347</v>
      </c>
      <c r="AX8" s="223">
        <v>222617.48358487349</v>
      </c>
      <c r="AY8" s="224">
        <v>217350.65</v>
      </c>
      <c r="AZ8" s="223">
        <f>AY8-AZ4+AZ17</f>
        <v>232880.99999999997</v>
      </c>
      <c r="BA8" s="223">
        <f>AZ8-BA4+BA17</f>
        <v>407835</v>
      </c>
      <c r="BB8" s="223">
        <f t="shared" ref="BB8:BI8" si="9">BA8-BB4+BB17</f>
        <v>241063.22999999998</v>
      </c>
      <c r="BC8" s="223">
        <f t="shared" si="9"/>
        <v>230517.39999999997</v>
      </c>
      <c r="BD8" s="223">
        <f t="shared" si="9"/>
        <v>290087.70999999996</v>
      </c>
      <c r="BE8" s="223">
        <f t="shared" si="9"/>
        <v>295784.05</v>
      </c>
      <c r="BF8" s="223">
        <f t="shared" si="9"/>
        <v>334834.17999999993</v>
      </c>
      <c r="BG8" s="223">
        <f t="shared" si="9"/>
        <v>365857.85999999993</v>
      </c>
      <c r="BH8" s="223">
        <f t="shared" si="9"/>
        <v>428828.88999999996</v>
      </c>
      <c r="BI8" s="223">
        <f t="shared" si="9"/>
        <v>403470.26999999996</v>
      </c>
      <c r="BJ8" s="223">
        <f>BI8-BJ4+BJ17</f>
        <v>347236.35</v>
      </c>
      <c r="BK8" s="224">
        <f>BJ8-BK4+BK17</f>
        <v>332910.86</v>
      </c>
      <c r="BL8" s="225">
        <f t="shared" ref="BL8:BV8" si="10">BK8-BL4+BL17</f>
        <v>369648.04</v>
      </c>
      <c r="BM8" s="225">
        <f t="shared" si="10"/>
        <v>387160.37</v>
      </c>
      <c r="BN8" s="225">
        <f t="shared" si="10"/>
        <v>375028.66</v>
      </c>
      <c r="BO8" s="225">
        <f t="shared" si="10"/>
        <v>926269.14</v>
      </c>
      <c r="BP8" s="225">
        <f t="shared" si="10"/>
        <v>477019.27</v>
      </c>
      <c r="BQ8" s="225">
        <f t="shared" si="10"/>
        <v>535311.84000000008</v>
      </c>
      <c r="BR8" s="225">
        <f t="shared" si="10"/>
        <v>574176.93000000005</v>
      </c>
      <c r="BS8" s="225">
        <f t="shared" si="10"/>
        <v>560645.60000000009</v>
      </c>
      <c r="BT8" s="225">
        <f t="shared" si="10"/>
        <v>596505.76</v>
      </c>
      <c r="BU8" s="225">
        <f t="shared" si="10"/>
        <v>499297.27</v>
      </c>
      <c r="BV8" s="225">
        <f t="shared" si="10"/>
        <v>447242.64</v>
      </c>
      <c r="BW8" s="225">
        <f>BV8-BW4+BW17</f>
        <v>435901.79000000004</v>
      </c>
      <c r="BX8" s="225">
        <f t="shared" ref="BX8:DI8" si="11">BW8-BX4+BX17</f>
        <v>399947.32900000003</v>
      </c>
      <c r="BY8" s="225">
        <f t="shared" si="11"/>
        <v>361493.09900000005</v>
      </c>
      <c r="BZ8" s="225">
        <f t="shared" si="11"/>
        <v>344812.98900000006</v>
      </c>
      <c r="CA8" s="225">
        <f t="shared" si="11"/>
        <v>365240.48900000006</v>
      </c>
      <c r="CB8" s="225">
        <f t="shared" si="11"/>
        <v>399042.67900000006</v>
      </c>
      <c r="CC8" s="225">
        <f t="shared" si="11"/>
        <v>462664.62900000007</v>
      </c>
      <c r="CD8" s="225">
        <f t="shared" si="11"/>
        <v>450256.62900000007</v>
      </c>
      <c r="CE8" s="225">
        <f t="shared" si="11"/>
        <v>450290.9690000001</v>
      </c>
      <c r="CF8" s="225">
        <f t="shared" si="11"/>
        <v>470363.51100000012</v>
      </c>
      <c r="CG8" s="225">
        <f t="shared" si="11"/>
        <v>424815.57100000011</v>
      </c>
      <c r="CH8" s="225">
        <f t="shared" si="11"/>
        <v>368725.84100000013</v>
      </c>
      <c r="CI8" s="225">
        <f t="shared" si="11"/>
        <v>314913.82100000011</v>
      </c>
      <c r="CJ8" s="225">
        <f t="shared" si="11"/>
        <v>300112.0610000001</v>
      </c>
      <c r="CK8" s="225">
        <f t="shared" si="11"/>
        <v>311196.16400000011</v>
      </c>
      <c r="CL8" s="225">
        <f t="shared" si="11"/>
        <v>1199735.4340000001</v>
      </c>
      <c r="CM8" s="225">
        <f t="shared" si="11"/>
        <v>1246343.4340000001</v>
      </c>
      <c r="CN8" s="225">
        <f t="shared" si="11"/>
        <v>887178.72400000016</v>
      </c>
      <c r="CO8" s="225">
        <f t="shared" si="11"/>
        <v>3835103.5528088268</v>
      </c>
      <c r="CP8" s="225">
        <f t="shared" si="11"/>
        <v>4501718.2917288262</v>
      </c>
      <c r="CQ8" s="225">
        <f t="shared" si="11"/>
        <v>5348992.5063688252</v>
      </c>
      <c r="CR8" s="225">
        <f t="shared" si="11"/>
        <v>6180198.9171288246</v>
      </c>
      <c r="CS8" s="225">
        <f t="shared" si="11"/>
        <v>5120653.9002088243</v>
      </c>
      <c r="CT8" s="225">
        <f t="shared" si="11"/>
        <v>5339813.6534488248</v>
      </c>
      <c r="CU8" s="225">
        <f t="shared" si="11"/>
        <v>4658314.7088088235</v>
      </c>
      <c r="CV8" s="225">
        <f t="shared" si="11"/>
        <v>4961085.6654888233</v>
      </c>
      <c r="CW8" s="225">
        <f t="shared" si="11"/>
        <v>5163627.6794488234</v>
      </c>
      <c r="CX8" s="225">
        <f t="shared" si="11"/>
        <v>5291466.860288823</v>
      </c>
      <c r="CY8" s="225">
        <f t="shared" si="11"/>
        <v>5627803.1116888225</v>
      </c>
      <c r="CZ8" s="225">
        <f t="shared" si="11"/>
        <v>6279004.2716888227</v>
      </c>
      <c r="DA8" s="225">
        <f t="shared" si="11"/>
        <v>6512193.7916888222</v>
      </c>
      <c r="DB8" s="225">
        <f t="shared" si="11"/>
        <v>6746923.8695788225</v>
      </c>
      <c r="DC8" s="225">
        <f t="shared" si="11"/>
        <v>7066181.2995788222</v>
      </c>
      <c r="DD8" s="225">
        <f t="shared" si="11"/>
        <v>5183660.1999388225</v>
      </c>
      <c r="DE8" s="225">
        <f t="shared" si="11"/>
        <v>5104685.5430588229</v>
      </c>
      <c r="DF8" s="225">
        <f t="shared" si="11"/>
        <v>4866560.212838822</v>
      </c>
      <c r="DG8" s="225">
        <f t="shared" si="11"/>
        <v>4195901.8031588225</v>
      </c>
      <c r="DH8" s="225">
        <f t="shared" si="11"/>
        <v>4347640.8173648221</v>
      </c>
      <c r="DI8" s="225">
        <f t="shared" si="11"/>
        <v>4321869.3945398219</v>
      </c>
      <c r="DJ8" s="225">
        <f>DI8-DJ4+DJ17</f>
        <v>4316590.5745398216</v>
      </c>
      <c r="DK8" s="225">
        <f>DJ8-DK4+DK17</f>
        <v>4357634.9345398219</v>
      </c>
      <c r="DL8" s="225">
        <f>DK8-DL4+DL17</f>
        <v>4355771.2345398217</v>
      </c>
      <c r="DM8" s="225">
        <f>DL8-DM4+DM17-2000000</f>
        <v>854961.20667398162</v>
      </c>
      <c r="DN8" s="225">
        <f>DM8-DN4+DN17</f>
        <v>939597.04667398159</v>
      </c>
      <c r="DO8" s="225">
        <f t="shared" ref="DO8:EE8" si="12">DN8-DO4+DO17</f>
        <v>939630.40911560156</v>
      </c>
      <c r="DP8" s="225">
        <f t="shared" si="12"/>
        <v>686272.04253446148</v>
      </c>
      <c r="DQ8" s="225">
        <f t="shared" si="12"/>
        <v>638219.67066765355</v>
      </c>
      <c r="DR8" s="225">
        <f t="shared" si="12"/>
        <v>584904.12729307357</v>
      </c>
      <c r="DS8" s="225">
        <f t="shared" si="12"/>
        <v>574043.39207189344</v>
      </c>
      <c r="DT8" s="225">
        <f t="shared" si="12"/>
        <v>752786.18603955337</v>
      </c>
      <c r="DU8" s="225">
        <f t="shared" si="12"/>
        <v>706860.61603955342</v>
      </c>
      <c r="DV8" s="225">
        <f t="shared" si="12"/>
        <v>711785.11421945342</v>
      </c>
      <c r="DW8" s="225">
        <f t="shared" si="12"/>
        <v>834342.19822828344</v>
      </c>
      <c r="DX8" s="225">
        <f t="shared" si="12"/>
        <v>869723.70822828345</v>
      </c>
      <c r="DY8" s="225">
        <f t="shared" si="12"/>
        <v>985336.82420344348</v>
      </c>
      <c r="DZ8" s="225">
        <f t="shared" si="12"/>
        <v>1088787.5989814133</v>
      </c>
      <c r="EA8" s="225">
        <f t="shared" si="12"/>
        <v>1175418.9654049133</v>
      </c>
      <c r="EB8" s="225">
        <f t="shared" si="12"/>
        <v>1147130.7127536833</v>
      </c>
      <c r="EC8" s="225">
        <f t="shared" si="12"/>
        <v>969700.75912696344</v>
      </c>
      <c r="ED8" s="225">
        <f t="shared" si="12"/>
        <v>896323.36619518336</v>
      </c>
      <c r="EE8" s="225">
        <f t="shared" si="12"/>
        <v>956500.00573108334</v>
      </c>
    </row>
    <row r="9" spans="1:135" ht="15.6" x14ac:dyDescent="0.25">
      <c r="A9" s="220">
        <f t="shared" si="3"/>
        <v>6</v>
      </c>
      <c r="B9" s="22"/>
      <c r="BL9" s="226"/>
      <c r="BM9" s="226"/>
      <c r="BN9" s="226"/>
      <c r="BO9" s="226"/>
      <c r="BP9" s="226"/>
      <c r="BQ9" s="226"/>
      <c r="BR9" s="226"/>
      <c r="BS9" s="26"/>
      <c r="BT9" s="26"/>
      <c r="BU9" s="26"/>
      <c r="BV9" s="26"/>
      <c r="BW9" s="26"/>
      <c r="BX9" s="226"/>
      <c r="BY9" s="226"/>
      <c r="BZ9" s="226"/>
      <c r="CA9" s="226"/>
      <c r="CB9" s="226"/>
      <c r="CC9" s="226"/>
      <c r="CD9" s="226"/>
      <c r="CE9" s="26"/>
      <c r="CF9" s="26"/>
      <c r="CG9" s="26"/>
      <c r="CH9" s="26"/>
      <c r="CI9" s="26"/>
      <c r="CJ9" s="226"/>
      <c r="CK9" s="226"/>
      <c r="CL9" s="226"/>
      <c r="CM9" s="226"/>
      <c r="CN9" s="226"/>
      <c r="CO9" s="226"/>
      <c r="CP9" s="226"/>
      <c r="CQ9" s="26"/>
      <c r="CR9" s="26"/>
      <c r="CS9" s="26"/>
      <c r="CT9" s="26"/>
      <c r="CU9" s="26"/>
      <c r="CV9" s="226"/>
      <c r="CW9" s="226"/>
      <c r="CX9" s="226"/>
      <c r="CY9" s="226"/>
      <c r="CZ9" s="226"/>
      <c r="DA9" s="226"/>
      <c r="DB9" s="226"/>
      <c r="DC9" s="26"/>
      <c r="DD9" s="26"/>
      <c r="DE9" s="26"/>
      <c r="DF9" s="26"/>
      <c r="DG9" s="26"/>
      <c r="DH9" s="226"/>
      <c r="DI9" s="226"/>
      <c r="DJ9" s="226"/>
      <c r="DK9" s="226"/>
      <c r="DL9" s="226"/>
      <c r="DM9" s="226"/>
      <c r="DN9" s="226"/>
      <c r="DO9" s="26"/>
      <c r="DP9" s="26"/>
      <c r="DQ9" s="26"/>
      <c r="DR9" s="26"/>
      <c r="DS9" s="26"/>
      <c r="DT9" s="226"/>
      <c r="DU9" s="226"/>
      <c r="DV9" s="226"/>
      <c r="DW9" s="226"/>
      <c r="DX9" s="226"/>
      <c r="DY9" s="226"/>
      <c r="DZ9" s="226"/>
      <c r="EA9" s="26"/>
      <c r="EB9" s="26"/>
      <c r="EC9" s="26"/>
      <c r="ED9" s="26"/>
      <c r="EE9" s="26"/>
    </row>
    <row r="10" spans="1:135" ht="15.6" x14ac:dyDescent="0.25">
      <c r="A10" s="220">
        <f t="shared" si="3"/>
        <v>7</v>
      </c>
      <c r="B10" s="25" t="s">
        <v>50</v>
      </c>
      <c r="C10" s="227">
        <v>2373676</v>
      </c>
      <c r="D10" s="227">
        <v>2321108</v>
      </c>
      <c r="E10" s="227">
        <v>2414422</v>
      </c>
      <c r="F10" s="227">
        <v>2431075</v>
      </c>
      <c r="G10" s="227">
        <v>2338538</v>
      </c>
      <c r="H10" s="227">
        <v>2273524</v>
      </c>
      <c r="I10" s="227">
        <v>2253717</v>
      </c>
      <c r="J10" s="227">
        <v>2179383</v>
      </c>
      <c r="K10" s="227">
        <v>2210706</v>
      </c>
      <c r="L10" s="227">
        <v>2176882</v>
      </c>
      <c r="M10" s="227">
        <v>2071139</v>
      </c>
      <c r="N10" s="227">
        <v>2009326</v>
      </c>
      <c r="O10" s="227">
        <v>1976996</v>
      </c>
      <c r="P10" s="227">
        <v>1938880</v>
      </c>
      <c r="Q10" s="227">
        <v>1952866</v>
      </c>
      <c r="R10" s="227">
        <v>1904028</v>
      </c>
      <c r="S10" s="227">
        <v>2022691</v>
      </c>
      <c r="T10" s="227">
        <v>2177331</v>
      </c>
      <c r="U10" s="227">
        <v>2223315</v>
      </c>
      <c r="V10" s="227">
        <v>2244913</v>
      </c>
      <c r="W10" s="227">
        <v>2260616</v>
      </c>
      <c r="X10" s="227">
        <v>2344331</v>
      </c>
      <c r="Y10" s="227">
        <v>2377375</v>
      </c>
      <c r="Z10" s="227">
        <v>2331200</v>
      </c>
      <c r="AA10" s="227">
        <v>2377055</v>
      </c>
      <c r="AB10" s="227">
        <v>2343425</v>
      </c>
      <c r="AC10" s="227">
        <v>2318285</v>
      </c>
      <c r="AD10" s="227">
        <v>2320055</v>
      </c>
      <c r="AE10" s="227">
        <v>2232900</v>
      </c>
      <c r="AF10" s="227">
        <v>2079050</v>
      </c>
      <c r="AG10" s="227">
        <v>2080584</v>
      </c>
      <c r="AH10" s="227">
        <v>2134878</v>
      </c>
      <c r="AI10" s="227">
        <v>2104606</v>
      </c>
      <c r="AJ10" s="227">
        <v>2052763</v>
      </c>
      <c r="AK10" s="227">
        <v>1926942</v>
      </c>
      <c r="AL10" s="227">
        <v>1923382</v>
      </c>
      <c r="AM10" s="227">
        <v>1895664</v>
      </c>
      <c r="AN10" s="227">
        <v>1832400</v>
      </c>
      <c r="AO10" s="227">
        <v>1878669</v>
      </c>
      <c r="AP10" s="227">
        <v>1928039</v>
      </c>
      <c r="AQ10" s="227">
        <v>1960074</v>
      </c>
      <c r="AR10" s="227">
        <v>1947742</v>
      </c>
      <c r="AS10" s="227">
        <v>2159199</v>
      </c>
      <c r="AT10" s="227">
        <v>2141452</v>
      </c>
      <c r="AU10" s="227">
        <v>2073345</v>
      </c>
      <c r="AV10" s="227">
        <v>2081663</v>
      </c>
      <c r="AW10" s="227">
        <v>2279161</v>
      </c>
      <c r="AX10" s="227">
        <v>2309971</v>
      </c>
      <c r="AY10" s="227">
        <v>2235567</v>
      </c>
      <c r="AZ10" s="227">
        <f t="shared" ref="AZ10:BV10" si="13">SUM(AO4:AZ4)</f>
        <v>2346652</v>
      </c>
      <c r="BA10" s="227">
        <f>SUM(AP4:BA4)</f>
        <v>2348653</v>
      </c>
      <c r="BB10" s="227">
        <f t="shared" si="13"/>
        <v>2682041.5</v>
      </c>
      <c r="BC10" s="227">
        <f t="shared" si="13"/>
        <v>2463261.64</v>
      </c>
      <c r="BD10" s="227">
        <f t="shared" si="13"/>
        <v>2679534.67</v>
      </c>
      <c r="BE10" s="227">
        <f t="shared" si="13"/>
        <v>2575965.4500000002</v>
      </c>
      <c r="BF10" s="227">
        <f t="shared" si="13"/>
        <v>2687792.7800000003</v>
      </c>
      <c r="BG10" s="227">
        <f t="shared" si="13"/>
        <v>2989453.1300000004</v>
      </c>
      <c r="BH10" s="227">
        <f t="shared" si="13"/>
        <v>3272692.4800000004</v>
      </c>
      <c r="BI10" s="227">
        <f t="shared" si="13"/>
        <v>3431446.1800000006</v>
      </c>
      <c r="BJ10" s="227">
        <f t="shared" si="13"/>
        <v>3468528.6100000008</v>
      </c>
      <c r="BK10" s="227">
        <f t="shared" si="13"/>
        <v>3455413.5599999996</v>
      </c>
      <c r="BL10" s="228">
        <f t="shared" si="13"/>
        <v>3668933.8699999996</v>
      </c>
      <c r="BM10" s="228">
        <f t="shared" si="13"/>
        <v>4073258.6599999997</v>
      </c>
      <c r="BN10" s="228">
        <f t="shared" si="13"/>
        <v>4001156.8699999996</v>
      </c>
      <c r="BO10" s="228">
        <f t="shared" si="13"/>
        <v>4520874.25</v>
      </c>
      <c r="BP10" s="228">
        <f t="shared" si="13"/>
        <v>4696662.09</v>
      </c>
      <c r="BQ10" s="228">
        <f t="shared" si="13"/>
        <v>4667272.7399999993</v>
      </c>
      <c r="BR10" s="228">
        <f t="shared" si="13"/>
        <v>4684004.0499999989</v>
      </c>
      <c r="BS10" s="228">
        <f t="shared" si="13"/>
        <v>4556721.03</v>
      </c>
      <c r="BT10" s="228">
        <f t="shared" si="13"/>
        <v>4327532.5200000005</v>
      </c>
      <c r="BU10" s="228">
        <f t="shared" si="13"/>
        <v>4140986.3100000005</v>
      </c>
      <c r="BV10" s="228">
        <f t="shared" si="13"/>
        <v>4216272.51</v>
      </c>
      <c r="BW10" s="229">
        <f>SUM(BL4:BW4)</f>
        <v>4346228.4099999992</v>
      </c>
      <c r="BX10" s="228">
        <f t="shared" ref="BX10:DI10" si="14">SUM(BM4:BX4)</f>
        <v>4206103.5609999998</v>
      </c>
      <c r="BY10" s="228">
        <f t="shared" si="14"/>
        <v>4004165.0010000002</v>
      </c>
      <c r="BZ10" s="228">
        <f t="shared" si="14"/>
        <v>3904950.4010000001</v>
      </c>
      <c r="CA10" s="228">
        <f t="shared" si="14"/>
        <v>3769242.3810000001</v>
      </c>
      <c r="CB10" s="228">
        <f t="shared" si="14"/>
        <v>3521163.321</v>
      </c>
      <c r="CC10" s="228">
        <f t="shared" si="14"/>
        <v>3589098.9410000001</v>
      </c>
      <c r="CD10" s="228">
        <f t="shared" si="14"/>
        <v>3532145.301</v>
      </c>
      <c r="CE10" s="228">
        <f t="shared" si="14"/>
        <v>3529077.9109999998</v>
      </c>
      <c r="CF10" s="228">
        <f t="shared" si="14"/>
        <v>3570219.5289999996</v>
      </c>
      <c r="CG10" s="228">
        <f t="shared" si="14"/>
        <v>3563000.9789999998</v>
      </c>
      <c r="CH10" s="228">
        <f t="shared" si="14"/>
        <v>3400523.0790000004</v>
      </c>
      <c r="CI10" s="229">
        <f t="shared" si="14"/>
        <v>3363126.2489999998</v>
      </c>
      <c r="CJ10" s="228">
        <f t="shared" si="14"/>
        <v>3295238.5479999995</v>
      </c>
      <c r="CK10" s="228">
        <f t="shared" si="14"/>
        <v>3248045.2149999999</v>
      </c>
      <c r="CL10" s="228">
        <f t="shared" si="14"/>
        <v>2987387.8349999995</v>
      </c>
      <c r="CM10" s="228">
        <f t="shared" si="14"/>
        <v>2568696.3349999995</v>
      </c>
      <c r="CN10" s="228">
        <f t="shared" si="14"/>
        <v>2539319.2349999999</v>
      </c>
      <c r="CO10" s="228">
        <f t="shared" si="14"/>
        <v>2181744.1850000001</v>
      </c>
      <c r="CP10" s="228">
        <f t="shared" si="14"/>
        <v>1821457.675</v>
      </c>
      <c r="CQ10" s="228">
        <f t="shared" si="14"/>
        <v>1360262.5150000001</v>
      </c>
      <c r="CR10" s="228">
        <f t="shared" si="14"/>
        <v>1180921.1270000001</v>
      </c>
      <c r="CS10" s="228">
        <f t="shared" si="14"/>
        <v>2460428.9870000002</v>
      </c>
      <c r="CT10" s="228">
        <f t="shared" si="14"/>
        <v>2535893.767</v>
      </c>
      <c r="CU10" s="229">
        <f t="shared" si="14"/>
        <v>3330418.4270000001</v>
      </c>
      <c r="CV10" s="228">
        <f t="shared" si="14"/>
        <v>3399532.8369999998</v>
      </c>
      <c r="CW10" s="228">
        <f t="shared" si="14"/>
        <v>3576241.34</v>
      </c>
      <c r="CX10" s="228">
        <f t="shared" si="14"/>
        <v>4098787.01</v>
      </c>
      <c r="CY10" s="228">
        <f t="shared" si="14"/>
        <v>4564834.6399999997</v>
      </c>
      <c r="CZ10" s="228">
        <f t="shared" si="14"/>
        <v>4505512.1277999999</v>
      </c>
      <c r="DA10" s="228">
        <f t="shared" si="14"/>
        <v>5016794.65943</v>
      </c>
      <c r="DB10" s="228">
        <f t="shared" si="14"/>
        <v>5539056.4394300003</v>
      </c>
      <c r="DC10" s="228">
        <f t="shared" si="14"/>
        <v>5819105.480010001</v>
      </c>
      <c r="DD10" s="228">
        <f t="shared" si="14"/>
        <v>7971930.8600100009</v>
      </c>
      <c r="DE10" s="228">
        <f t="shared" si="14"/>
        <v>6731750.9800099991</v>
      </c>
      <c r="DF10" s="228">
        <f t="shared" si="14"/>
        <v>6910109.1200099997</v>
      </c>
      <c r="DG10" s="229">
        <f t="shared" si="14"/>
        <v>6326164.4100099998</v>
      </c>
      <c r="DH10" s="228">
        <f t="shared" si="14"/>
        <v>6166604.3600099999</v>
      </c>
      <c r="DI10" s="228">
        <f t="shared" si="14"/>
        <v>6130731.9600100005</v>
      </c>
      <c r="DJ10" s="228">
        <f>SUM(CY4:DJ4)</f>
        <v>6002718.5190970004</v>
      </c>
      <c r="DK10" s="228">
        <f>SUM(CZ4:DK4)</f>
        <v>6022344.0314170001</v>
      </c>
      <c r="DL10" s="228">
        <f>SUM(DA4:DL4)</f>
        <v>6371890.7480649995</v>
      </c>
      <c r="DM10" s="228">
        <f>SUM(DB4:DM4)</f>
        <v>6316397.2164349994</v>
      </c>
      <c r="DN10" s="228">
        <f>SUM(DC4:DN4)</f>
        <v>6364758.2464349996</v>
      </c>
      <c r="DO10" s="228">
        <f t="shared" ref="DO10:DZ10" si="15">SUM(DD4:DO4)</f>
        <v>6770912.9758549994</v>
      </c>
      <c r="DP10" s="228">
        <f t="shared" si="15"/>
        <v>5130777.6358550005</v>
      </c>
      <c r="DQ10" s="228">
        <f t="shared" si="15"/>
        <v>5457869.2638549991</v>
      </c>
      <c r="DR10" s="228">
        <f t="shared" si="15"/>
        <v>5677802.9638549984</v>
      </c>
      <c r="DS10" s="229">
        <f t="shared" si="15"/>
        <v>5707809.6638549995</v>
      </c>
      <c r="DT10" s="228">
        <f t="shared" si="15"/>
        <v>6211463.6038549989</v>
      </c>
      <c r="DU10" s="228">
        <f t="shared" si="15"/>
        <v>6458973.6238549985</v>
      </c>
      <c r="DV10" s="228">
        <f t="shared" si="15"/>
        <v>6534277.3847679989</v>
      </c>
      <c r="DW10" s="228">
        <f t="shared" si="15"/>
        <v>6541226.5824479992</v>
      </c>
      <c r="DX10" s="228">
        <f t="shared" si="15"/>
        <v>6694812.1579999989</v>
      </c>
      <c r="DY10" s="228">
        <f t="shared" si="15"/>
        <v>6831586.0479999986</v>
      </c>
      <c r="DZ10" s="228">
        <f t="shared" si="15"/>
        <v>6903788.0379999997</v>
      </c>
      <c r="EA10" s="228">
        <f>SUM(DP4:EA4)</f>
        <v>7278586.7079999987</v>
      </c>
      <c r="EB10" s="228">
        <f>SUM(DQ4:EB4)</f>
        <v>7284634.5479999995</v>
      </c>
      <c r="EC10" s="228">
        <f>SUM(DR4:EC4)</f>
        <v>7448345.5099999998</v>
      </c>
      <c r="ED10" s="228">
        <f>SUM(DS4:ED4)</f>
        <v>7765649</v>
      </c>
      <c r="EE10" s="229">
        <f>SUM(DT4:EE4)</f>
        <v>8581226.3399999999</v>
      </c>
    </row>
    <row r="11" spans="1:135" ht="15.6" x14ac:dyDescent="0.25">
      <c r="A11" s="220">
        <f t="shared" si="3"/>
        <v>8</v>
      </c>
      <c r="B11" s="25" t="s">
        <v>51</v>
      </c>
      <c r="C11" s="227">
        <v>1945104863</v>
      </c>
      <c r="D11" s="227">
        <v>1950850811</v>
      </c>
      <c r="E11" s="227">
        <v>1956882889</v>
      </c>
      <c r="F11" s="227">
        <v>1953710099</v>
      </c>
      <c r="G11" s="227">
        <v>1947045511</v>
      </c>
      <c r="H11" s="227">
        <v>1940099535</v>
      </c>
      <c r="I11" s="227">
        <v>1935530940</v>
      </c>
      <c r="J11" s="227">
        <v>1920393579</v>
      </c>
      <c r="K11" s="227">
        <v>1909027624</v>
      </c>
      <c r="L11" s="227">
        <v>1898536922</v>
      </c>
      <c r="M11" s="227">
        <v>1889140977</v>
      </c>
      <c r="N11" s="227">
        <v>1881610815.28</v>
      </c>
      <c r="O11" s="227">
        <v>1876203396.27</v>
      </c>
      <c r="P11" s="227">
        <v>1875186393.0699999</v>
      </c>
      <c r="Q11" s="227">
        <v>1884288436.6499999</v>
      </c>
      <c r="R11" s="227">
        <v>1893533258.55</v>
      </c>
      <c r="S11" s="227">
        <v>1903055484.75</v>
      </c>
      <c r="T11" s="227">
        <v>1920057980.75</v>
      </c>
      <c r="U11" s="227">
        <v>1922988846.75</v>
      </c>
      <c r="V11" s="227">
        <v>1920558600.75</v>
      </c>
      <c r="W11" s="227">
        <v>1931993858.75</v>
      </c>
      <c r="X11" s="227">
        <v>1947101746.75</v>
      </c>
      <c r="Y11" s="227">
        <v>1966877222.75</v>
      </c>
      <c r="Z11" s="227">
        <v>1976963634.47</v>
      </c>
      <c r="AA11" s="227">
        <v>1985026817.48</v>
      </c>
      <c r="AB11" s="227">
        <v>1986454625.6800001</v>
      </c>
      <c r="AC11" s="227">
        <v>1980794601.0999999</v>
      </c>
      <c r="AD11" s="227">
        <v>1982602845.2</v>
      </c>
      <c r="AE11" s="227">
        <v>1978431782</v>
      </c>
      <c r="AF11" s="227">
        <v>1969977991</v>
      </c>
      <c r="AG11" s="227">
        <v>1975559622</v>
      </c>
      <c r="AH11" s="227">
        <v>1994232340</v>
      </c>
      <c r="AI11" s="227">
        <v>2002055249</v>
      </c>
      <c r="AJ11" s="227">
        <v>2002153892</v>
      </c>
      <c r="AK11" s="227">
        <v>1999662070</v>
      </c>
      <c r="AL11" s="227">
        <v>1990196534</v>
      </c>
      <c r="AM11" s="227">
        <v>1984795162</v>
      </c>
      <c r="AN11" s="227">
        <v>1989992875</v>
      </c>
      <c r="AO11" s="227">
        <v>2006494348</v>
      </c>
      <c r="AP11" s="227">
        <v>2011858754</v>
      </c>
      <c r="AQ11" s="227">
        <v>2019122985</v>
      </c>
      <c r="AR11" s="227">
        <v>2022034261</v>
      </c>
      <c r="AS11" s="227">
        <v>2015016769</v>
      </c>
      <c r="AT11" s="227">
        <v>2003155150</v>
      </c>
      <c r="AU11" s="227">
        <v>1991483489</v>
      </c>
      <c r="AV11" s="227">
        <v>1989393911</v>
      </c>
      <c r="AW11" s="227">
        <v>1994283086.0899999</v>
      </c>
      <c r="AX11" s="227">
        <v>2006842420.24</v>
      </c>
      <c r="AY11" s="227">
        <v>2013050845.98</v>
      </c>
      <c r="AZ11" s="227">
        <f t="shared" ref="AZ11:BV11" si="16">SUM(AL6:AW6)</f>
        <v>2012991831.8699999</v>
      </c>
      <c r="BA11" s="227">
        <f>SUM(AM6:AX6)</f>
        <v>1997719699.1799998</v>
      </c>
      <c r="BB11" s="227">
        <f t="shared" si="16"/>
        <v>1989793197.4899998</v>
      </c>
      <c r="BC11" s="227">
        <f t="shared" si="16"/>
        <v>1977940906.1999998</v>
      </c>
      <c r="BD11" s="227">
        <f t="shared" si="16"/>
        <v>1967279382.4999998</v>
      </c>
      <c r="BE11" s="227">
        <f t="shared" si="16"/>
        <v>1964677286.5399997</v>
      </c>
      <c r="BF11" s="227">
        <f t="shared" si="16"/>
        <v>1963598724.8499997</v>
      </c>
      <c r="BG11" s="227">
        <f t="shared" si="16"/>
        <v>1973997239.3299999</v>
      </c>
      <c r="BH11" s="227">
        <f t="shared" si="16"/>
        <v>1965109920.0999999</v>
      </c>
      <c r="BI11" s="227">
        <f t="shared" si="16"/>
        <v>1948006516.3299997</v>
      </c>
      <c r="BJ11" s="227">
        <f t="shared" si="16"/>
        <v>1942206356.9199998</v>
      </c>
      <c r="BK11" s="227">
        <f t="shared" si="16"/>
        <v>1937834302.04</v>
      </c>
      <c r="BL11" s="228">
        <f t="shared" si="16"/>
        <v>1938491661.1100001</v>
      </c>
      <c r="BM11" s="228">
        <f t="shared" si="16"/>
        <v>1939046035.6500001</v>
      </c>
      <c r="BN11" s="228">
        <f t="shared" si="16"/>
        <v>1932801646.9900002</v>
      </c>
      <c r="BO11" s="228">
        <f t="shared" si="16"/>
        <v>1949222590.9100003</v>
      </c>
      <c r="BP11" s="228">
        <f t="shared" si="16"/>
        <v>1962921374.2200003</v>
      </c>
      <c r="BQ11" s="228">
        <f t="shared" si="16"/>
        <v>1973215945.5199997</v>
      </c>
      <c r="BR11" s="228">
        <f t="shared" si="16"/>
        <v>1973238840.0399997</v>
      </c>
      <c r="BS11" s="228">
        <f t="shared" si="16"/>
        <v>1958234803.8400002</v>
      </c>
      <c r="BT11" s="228">
        <f t="shared" si="16"/>
        <v>1957086246.4200001</v>
      </c>
      <c r="BU11" s="228">
        <f t="shared" si="16"/>
        <v>1969178936.9399998</v>
      </c>
      <c r="BV11" s="228">
        <f t="shared" si="16"/>
        <v>1969967101.6499999</v>
      </c>
      <c r="BW11" s="230">
        <f>SUM(BI6:BT6)</f>
        <v>1983847085.45</v>
      </c>
      <c r="BX11" s="228">
        <f t="shared" ref="BX11:DI11" si="17">SUM(BJ6:BU6)</f>
        <v>1997140611.8399999</v>
      </c>
      <c r="BY11" s="228">
        <f t="shared" si="17"/>
        <v>2013896104.0599999</v>
      </c>
      <c r="BZ11" s="228">
        <f t="shared" si="17"/>
        <v>2024047829.22</v>
      </c>
      <c r="CA11" s="228">
        <f t="shared" si="17"/>
        <v>2001863078.0599999</v>
      </c>
      <c r="CB11" s="228">
        <f t="shared" si="17"/>
        <v>1993589386.48</v>
      </c>
      <c r="CC11" s="228">
        <f t="shared" si="17"/>
        <v>1985417805.8999999</v>
      </c>
      <c r="CD11" s="228">
        <f t="shared" si="17"/>
        <v>1980200392.3899999</v>
      </c>
      <c r="CE11" s="228">
        <f t="shared" si="17"/>
        <v>1992212343.4199998</v>
      </c>
      <c r="CF11" s="228">
        <f t="shared" si="17"/>
        <v>2005789095.9299998</v>
      </c>
      <c r="CG11" s="228">
        <f t="shared" si="17"/>
        <v>2005260481.0899997</v>
      </c>
      <c r="CH11" s="228">
        <f t="shared" si="17"/>
        <v>2000809710.3199999</v>
      </c>
      <c r="CI11" s="230">
        <f t="shared" si="17"/>
        <v>1993465956.1600001</v>
      </c>
      <c r="CJ11" s="228">
        <f t="shared" si="17"/>
        <v>1983856634.4700003</v>
      </c>
      <c r="CK11" s="228">
        <f t="shared" si="17"/>
        <v>1983659337.5100002</v>
      </c>
      <c r="CL11" s="228">
        <f t="shared" si="17"/>
        <v>1975646395.3000002</v>
      </c>
      <c r="CM11" s="228">
        <f t="shared" si="17"/>
        <v>1982102383.04</v>
      </c>
      <c r="CN11" s="228">
        <f t="shared" si="17"/>
        <v>1979706900.6500001</v>
      </c>
      <c r="CO11" s="228">
        <f t="shared" si="17"/>
        <v>1980310254.52</v>
      </c>
      <c r="CP11" s="228">
        <f t="shared" si="17"/>
        <v>1994548255.2500002</v>
      </c>
      <c r="CQ11" s="228">
        <f t="shared" si="17"/>
        <v>1983541636.9099998</v>
      </c>
      <c r="CR11" s="228">
        <f t="shared" si="17"/>
        <v>1936180656.0500002</v>
      </c>
      <c r="CS11" s="228">
        <f t="shared" si="17"/>
        <v>1903004063.4000001</v>
      </c>
      <c r="CT11" s="228">
        <f t="shared" si="17"/>
        <v>1879286597.6499999</v>
      </c>
      <c r="CU11" s="230">
        <f t="shared" si="17"/>
        <v>1861708780.77</v>
      </c>
      <c r="CV11" s="228">
        <f t="shared" si="17"/>
        <v>1850424590.9100001</v>
      </c>
      <c r="CW11" s="228">
        <f t="shared" si="17"/>
        <v>1843835094.49</v>
      </c>
      <c r="CX11" s="228">
        <f t="shared" si="17"/>
        <v>1844182618.96</v>
      </c>
      <c r="CY11" s="228">
        <f t="shared" si="17"/>
        <v>1857656884.1100001</v>
      </c>
      <c r="CZ11" s="228">
        <f t="shared" si="17"/>
        <v>1866335962.1899998</v>
      </c>
      <c r="DA11" s="228">
        <f t="shared" si="17"/>
        <v>1871356658.5700002</v>
      </c>
      <c r="DB11" s="228">
        <f t="shared" si="17"/>
        <v>1870533721.78</v>
      </c>
      <c r="DC11" s="228">
        <f t="shared" si="17"/>
        <v>1885406904.3500001</v>
      </c>
      <c r="DD11" s="228">
        <f t="shared" si="17"/>
        <v>1934977465.1200001</v>
      </c>
      <c r="DE11" s="228">
        <f t="shared" si="17"/>
        <v>1968378427.23</v>
      </c>
      <c r="DF11" s="228">
        <f t="shared" si="17"/>
        <v>2007591576.8900001</v>
      </c>
      <c r="DG11" s="230">
        <f t="shared" si="17"/>
        <v>2058933781.8299999</v>
      </c>
      <c r="DH11" s="228">
        <f t="shared" si="17"/>
        <v>2100024955.54</v>
      </c>
      <c r="DI11" s="228">
        <f t="shared" si="17"/>
        <v>2120287372.7399998</v>
      </c>
      <c r="DJ11" s="228">
        <f>SUM(CV6:DG6)</f>
        <v>2146310502.8299997</v>
      </c>
      <c r="DK11" s="228">
        <f>SUM(CW6:DH6)</f>
        <v>2157015687.0599999</v>
      </c>
      <c r="DL11" s="228">
        <f>SUM(CX6:DI6)</f>
        <v>2177260045.4000001</v>
      </c>
      <c r="DM11" s="228">
        <f>SUM(CY6:DJ6)</f>
        <v>2198320831.1199999</v>
      </c>
      <c r="DN11" s="228">
        <f>SUM(CZ6:DK6)</f>
        <v>2229835498.7899995</v>
      </c>
      <c r="DO11" s="228">
        <f t="shared" ref="DO11:DZ11" si="18">SUM(DA6:DL6)</f>
        <v>2267481794.5599999</v>
      </c>
      <c r="DP11" s="228">
        <f t="shared" si="18"/>
        <v>2308965354.4000001</v>
      </c>
      <c r="DQ11" s="228">
        <f t="shared" si="18"/>
        <v>2361181976.0599999</v>
      </c>
      <c r="DR11" s="228">
        <f t="shared" si="18"/>
        <v>2407383267.2999997</v>
      </c>
      <c r="DS11" s="230">
        <f t="shared" si="18"/>
        <v>2424891901.6099997</v>
      </c>
      <c r="DT11" s="228">
        <f t="shared" si="18"/>
        <v>2423908327.8589993</v>
      </c>
      <c r="DU11" s="228">
        <f t="shared" si="18"/>
        <v>2433451402.5889993</v>
      </c>
      <c r="DV11" s="228">
        <f t="shared" si="18"/>
        <v>2458114894.099</v>
      </c>
      <c r="DW11" s="228">
        <f t="shared" si="18"/>
        <v>2503386443.6889997</v>
      </c>
      <c r="DX11" s="228">
        <f t="shared" si="18"/>
        <v>2530530964.289</v>
      </c>
      <c r="DY11" s="228">
        <f t="shared" si="18"/>
        <v>2566263338.0089998</v>
      </c>
      <c r="DZ11" s="228">
        <f t="shared" si="18"/>
        <v>2614291034.1690001</v>
      </c>
      <c r="EA11" s="228">
        <f>SUM(DM6:DX6)</f>
        <v>2653101271.8390002</v>
      </c>
      <c r="EB11" s="228">
        <f>SUM(DN6:DY6)</f>
        <v>2687550234.0490003</v>
      </c>
      <c r="EC11" s="228">
        <f>SUM(DO6:DZ6)</f>
        <v>2746324888.7590003</v>
      </c>
      <c r="ED11" s="228">
        <f>SUM(DP6:EA6)</f>
        <v>2804446543.4289999</v>
      </c>
      <c r="EE11" s="230">
        <f>SUM(DQ6:EB6)</f>
        <v>2869753289.4889998</v>
      </c>
    </row>
    <row r="12" spans="1:135" ht="15.6" x14ac:dyDescent="0.25">
      <c r="A12" s="220">
        <f t="shared" si="3"/>
        <v>9</v>
      </c>
      <c r="B12" s="25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31"/>
      <c r="BW12" s="231"/>
      <c r="BX12" s="226"/>
      <c r="BY12" s="226"/>
      <c r="BZ12" s="226"/>
      <c r="CA12" s="226"/>
      <c r="CB12" s="226"/>
      <c r="CC12" s="226"/>
      <c r="CD12" s="226"/>
      <c r="CE12" s="226"/>
      <c r="CF12" s="226"/>
      <c r="CG12" s="226"/>
      <c r="CH12" s="231"/>
      <c r="CI12" s="231"/>
      <c r="CJ12" s="226"/>
      <c r="CK12" s="226"/>
      <c r="CL12" s="226"/>
      <c r="CM12" s="226"/>
      <c r="CN12" s="226"/>
      <c r="CO12" s="226"/>
      <c r="CP12" s="226"/>
      <c r="CQ12" s="226"/>
      <c r="CR12" s="226"/>
      <c r="CS12" s="226"/>
      <c r="CT12" s="231"/>
      <c r="CU12" s="231"/>
      <c r="CV12" s="226"/>
      <c r="CW12" s="226"/>
      <c r="CX12" s="226"/>
      <c r="CY12" s="226"/>
      <c r="CZ12" s="226"/>
      <c r="DA12" s="226"/>
      <c r="DB12" s="226"/>
      <c r="DC12" s="226"/>
      <c r="DD12" s="226"/>
      <c r="DE12" s="226"/>
      <c r="DF12" s="231"/>
      <c r="DG12" s="231"/>
      <c r="DH12" s="226"/>
      <c r="DI12" s="226"/>
      <c r="DJ12" s="226"/>
      <c r="DK12" s="226"/>
      <c r="DL12" s="226"/>
      <c r="DM12" s="226"/>
      <c r="DN12" s="226"/>
      <c r="DO12" s="226"/>
      <c r="DP12" s="226"/>
      <c r="DQ12" s="226"/>
      <c r="DR12" s="231"/>
      <c r="DS12" s="231"/>
      <c r="DT12" s="226"/>
      <c r="DU12" s="226"/>
      <c r="DV12" s="226"/>
      <c r="DW12" s="226"/>
      <c r="DX12" s="226"/>
      <c r="DY12" s="226"/>
      <c r="DZ12" s="226"/>
      <c r="EA12" s="226"/>
      <c r="EB12" s="226"/>
      <c r="EC12" s="226"/>
      <c r="ED12" s="231"/>
      <c r="EE12" s="231"/>
    </row>
    <row r="13" spans="1:135" ht="15.6" x14ac:dyDescent="0.25">
      <c r="A13" s="220">
        <f t="shared" si="3"/>
        <v>10</v>
      </c>
      <c r="B13" s="28" t="s">
        <v>52</v>
      </c>
      <c r="C13" s="29">
        <v>1.2203331785099753E-3</v>
      </c>
      <c r="D13" s="29">
        <v>1.1897926724648961E-3</v>
      </c>
      <c r="E13" s="29">
        <v>1.2338101649168236E-3</v>
      </c>
      <c r="F13" s="29">
        <v>1.2443376329192022E-3</v>
      </c>
      <c r="G13" s="29">
        <v>1.2010700247057553E-3</v>
      </c>
      <c r="H13" s="29">
        <v>1.1718594633857277E-3</v>
      </c>
      <c r="I13" s="29">
        <v>1.164392133147714E-3</v>
      </c>
      <c r="J13" s="29">
        <v>1.1348626780635575E-3</v>
      </c>
      <c r="K13" s="29">
        <v>1.1580272449740099E-3</v>
      </c>
      <c r="L13" s="29">
        <v>1.1466103054276022E-3</v>
      </c>
      <c r="M13" s="29">
        <v>1.0963390372745062E-3</v>
      </c>
      <c r="N13" s="29">
        <v>1.0678754520769456E-3</v>
      </c>
      <c r="O13" s="29">
        <v>1.0537215762056404E-3</v>
      </c>
      <c r="P13" s="29">
        <v>1.033966547093872E-3</v>
      </c>
      <c r="Q13" s="29">
        <v>1.0363944086351883E-3</v>
      </c>
      <c r="R13" s="29">
        <v>1.0055424119975779E-3</v>
      </c>
      <c r="S13" s="29">
        <v>1.0628649643737089E-3</v>
      </c>
      <c r="T13" s="29">
        <v>1.1339923178515191E-3</v>
      </c>
      <c r="U13" s="29">
        <v>1.1561767525368515E-3</v>
      </c>
      <c r="V13" s="29">
        <v>1.1688854477667778E-3</v>
      </c>
      <c r="W13" s="29">
        <v>1.1700948166898514E-3</v>
      </c>
      <c r="X13" s="29">
        <v>1.2040105268833713E-3</v>
      </c>
      <c r="Y13" s="29">
        <v>1.2087053388498039E-3</v>
      </c>
      <c r="Z13" s="29">
        <v>1.1791820341829234E-3</v>
      </c>
      <c r="AA13" s="29">
        <v>1.1974926379169433E-3</v>
      </c>
      <c r="AB13" s="29">
        <v>1.179702254310391E-3</v>
      </c>
      <c r="AC13" s="29">
        <v>1.1703813200584152E-3</v>
      </c>
      <c r="AD13" s="29">
        <v>1.1702066329708906E-3</v>
      </c>
      <c r="AE13" s="29">
        <v>1.1286211737575088E-3</v>
      </c>
      <c r="AF13" s="29">
        <v>1.055367120596425E-3</v>
      </c>
      <c r="AG13" s="29">
        <v>1.0531618366919628E-3</v>
      </c>
      <c r="AH13" s="29">
        <v>1.0705262156163809E-3</v>
      </c>
      <c r="AI13" s="29">
        <v>1.051222737759721E-3</v>
      </c>
      <c r="AJ13" s="29">
        <v>1.0252773316787578E-3</v>
      </c>
      <c r="AK13" s="29">
        <v>9.636338203884619E-4</v>
      </c>
      <c r="AL13" s="29">
        <v>9.6642817286707219E-4</v>
      </c>
      <c r="AM13" s="29">
        <v>9.5509301730150025E-4</v>
      </c>
      <c r="AN13" s="29">
        <v>9.2080731696087101E-4</v>
      </c>
      <c r="AO13" s="29">
        <v>9.3629418985036682E-4</v>
      </c>
      <c r="AP13" s="29">
        <v>9.5833715769889482E-4</v>
      </c>
      <c r="AQ13" s="29">
        <v>9.7075513208523057E-4</v>
      </c>
      <c r="AR13" s="29">
        <v>9.6325865370685724E-4</v>
      </c>
      <c r="AS13" s="29">
        <v>1.0715538615946874E-3</v>
      </c>
      <c r="AT13" s="29">
        <v>1.0690395099950197E-3</v>
      </c>
      <c r="AU13" s="29">
        <v>1.0411057944754068E-3</v>
      </c>
      <c r="AV13" s="29">
        <v>1.0463805023679898E-3</v>
      </c>
      <c r="AW13" s="29">
        <v>1.1428472797553194E-3</v>
      </c>
      <c r="AX13" s="29">
        <v>1.1510475245603731E-3</v>
      </c>
      <c r="AY13" s="29">
        <v>1.11053677777904E-3</v>
      </c>
      <c r="AZ13" s="29">
        <f t="shared" ref="AZ13:DI13" si="19">AZ10/AZ11</f>
        <v>1.1657533641455671E-3</v>
      </c>
      <c r="BA13" s="29">
        <f>BA10/BA11</f>
        <v>1.1756669371404042E-3</v>
      </c>
      <c r="BB13" s="29">
        <f t="shared" si="19"/>
        <v>1.3478996226257223E-3</v>
      </c>
      <c r="BC13" s="29">
        <f t="shared" si="19"/>
        <v>1.2453666498724644E-3</v>
      </c>
      <c r="BD13" s="29">
        <f t="shared" si="19"/>
        <v>1.362050908394553E-3</v>
      </c>
      <c r="BE13" s="29">
        <f t="shared" si="19"/>
        <v>1.3111392225318298E-3</v>
      </c>
      <c r="BF13" s="29">
        <f t="shared" si="19"/>
        <v>1.3688095973913011E-3</v>
      </c>
      <c r="BG13" s="29">
        <f t="shared" si="19"/>
        <v>1.5144160642365737E-3</v>
      </c>
      <c r="BH13" s="29">
        <f t="shared" si="19"/>
        <v>1.6653991954981636E-3</v>
      </c>
      <c r="BI13" s="29">
        <f t="shared" si="19"/>
        <v>1.7615167871536527E-3</v>
      </c>
      <c r="BJ13" s="29">
        <f t="shared" si="19"/>
        <v>1.7858702797680477E-3</v>
      </c>
      <c r="BK13" s="29">
        <f t="shared" si="19"/>
        <v>1.7831315899209811E-3</v>
      </c>
      <c r="BL13" s="31">
        <f t="shared" si="19"/>
        <v>1.8926745694119369E-3</v>
      </c>
      <c r="BM13" s="31">
        <f t="shared" si="19"/>
        <v>2.1006508278358519E-3</v>
      </c>
      <c r="BN13" s="31">
        <f t="shared" si="19"/>
        <v>2.0701332059764642E-3</v>
      </c>
      <c r="BO13" s="31">
        <f t="shared" si="19"/>
        <v>2.3193216983440645E-3</v>
      </c>
      <c r="BP13" s="31">
        <f t="shared" si="19"/>
        <v>2.3926898711703606E-3</v>
      </c>
      <c r="BQ13" s="31">
        <f t="shared" si="19"/>
        <v>2.3653127021381519E-3</v>
      </c>
      <c r="BR13" s="31">
        <f t="shared" si="19"/>
        <v>2.3737643689929846E-3</v>
      </c>
      <c r="BS13" s="31">
        <f t="shared" si="19"/>
        <v>2.3269533464855691E-3</v>
      </c>
      <c r="BT13" s="31">
        <f t="shared" si="19"/>
        <v>2.2112119626389176E-3</v>
      </c>
      <c r="BU13" s="31">
        <f t="shared" si="19"/>
        <v>2.1028999611558282E-3</v>
      </c>
      <c r="BV13" s="31">
        <f t="shared" si="19"/>
        <v>2.1402755946881274E-3</v>
      </c>
      <c r="BW13" s="93">
        <f t="shared" si="19"/>
        <v>2.1908081736118968E-3</v>
      </c>
      <c r="BX13" s="31">
        <f t="shared" si="19"/>
        <v>2.1060628060258833E-3</v>
      </c>
      <c r="BY13" s="31">
        <f t="shared" si="19"/>
        <v>1.9882679116006198E-3</v>
      </c>
      <c r="BZ13" s="31">
        <f t="shared" si="19"/>
        <v>1.9292777298176975E-3</v>
      </c>
      <c r="CA13" s="31">
        <f t="shared" si="19"/>
        <v>1.8828672261904959E-3</v>
      </c>
      <c r="CB13" s="31">
        <f t="shared" si="19"/>
        <v>1.7662430111634851E-3</v>
      </c>
      <c r="CC13" s="31">
        <f t="shared" si="19"/>
        <v>1.8077298039407095E-3</v>
      </c>
      <c r="CD13" s="31">
        <f t="shared" si="19"/>
        <v>1.7837312398150181E-3</v>
      </c>
      <c r="CE13" s="31">
        <f t="shared" si="19"/>
        <v>1.7714366255464952E-3</v>
      </c>
      <c r="CF13" s="31">
        <f t="shared" si="19"/>
        <v>1.7799575918746528E-3</v>
      </c>
      <c r="CG13" s="31">
        <f t="shared" si="19"/>
        <v>1.776827007064568E-3</v>
      </c>
      <c r="CH13" s="31">
        <f t="shared" si="19"/>
        <v>1.6995734584155616E-3</v>
      </c>
      <c r="CI13" s="93">
        <f t="shared" si="19"/>
        <v>1.6870748349665158E-3</v>
      </c>
      <c r="CJ13" s="31">
        <f t="shared" si="19"/>
        <v>1.6610265534033125E-3</v>
      </c>
      <c r="CK13" s="31">
        <f t="shared" si="19"/>
        <v>1.6374007137118247E-3</v>
      </c>
      <c r="CL13" s="31">
        <f t="shared" si="19"/>
        <v>1.5121065399693488E-3</v>
      </c>
      <c r="CM13" s="31">
        <f t="shared" si="19"/>
        <v>1.2959453340953689E-3</v>
      </c>
      <c r="CN13" s="31">
        <f t="shared" si="19"/>
        <v>1.2826743363708341E-3</v>
      </c>
      <c r="CO13" s="31">
        <f t="shared" si="19"/>
        <v>1.1017183696444702E-3</v>
      </c>
      <c r="CP13" s="31">
        <f t="shared" si="19"/>
        <v>9.1321815363734843E-4</v>
      </c>
      <c r="CQ13" s="31">
        <f t="shared" si="19"/>
        <v>6.857746213581096E-4</v>
      </c>
      <c r="CR13" s="31">
        <f t="shared" si="19"/>
        <v>6.0992300656964311E-4</v>
      </c>
      <c r="CS13" s="31">
        <f t="shared" si="19"/>
        <v>1.2929184095403757E-3</v>
      </c>
      <c r="CT13" s="31">
        <f t="shared" si="19"/>
        <v>1.3493917160751696E-3</v>
      </c>
      <c r="CU13" s="93">
        <f t="shared" si="19"/>
        <v>1.7889040764058404E-3</v>
      </c>
      <c r="CV13" s="31">
        <f t="shared" si="19"/>
        <v>1.8371636724348658E-3</v>
      </c>
      <c r="CW13" s="31">
        <f t="shared" si="19"/>
        <v>1.9395668032824698E-3</v>
      </c>
      <c r="CX13" s="31">
        <f t="shared" si="19"/>
        <v>2.2225494199221178E-3</v>
      </c>
      <c r="CY13" s="31">
        <f t="shared" si="19"/>
        <v>2.4573077402218996E-3</v>
      </c>
      <c r="CZ13" s="31">
        <f t="shared" si="19"/>
        <v>2.4140948998877631E-3</v>
      </c>
      <c r="DA13" s="31">
        <f t="shared" si="19"/>
        <v>2.6808329863018151E-3</v>
      </c>
      <c r="DB13" s="31">
        <f t="shared" si="19"/>
        <v>2.9612170980585339E-3</v>
      </c>
      <c r="DC13" s="31">
        <f t="shared" si="19"/>
        <v>3.0863923679202584E-3</v>
      </c>
      <c r="DD13" s="31">
        <f t="shared" si="19"/>
        <v>4.1199088897480316E-3</v>
      </c>
      <c r="DE13" s="31">
        <f t="shared" si="19"/>
        <v>3.4199475501686194E-3</v>
      </c>
      <c r="DF13" s="31">
        <f t="shared" si="19"/>
        <v>3.4419894960480888E-3</v>
      </c>
      <c r="DG13" s="93">
        <f t="shared" si="19"/>
        <v>3.0725438893849442E-3</v>
      </c>
      <c r="DH13" s="31">
        <f t="shared" si="19"/>
        <v>2.9364433711809488E-3</v>
      </c>
      <c r="DI13" s="31">
        <f t="shared" si="19"/>
        <v>2.8914627511493376E-3</v>
      </c>
      <c r="DJ13" s="31">
        <f>DJ10/DJ11</f>
        <v>2.7967614709904116E-3</v>
      </c>
      <c r="DK13" s="31">
        <f>DK10/DK11</f>
        <v>2.7919797095335088E-3</v>
      </c>
      <c r="DL13" s="31">
        <f>DL10/DL11</f>
        <v>2.9265639451415983E-3</v>
      </c>
      <c r="DM13" s="31">
        <f>DM10/DM11</f>
        <v>2.8732827015140109E-3</v>
      </c>
      <c r="DN13" s="31">
        <f>DN10/DN11</f>
        <v>2.8543622387789502E-3</v>
      </c>
      <c r="DO13" s="31">
        <f t="shared" ref="DO13:DZ13" si="20">DO10/DO11</f>
        <v>2.9860936445440705E-3</v>
      </c>
      <c r="DP13" s="31">
        <f t="shared" si="20"/>
        <v>2.2221111399864497E-3</v>
      </c>
      <c r="DQ13" s="31">
        <f t="shared" si="20"/>
        <v>2.3114987828944489E-3</v>
      </c>
      <c r="DR13" s="31">
        <f t="shared" si="20"/>
        <v>2.3584956500187597E-3</v>
      </c>
      <c r="DS13" s="93">
        <f t="shared" si="20"/>
        <v>2.3538408702117059E-3</v>
      </c>
      <c r="DT13" s="31">
        <f t="shared" si="20"/>
        <v>2.562581898194759E-3</v>
      </c>
      <c r="DU13" s="31">
        <f t="shared" si="20"/>
        <v>2.6542439339380941E-3</v>
      </c>
      <c r="DV13" s="31">
        <f t="shared" si="20"/>
        <v>2.6582473424876588E-3</v>
      </c>
      <c r="DW13" s="31">
        <f t="shared" si="20"/>
        <v>2.6129511881548832E-3</v>
      </c>
      <c r="DX13" s="31">
        <f t="shared" si="20"/>
        <v>2.6456155852181132E-3</v>
      </c>
      <c r="DY13" s="31">
        <f t="shared" si="20"/>
        <v>2.6620752230751932E-3</v>
      </c>
      <c r="DZ13" s="31">
        <f t="shared" si="20"/>
        <v>2.6407878647659801E-3</v>
      </c>
      <c r="EA13" s="31">
        <f>EA10/EA11</f>
        <v>2.7434258862477712E-3</v>
      </c>
      <c r="EB13" s="31">
        <f>EB10/EB11</f>
        <v>2.710511028113934E-3</v>
      </c>
      <c r="EC13" s="31">
        <f>EC10/EC11</f>
        <v>2.7121137562736547E-3</v>
      </c>
      <c r="ED13" s="31">
        <f>ED10/ED11</f>
        <v>2.7690486802807559E-3</v>
      </c>
      <c r="EE13" s="93">
        <f>EE10/EE11</f>
        <v>2.9902313803177164E-3</v>
      </c>
    </row>
    <row r="14" spans="1:135" ht="15.6" hidden="1" x14ac:dyDescent="0.25">
      <c r="A14" s="220">
        <f t="shared" si="3"/>
        <v>11</v>
      </c>
      <c r="B14" s="32" t="s">
        <v>53</v>
      </c>
      <c r="BK14" s="232"/>
      <c r="BL14" s="232"/>
      <c r="BM14" s="232"/>
      <c r="BN14" s="232"/>
      <c r="BO14" s="232"/>
      <c r="BP14" s="232"/>
      <c r="BQ14" s="232"/>
      <c r="BR14" s="232"/>
      <c r="BS14" s="233"/>
      <c r="BT14" s="233"/>
      <c r="BU14" s="233"/>
      <c r="BV14" s="233"/>
      <c r="BW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</row>
    <row r="15" spans="1:135" ht="15.6" hidden="1" x14ac:dyDescent="0.25">
      <c r="A15" s="220">
        <f t="shared" si="3"/>
        <v>12</v>
      </c>
      <c r="B15" s="32" t="s">
        <v>54</v>
      </c>
      <c r="C15" s="26">
        <v>165607</v>
      </c>
      <c r="D15" s="26">
        <v>169763</v>
      </c>
      <c r="E15" s="26">
        <v>162404</v>
      </c>
      <c r="F15" s="26">
        <v>167524</v>
      </c>
      <c r="G15" s="26">
        <v>170018</v>
      </c>
      <c r="H15" s="26">
        <v>175952</v>
      </c>
      <c r="I15" s="26">
        <v>201146</v>
      </c>
      <c r="J15" s="26">
        <v>201159</v>
      </c>
      <c r="K15" s="26">
        <v>212143</v>
      </c>
      <c r="L15" s="26">
        <v>217685</v>
      </c>
      <c r="M15" s="26">
        <v>187709</v>
      </c>
      <c r="N15" s="26">
        <v>164078</v>
      </c>
      <c r="O15" s="26">
        <v>152818</v>
      </c>
      <c r="P15" s="26">
        <v>157354</v>
      </c>
      <c r="Q15" s="26">
        <v>153960</v>
      </c>
      <c r="R15" s="26">
        <v>138422</v>
      </c>
      <c r="S15" s="26">
        <v>147899</v>
      </c>
      <c r="T15" s="26">
        <v>183215</v>
      </c>
      <c r="U15" s="26">
        <v>217228</v>
      </c>
      <c r="V15" s="26">
        <v>230303</v>
      </c>
      <c r="W15" s="26">
        <v>226142</v>
      </c>
      <c r="X15" s="26">
        <v>238211</v>
      </c>
      <c r="Y15" s="26">
        <v>208788</v>
      </c>
      <c r="Z15" s="26">
        <v>174457</v>
      </c>
      <c r="AA15" s="26">
        <v>175715</v>
      </c>
      <c r="AB15" s="26">
        <v>174650</v>
      </c>
      <c r="AC15" s="26">
        <v>163983</v>
      </c>
      <c r="AD15" s="26">
        <v>167519</v>
      </c>
      <c r="AE15" s="26">
        <v>178163</v>
      </c>
      <c r="AF15" s="26">
        <v>178704</v>
      </c>
      <c r="AG15" s="26">
        <v>197977</v>
      </c>
      <c r="AH15" s="26">
        <v>208327</v>
      </c>
      <c r="AI15" s="26">
        <v>192087</v>
      </c>
      <c r="AJ15" s="26">
        <v>197260</v>
      </c>
      <c r="AK15" s="26">
        <v>171489</v>
      </c>
      <c r="AL15" s="26">
        <v>158880</v>
      </c>
      <c r="AM15" s="26">
        <v>145314</v>
      </c>
      <c r="AN15" s="26">
        <v>143007</v>
      </c>
      <c r="AO15" s="26">
        <v>133911</v>
      </c>
      <c r="AP15" s="26">
        <v>130442</v>
      </c>
      <c r="AQ15" s="26">
        <v>141712</v>
      </c>
      <c r="AR15" s="26">
        <v>157819.23000000001</v>
      </c>
      <c r="AS15" s="26">
        <v>200053</v>
      </c>
      <c r="AT15" s="26">
        <v>213962</v>
      </c>
      <c r="AU15" s="26">
        <v>205411</v>
      </c>
      <c r="AV15" s="26">
        <v>208788</v>
      </c>
      <c r="AW15" s="26">
        <v>203975</v>
      </c>
      <c r="AX15" s="26">
        <v>172326</v>
      </c>
      <c r="AY15" s="26">
        <v>160821</v>
      </c>
      <c r="AZ15" s="26">
        <v>167802</v>
      </c>
      <c r="BA15" s="26">
        <v>156239</v>
      </c>
      <c r="BB15" s="26">
        <v>180571</v>
      </c>
      <c r="BC15" s="26">
        <v>181082</v>
      </c>
      <c r="BD15" s="26">
        <v>228972</v>
      </c>
      <c r="BE15" s="26">
        <v>232094</v>
      </c>
      <c r="BF15" s="26">
        <v>249572</v>
      </c>
      <c r="BG15" s="26">
        <v>288534</v>
      </c>
      <c r="BH15" s="26">
        <v>323484</v>
      </c>
      <c r="BI15" s="26">
        <v>314501</v>
      </c>
      <c r="BJ15" s="26">
        <v>267461</v>
      </c>
      <c r="BK15" s="26">
        <v>246036.09</v>
      </c>
      <c r="BL15" s="26">
        <v>302580.49</v>
      </c>
      <c r="BM15" s="26">
        <v>306966.12</v>
      </c>
      <c r="BN15" s="26">
        <v>297776</v>
      </c>
      <c r="BO15" s="26">
        <v>369611</v>
      </c>
      <c r="BP15" s="26">
        <v>366394</v>
      </c>
      <c r="BQ15" s="26">
        <v>415973</v>
      </c>
      <c r="BR15" s="26">
        <v>461493</v>
      </c>
      <c r="BS15" s="26">
        <v>445308</v>
      </c>
      <c r="BT15" s="26">
        <v>460252</v>
      </c>
      <c r="BU15" s="26">
        <v>403323</v>
      </c>
      <c r="BV15" s="26">
        <v>356331</v>
      </c>
      <c r="BW15" s="26">
        <v>324578</v>
      </c>
      <c r="BX15" s="221">
        <v>289906</v>
      </c>
      <c r="BY15" s="221">
        <v>274008</v>
      </c>
      <c r="BZ15" s="221">
        <v>261730</v>
      </c>
      <c r="CA15" s="221">
        <v>263001</v>
      </c>
      <c r="CB15" s="221">
        <v>291607</v>
      </c>
      <c r="CC15" s="221">
        <v>342551</v>
      </c>
      <c r="CD15" s="26">
        <v>345857</v>
      </c>
      <c r="CE15" s="26">
        <v>331026</v>
      </c>
      <c r="CF15" s="26">
        <v>357461</v>
      </c>
      <c r="CG15" s="26">
        <v>323726</v>
      </c>
      <c r="CH15" s="26">
        <v>282731</v>
      </c>
      <c r="CI15" s="26">
        <v>236397</v>
      </c>
      <c r="CJ15" s="221">
        <v>239372</v>
      </c>
      <c r="CK15" s="221">
        <v>221708</v>
      </c>
      <c r="CL15" s="221">
        <v>217238</v>
      </c>
      <c r="CM15" s="221">
        <v>242253</v>
      </c>
      <c r="CN15" s="221">
        <v>197731</v>
      </c>
      <c r="CO15" s="221">
        <v>2778411.8288088264</v>
      </c>
      <c r="CP15" s="221">
        <v>491889.22891999967</v>
      </c>
      <c r="CQ15" s="221">
        <v>652782.9946399997</v>
      </c>
      <c r="CR15" s="221">
        <v>732971.65075999964</v>
      </c>
      <c r="CS15" s="221">
        <v>683562.7830799995</v>
      </c>
      <c r="CT15" s="221">
        <v>638894.26324000023</v>
      </c>
      <c r="CU15" s="221">
        <v>561912.73535999842</v>
      </c>
      <c r="CV15" s="221">
        <v>630337.12667999999</v>
      </c>
      <c r="CW15" s="221">
        <v>576462.41396000038</v>
      </c>
      <c r="CX15" s="221">
        <v>569623.58084000018</v>
      </c>
      <c r="CY15" s="221">
        <v>607943.88139999984</v>
      </c>
      <c r="CZ15" s="221">
        <v>675456.35779999988</v>
      </c>
      <c r="DA15" s="221">
        <v>574959.05163</v>
      </c>
      <c r="DB15" s="221">
        <v>582266.34788999998</v>
      </c>
      <c r="DC15" s="221">
        <v>404815.25058000005</v>
      </c>
      <c r="DD15" s="221">
        <v>469158.35036000004</v>
      </c>
      <c r="DE15" s="221">
        <v>423953.26312000002</v>
      </c>
      <c r="DF15" s="221">
        <v>359967.31977999996</v>
      </c>
      <c r="DG15" s="221">
        <v>332998.79031999997</v>
      </c>
      <c r="DH15" s="221">
        <v>319745.13420599996</v>
      </c>
      <c r="DI15" s="221">
        <v>312276.57717500004</v>
      </c>
      <c r="DJ15" s="221">
        <v>308492.13908700005</v>
      </c>
      <c r="DK15" s="221">
        <v>332277.50232000003</v>
      </c>
      <c r="DL15" s="221">
        <v>371938.21444799996</v>
      </c>
      <c r="DM15" s="221">
        <v>419676.99726600002</v>
      </c>
      <c r="DN15" s="221">
        <v>702960.68064648006</v>
      </c>
      <c r="DO15" s="221">
        <v>742355</v>
      </c>
      <c r="DP15" s="221">
        <v>560153</v>
      </c>
      <c r="DQ15" s="221">
        <v>487829</v>
      </c>
      <c r="DR15" s="221">
        <v>447098</v>
      </c>
      <c r="DS15" s="221">
        <v>449997</v>
      </c>
      <c r="DT15" s="221">
        <v>547365</v>
      </c>
      <c r="DU15" s="221">
        <v>508250.42345164</v>
      </c>
      <c r="DV15" s="221">
        <v>526547</v>
      </c>
      <c r="DW15" s="221">
        <v>607859</v>
      </c>
      <c r="DX15" s="221">
        <v>649449.48090708</v>
      </c>
      <c r="DY15" s="221">
        <v>712367</v>
      </c>
      <c r="DZ15" s="221">
        <v>805721</v>
      </c>
      <c r="EA15" s="221">
        <v>841370</v>
      </c>
      <c r="EB15" s="221">
        <v>860474</v>
      </c>
      <c r="EC15" s="221">
        <v>726268</v>
      </c>
      <c r="ED15" s="221">
        <v>617666</v>
      </c>
      <c r="EE15" s="221">
        <v>643547</v>
      </c>
    </row>
    <row r="16" spans="1:135" ht="15.6" hidden="1" x14ac:dyDescent="0.25">
      <c r="A16" s="220">
        <f t="shared" si="3"/>
        <v>13</v>
      </c>
      <c r="B16" s="32" t="s">
        <v>55</v>
      </c>
      <c r="C16" s="26">
        <v>260007</v>
      </c>
      <c r="D16" s="26">
        <v>96308</v>
      </c>
      <c r="E16" s="26">
        <v>-161909</v>
      </c>
      <c r="F16" s="26">
        <v>-166617</v>
      </c>
      <c r="G16" s="26">
        <v>-180645</v>
      </c>
      <c r="H16" s="26">
        <v>-166720</v>
      </c>
      <c r="I16" s="26">
        <v>-180088</v>
      </c>
      <c r="J16" s="26">
        <v>-131773</v>
      </c>
      <c r="K16" s="26">
        <v>-28897</v>
      </c>
      <c r="L16" s="26">
        <v>28032</v>
      </c>
      <c r="M16" s="26">
        <v>162777.06</v>
      </c>
      <c r="N16" s="26">
        <v>213752</v>
      </c>
      <c r="O16" s="26">
        <v>260614.90000000002</v>
      </c>
      <c r="P16" s="26">
        <v>87650.65</v>
      </c>
      <c r="Q16" s="26">
        <v>-148980</v>
      </c>
      <c r="R16" s="26">
        <v>-184996</v>
      </c>
      <c r="S16" s="26">
        <v>-19957</v>
      </c>
      <c r="T16" s="26">
        <v>-9200</v>
      </c>
      <c r="U16" s="26">
        <v>-137331</v>
      </c>
      <c r="V16" s="26">
        <v>-139928</v>
      </c>
      <c r="W16" s="26">
        <v>-28432</v>
      </c>
      <c r="X16" s="26">
        <v>108058</v>
      </c>
      <c r="Y16" s="26">
        <v>189414</v>
      </c>
      <c r="Z16" s="26">
        <v>155011</v>
      </c>
      <c r="AA16" s="26">
        <v>280966</v>
      </c>
      <c r="AB16" s="26">
        <v>27932</v>
      </c>
      <c r="AC16" s="26">
        <v>-190198</v>
      </c>
      <c r="AD16" s="26">
        <v>-197564</v>
      </c>
      <c r="AE16" s="26">
        <v>-150695</v>
      </c>
      <c r="AF16" s="26">
        <v>-185201</v>
      </c>
      <c r="AG16" s="26">
        <v>-124273</v>
      </c>
      <c r="AH16" s="26">
        <v>-66544</v>
      </c>
      <c r="AI16" s="26">
        <v>-18829</v>
      </c>
      <c r="AJ16" s="26">
        <v>69058</v>
      </c>
      <c r="AK16" s="26">
        <v>78464</v>
      </c>
      <c r="AL16" s="26">
        <v>189216</v>
      </c>
      <c r="AM16" s="26">
        <v>288763</v>
      </c>
      <c r="AN16" s="26">
        <v>-1056</v>
      </c>
      <c r="AO16" s="26">
        <v>-100289</v>
      </c>
      <c r="AP16" s="26">
        <v>-109116</v>
      </c>
      <c r="AQ16" s="26">
        <v>-64391</v>
      </c>
      <c r="AR16" s="26">
        <v>-149295</v>
      </c>
      <c r="AS16" s="26">
        <v>81876.87</v>
      </c>
      <c r="AT16" s="26">
        <v>-110299.91000000002</v>
      </c>
      <c r="AU16" s="26">
        <v>-101671.44</v>
      </c>
      <c r="AV16" s="26">
        <v>65374.909999999974</v>
      </c>
      <c r="AW16" s="26">
        <v>270870.21999999997</v>
      </c>
      <c r="AX16" s="26">
        <v>213425.40000000002</v>
      </c>
      <c r="AY16" s="26">
        <v>188668.01</v>
      </c>
      <c r="AZ16" s="26">
        <v>100672.34999999998</v>
      </c>
      <c r="BA16" s="26">
        <v>60734</v>
      </c>
      <c r="BB16" s="26">
        <v>3869.7299999999814</v>
      </c>
      <c r="BC16" s="26">
        <v>-351385.69</v>
      </c>
      <c r="BD16" s="26">
        <v>15844.339999999997</v>
      </c>
      <c r="BE16" s="26">
        <v>-76881.879999999946</v>
      </c>
      <c r="BF16" s="26">
        <v>15261.459999999963</v>
      </c>
      <c r="BG16" s="26">
        <v>139544.02999999997</v>
      </c>
      <c r="BH16" s="26">
        <v>305729.38</v>
      </c>
      <c r="BI16" s="26">
        <v>317505.07999999996</v>
      </c>
      <c r="BJ16" s="26">
        <v>107766.51000000001</v>
      </c>
      <c r="BK16" s="26">
        <v>95966.369999999966</v>
      </c>
      <c r="BL16" s="26">
        <v>200621</v>
      </c>
      <c r="BM16" s="26">
        <v>156890</v>
      </c>
      <c r="BN16" s="26">
        <v>-30797</v>
      </c>
      <c r="BO16" s="26">
        <v>541589</v>
      </c>
      <c r="BP16" s="26">
        <v>-454610</v>
      </c>
      <c r="BQ16" s="26">
        <v>-237554</v>
      </c>
      <c r="BR16" s="26">
        <v>-180113.27</v>
      </c>
      <c r="BS16" s="26">
        <v>-189068</v>
      </c>
      <c r="BT16" s="26">
        <v>-87338</v>
      </c>
      <c r="BU16" s="26">
        <v>-29713</v>
      </c>
      <c r="BV16" s="26">
        <v>98362</v>
      </c>
      <c r="BW16" s="26">
        <v>150365</v>
      </c>
      <c r="BX16" s="26">
        <v>479</v>
      </c>
      <c r="BY16" s="26">
        <v>-68057</v>
      </c>
      <c r="BZ16" s="26">
        <v>-98514</v>
      </c>
      <c r="CA16" s="26">
        <v>-18322</v>
      </c>
      <c r="CB16" s="26">
        <v>-144850</v>
      </c>
      <c r="CC16" s="26">
        <v>-90867</v>
      </c>
      <c r="CD16" s="26">
        <v>-172704</v>
      </c>
      <c r="CE16" s="26">
        <v>-64287.719999999972</v>
      </c>
      <c r="CF16" s="26">
        <v>40807</v>
      </c>
      <c r="CG16" s="26">
        <v>94326</v>
      </c>
      <c r="CH16" s="26">
        <v>5449</v>
      </c>
      <c r="CI16" s="26">
        <v>158678</v>
      </c>
      <c r="CJ16" s="26">
        <v>4278</v>
      </c>
      <c r="CK16" s="26">
        <v>-13412</v>
      </c>
      <c r="CL16" s="26">
        <v>103177</v>
      </c>
      <c r="CM16" s="26">
        <v>-910136</v>
      </c>
      <c r="CN16" s="26">
        <v>-1075934</v>
      </c>
      <c r="CO16" s="234"/>
      <c r="CP16" s="234"/>
      <c r="CQ16" s="234"/>
      <c r="CR16" s="221">
        <v>297088.83</v>
      </c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21">
        <v>-344190.23</v>
      </c>
      <c r="DH16" s="234"/>
      <c r="DI16" s="234"/>
      <c r="DJ16" s="234"/>
      <c r="DK16" s="234"/>
      <c r="DL16" s="221"/>
      <c r="DM16" s="221">
        <v>-1634211.02513184</v>
      </c>
      <c r="DN16" s="221">
        <v>-222427.54064648011</v>
      </c>
      <c r="DO16" s="221">
        <v>-250609.08755838004</v>
      </c>
      <c r="DP16" s="221">
        <v>-101967.2565811401</v>
      </c>
      <c r="DQ16" s="221">
        <v>294138.17613319203</v>
      </c>
      <c r="DR16" s="221">
        <v>317612.80662541999</v>
      </c>
      <c r="DS16" s="221">
        <v>228615.93477881991</v>
      </c>
      <c r="DT16" s="221">
        <v>303037.85396765999</v>
      </c>
      <c r="DU16" s="221">
        <v>31382.026548360067</v>
      </c>
      <c r="DV16" s="221">
        <v>-132547.78182010003</v>
      </c>
      <c r="DW16" s="221">
        <v>-187119.57599116996</v>
      </c>
      <c r="DX16" s="221">
        <v>-86680.480907079997</v>
      </c>
      <c r="DY16" s="221">
        <v>-173703.99402483995</v>
      </c>
      <c r="DZ16" s="221">
        <v>-234170.93522203027</v>
      </c>
      <c r="EA16" s="221">
        <v>111772.58642349986</v>
      </c>
      <c r="EB16" s="221">
        <v>-171170.30265123013</v>
      </c>
      <c r="EC16" s="221">
        <v>90032.556373280124</v>
      </c>
      <c r="ED16" s="221">
        <v>444286.44706822012</v>
      </c>
      <c r="EE16" s="221">
        <v>921680.64953589998</v>
      </c>
    </row>
    <row r="17" spans="1:135" ht="15.6" hidden="1" x14ac:dyDescent="0.25">
      <c r="A17" s="220">
        <f t="shared" si="3"/>
        <v>14</v>
      </c>
      <c r="B17" s="33" t="s">
        <v>56</v>
      </c>
      <c r="C17" s="235">
        <v>425614</v>
      </c>
      <c r="D17" s="235">
        <v>266071</v>
      </c>
      <c r="E17" s="235">
        <v>495</v>
      </c>
      <c r="F17" s="235">
        <v>907</v>
      </c>
      <c r="G17" s="235">
        <v>-10627</v>
      </c>
      <c r="H17" s="235">
        <v>9232</v>
      </c>
      <c r="I17" s="235">
        <v>21058</v>
      </c>
      <c r="J17" s="235">
        <v>69356</v>
      </c>
      <c r="K17" s="235">
        <v>183246</v>
      </c>
      <c r="L17" s="235">
        <v>245717</v>
      </c>
      <c r="M17" s="235">
        <v>350486.06</v>
      </c>
      <c r="N17" s="235">
        <v>377830</v>
      </c>
      <c r="O17" s="235">
        <v>413432.9</v>
      </c>
      <c r="P17" s="235">
        <v>245004.65</v>
      </c>
      <c r="Q17" s="235">
        <v>4980</v>
      </c>
      <c r="R17" s="235">
        <v>-46574</v>
      </c>
      <c r="S17" s="235">
        <v>127942</v>
      </c>
      <c r="T17" s="235">
        <v>174015</v>
      </c>
      <c r="U17" s="235">
        <v>79897</v>
      </c>
      <c r="V17" s="235">
        <v>90375</v>
      </c>
      <c r="W17" s="235">
        <v>197710</v>
      </c>
      <c r="X17" s="235">
        <v>346269</v>
      </c>
      <c r="Y17" s="235">
        <v>398202</v>
      </c>
      <c r="Z17" s="235">
        <v>329468</v>
      </c>
      <c r="AA17" s="235">
        <v>456681</v>
      </c>
      <c r="AB17" s="235">
        <v>202582</v>
      </c>
      <c r="AC17" s="235">
        <v>-26215</v>
      </c>
      <c r="AD17" s="235">
        <v>-30045</v>
      </c>
      <c r="AE17" s="235">
        <v>27468</v>
      </c>
      <c r="AF17" s="235">
        <v>-6497</v>
      </c>
      <c r="AG17" s="235">
        <v>73704</v>
      </c>
      <c r="AH17" s="235">
        <v>141783</v>
      </c>
      <c r="AI17" s="235">
        <v>173258</v>
      </c>
      <c r="AJ17" s="235">
        <v>266318</v>
      </c>
      <c r="AK17" s="235">
        <v>249953</v>
      </c>
      <c r="AL17" s="235">
        <v>348096</v>
      </c>
      <c r="AM17" s="235">
        <v>434077</v>
      </c>
      <c r="AN17" s="235">
        <v>141951</v>
      </c>
      <c r="AO17" s="235">
        <v>33622</v>
      </c>
      <c r="AP17" s="235">
        <v>21326</v>
      </c>
      <c r="AQ17" s="235">
        <v>77321</v>
      </c>
      <c r="AR17" s="235">
        <v>8524.2300000000105</v>
      </c>
      <c r="AS17" s="235">
        <v>281929.87</v>
      </c>
      <c r="AT17" s="235">
        <v>103662.08999999998</v>
      </c>
      <c r="AU17" s="235">
        <v>103739.56</v>
      </c>
      <c r="AV17" s="235">
        <v>274162.90999999997</v>
      </c>
      <c r="AW17" s="235">
        <v>474845.22</v>
      </c>
      <c r="AX17" s="235">
        <v>385751.4</v>
      </c>
      <c r="AY17" s="235">
        <v>349489.01</v>
      </c>
      <c r="AZ17" s="235">
        <f>AZ15+AZ16</f>
        <v>268474.34999999998</v>
      </c>
      <c r="BA17" s="235">
        <f t="shared" ref="BA17:CJ17" si="21">BA15+BA16</f>
        <v>216973</v>
      </c>
      <c r="BB17" s="235">
        <f t="shared" si="21"/>
        <v>184440.72999999998</v>
      </c>
      <c r="BC17" s="235">
        <f t="shared" si="21"/>
        <v>-170303.69</v>
      </c>
      <c r="BD17" s="235">
        <f t="shared" si="21"/>
        <v>244816.34</v>
      </c>
      <c r="BE17" s="235">
        <f t="shared" si="21"/>
        <v>155212.12000000005</v>
      </c>
      <c r="BF17" s="235">
        <f t="shared" si="21"/>
        <v>264833.45999999996</v>
      </c>
      <c r="BG17" s="235">
        <f t="shared" si="21"/>
        <v>428078.02999999997</v>
      </c>
      <c r="BH17" s="235">
        <f t="shared" si="21"/>
        <v>629213.38</v>
      </c>
      <c r="BI17" s="235">
        <f t="shared" si="21"/>
        <v>632006.07999999996</v>
      </c>
      <c r="BJ17" s="235">
        <f t="shared" si="21"/>
        <v>375227.51</v>
      </c>
      <c r="BK17" s="235">
        <f t="shared" si="21"/>
        <v>342002.45999999996</v>
      </c>
      <c r="BL17" s="235">
        <f t="shared" si="21"/>
        <v>503201.49</v>
      </c>
      <c r="BM17" s="235">
        <f t="shared" si="21"/>
        <v>463856.12</v>
      </c>
      <c r="BN17" s="235">
        <f t="shared" si="21"/>
        <v>266979</v>
      </c>
      <c r="BO17" s="235">
        <f t="shared" si="21"/>
        <v>911200</v>
      </c>
      <c r="BP17" s="235">
        <f t="shared" si="21"/>
        <v>-88216</v>
      </c>
      <c r="BQ17" s="235">
        <f t="shared" si="21"/>
        <v>178419</v>
      </c>
      <c r="BR17" s="235">
        <f t="shared" si="21"/>
        <v>281379.73</v>
      </c>
      <c r="BS17" s="235">
        <f t="shared" si="21"/>
        <v>256240</v>
      </c>
      <c r="BT17" s="235">
        <f t="shared" si="21"/>
        <v>372914</v>
      </c>
      <c r="BU17" s="235">
        <f t="shared" si="21"/>
        <v>373610</v>
      </c>
      <c r="BV17" s="235">
        <f t="shared" si="21"/>
        <v>454693</v>
      </c>
      <c r="BW17" s="235">
        <f t="shared" si="21"/>
        <v>474943</v>
      </c>
      <c r="BX17" s="235">
        <f t="shared" si="21"/>
        <v>290385</v>
      </c>
      <c r="BY17" s="235">
        <f t="shared" si="21"/>
        <v>205951</v>
      </c>
      <c r="BZ17" s="235">
        <f>BZ15+BZ16</f>
        <v>163216</v>
      </c>
      <c r="CA17" s="235">
        <f t="shared" si="21"/>
        <v>244679</v>
      </c>
      <c r="CB17" s="235">
        <f t="shared" si="21"/>
        <v>146757</v>
      </c>
      <c r="CC17" s="235">
        <f t="shared" si="21"/>
        <v>251684</v>
      </c>
      <c r="CD17" s="235">
        <f t="shared" si="21"/>
        <v>173153</v>
      </c>
      <c r="CE17" s="235">
        <f t="shared" si="21"/>
        <v>266738.28000000003</v>
      </c>
      <c r="CF17" s="235">
        <f t="shared" si="21"/>
        <v>398268</v>
      </c>
      <c r="CG17" s="235">
        <f t="shared" si="21"/>
        <v>418052</v>
      </c>
      <c r="CH17" s="235">
        <f t="shared" si="21"/>
        <v>288180</v>
      </c>
      <c r="CI17" s="235">
        <f t="shared" si="21"/>
        <v>395075</v>
      </c>
      <c r="CJ17" s="235">
        <f t="shared" si="21"/>
        <v>243650</v>
      </c>
      <c r="CK17" s="235">
        <f>CK15+CK16</f>
        <v>208296</v>
      </c>
      <c r="CL17" s="235">
        <v>807778</v>
      </c>
      <c r="CM17" s="235">
        <v>-147832</v>
      </c>
      <c r="CN17" s="235">
        <v>-275587</v>
      </c>
      <c r="CO17" s="235">
        <f t="shared" ref="CO17:DI17" si="22">CO15+CO16</f>
        <v>2778411.8288088264</v>
      </c>
      <c r="CP17" s="235">
        <f t="shared" si="22"/>
        <v>491889.22891999967</v>
      </c>
      <c r="CQ17" s="235">
        <f t="shared" si="22"/>
        <v>652782.9946399997</v>
      </c>
      <c r="CR17" s="235">
        <f t="shared" si="22"/>
        <v>1030060.4807599997</v>
      </c>
      <c r="CS17" s="235">
        <f t="shared" si="22"/>
        <v>683562.7830799995</v>
      </c>
      <c r="CT17" s="235">
        <f t="shared" si="22"/>
        <v>638894.26324000023</v>
      </c>
      <c r="CU17" s="235">
        <f t="shared" si="22"/>
        <v>561912.73535999842</v>
      </c>
      <c r="CV17" s="235">
        <f t="shared" si="22"/>
        <v>630337.12667999999</v>
      </c>
      <c r="CW17" s="235">
        <f t="shared" si="22"/>
        <v>576462.41396000038</v>
      </c>
      <c r="CX17" s="235">
        <f t="shared" si="22"/>
        <v>569623.58084000018</v>
      </c>
      <c r="CY17" s="235">
        <f t="shared" si="22"/>
        <v>607943.88139999984</v>
      </c>
      <c r="CZ17" s="235">
        <f t="shared" si="22"/>
        <v>675456.35779999988</v>
      </c>
      <c r="DA17" s="235">
        <f t="shared" si="22"/>
        <v>574959.05163</v>
      </c>
      <c r="DB17" s="235">
        <f t="shared" si="22"/>
        <v>582266.34788999998</v>
      </c>
      <c r="DC17" s="235">
        <f t="shared" si="22"/>
        <v>404815.25058000005</v>
      </c>
      <c r="DD17" s="235">
        <f t="shared" si="22"/>
        <v>469158.35036000004</v>
      </c>
      <c r="DE17" s="235">
        <f t="shared" si="22"/>
        <v>423953.26312000002</v>
      </c>
      <c r="DF17" s="235">
        <f t="shared" si="22"/>
        <v>359967.31977999996</v>
      </c>
      <c r="DG17" s="235">
        <f t="shared" si="22"/>
        <v>-11191.43968000001</v>
      </c>
      <c r="DH17" s="235">
        <f t="shared" si="22"/>
        <v>319745.13420599996</v>
      </c>
      <c r="DI17" s="235">
        <f t="shared" si="22"/>
        <v>312276.57717500004</v>
      </c>
      <c r="DJ17" s="235">
        <f>DJ15+DJ16</f>
        <v>308492.13908700005</v>
      </c>
      <c r="DK17" s="235">
        <f>DK15+DK16</f>
        <v>332277.50232000003</v>
      </c>
      <c r="DL17" s="235">
        <f>DL15+DL16</f>
        <v>371938.21444799996</v>
      </c>
      <c r="DM17" s="235">
        <f>DM15+DM16</f>
        <v>-1214534.0278658401</v>
      </c>
      <c r="DN17" s="235">
        <f>DN15+DN16</f>
        <v>480533.13999999996</v>
      </c>
      <c r="DO17" s="235">
        <f t="shared" ref="DO17:DZ17" si="23">DO15+DO16</f>
        <v>491745.91244161996</v>
      </c>
      <c r="DP17" s="235">
        <f t="shared" si="23"/>
        <v>458185.7434188599</v>
      </c>
      <c r="DQ17" s="235">
        <f t="shared" si="23"/>
        <v>781967.17613319203</v>
      </c>
      <c r="DR17" s="235">
        <f t="shared" si="23"/>
        <v>764710.80662541999</v>
      </c>
      <c r="DS17" s="235">
        <f t="shared" si="23"/>
        <v>678612.93477881991</v>
      </c>
      <c r="DT17" s="235">
        <f t="shared" si="23"/>
        <v>850402.85396765999</v>
      </c>
      <c r="DU17" s="235">
        <f t="shared" si="23"/>
        <v>539632.45000000007</v>
      </c>
      <c r="DV17" s="235">
        <f t="shared" si="23"/>
        <v>393999.21817989997</v>
      </c>
      <c r="DW17" s="235">
        <f t="shared" si="23"/>
        <v>420739.42400883004</v>
      </c>
      <c r="DX17" s="235">
        <f t="shared" si="23"/>
        <v>562769</v>
      </c>
      <c r="DY17" s="235">
        <f t="shared" si="23"/>
        <v>538663.00597516005</v>
      </c>
      <c r="DZ17" s="235">
        <f t="shared" si="23"/>
        <v>571550.06477796973</v>
      </c>
      <c r="EA17" s="235">
        <f>EA15+EA16</f>
        <v>953142.58642349986</v>
      </c>
      <c r="EB17" s="235">
        <f>EB15+EB16</f>
        <v>689303.69734876987</v>
      </c>
      <c r="EC17" s="235">
        <f>EC15+EC16</f>
        <v>816300.55637328012</v>
      </c>
      <c r="ED17" s="235">
        <f>ED15+ED16</f>
        <v>1061952.44706822</v>
      </c>
      <c r="EE17" s="235">
        <f>EE15+EE16</f>
        <v>1565227.6495359</v>
      </c>
    </row>
    <row r="18" spans="1:135" ht="15.6" hidden="1" x14ac:dyDescent="0.25">
      <c r="A18" s="220">
        <f t="shared" si="3"/>
        <v>15</v>
      </c>
      <c r="B18" s="34" t="s">
        <v>57</v>
      </c>
      <c r="C18" s="236">
        <v>2150814.0998083539</v>
      </c>
      <c r="D18" s="236">
        <v>266071</v>
      </c>
      <c r="E18" s="236">
        <v>266566</v>
      </c>
      <c r="F18" s="236">
        <v>267473</v>
      </c>
      <c r="G18" s="236">
        <v>256846</v>
      </c>
      <c r="H18" s="236">
        <v>266078</v>
      </c>
      <c r="I18" s="236">
        <v>287136</v>
      </c>
      <c r="J18" s="236">
        <v>356492</v>
      </c>
      <c r="K18" s="236">
        <v>539738</v>
      </c>
      <c r="L18" s="236">
        <v>785455</v>
      </c>
      <c r="M18" s="236">
        <v>1135941.06</v>
      </c>
      <c r="N18" s="236">
        <v>1513771.06</v>
      </c>
      <c r="O18" s="236">
        <v>1927203.96</v>
      </c>
      <c r="P18" s="236">
        <v>245004.65</v>
      </c>
      <c r="Q18" s="236">
        <v>249984.65</v>
      </c>
      <c r="R18" s="236">
        <v>203410.65</v>
      </c>
      <c r="S18" s="236">
        <v>331352.65000000002</v>
      </c>
      <c r="T18" s="236">
        <v>505367.65</v>
      </c>
      <c r="U18" s="236">
        <v>585264.65</v>
      </c>
      <c r="V18" s="236">
        <v>675639.65</v>
      </c>
      <c r="W18" s="236">
        <v>873349.65</v>
      </c>
      <c r="X18" s="236">
        <v>1219618.6499999999</v>
      </c>
      <c r="Y18" s="236">
        <v>1617820.65</v>
      </c>
      <c r="Z18" s="236">
        <v>1947288.65</v>
      </c>
      <c r="AA18" s="236">
        <v>2403969.65</v>
      </c>
      <c r="AB18" s="236">
        <v>202582</v>
      </c>
      <c r="AC18" s="236">
        <v>176367</v>
      </c>
      <c r="AD18" s="236">
        <v>146322</v>
      </c>
      <c r="AE18" s="236">
        <v>173790</v>
      </c>
      <c r="AF18" s="236">
        <v>167293</v>
      </c>
      <c r="AG18" s="236">
        <v>240997</v>
      </c>
      <c r="AH18" s="236">
        <v>382780</v>
      </c>
      <c r="AI18" s="236">
        <v>556038</v>
      </c>
      <c r="AJ18" s="236">
        <v>822356</v>
      </c>
      <c r="AK18" s="236">
        <v>1072309</v>
      </c>
      <c r="AL18" s="236">
        <v>1420405</v>
      </c>
      <c r="AM18" s="236">
        <v>1854482</v>
      </c>
      <c r="AN18" s="236">
        <v>141951</v>
      </c>
      <c r="AO18" s="236">
        <v>175573</v>
      </c>
      <c r="AP18" s="236">
        <v>196899</v>
      </c>
      <c r="AQ18" s="236">
        <v>274220</v>
      </c>
      <c r="AR18" s="236">
        <v>282744.23</v>
      </c>
      <c r="AS18" s="236">
        <v>564674.1</v>
      </c>
      <c r="AT18" s="236">
        <v>668336.18999999994</v>
      </c>
      <c r="AU18" s="236">
        <v>772075.75</v>
      </c>
      <c r="AV18" s="236">
        <v>1046238.6599999999</v>
      </c>
      <c r="AW18" s="236">
        <v>1521083.88</v>
      </c>
      <c r="AX18" s="236">
        <v>1906835.2799999998</v>
      </c>
      <c r="AY18" s="236">
        <v>2256324.29</v>
      </c>
      <c r="AZ18" s="236">
        <f>SUM($AZ$17:AZ17)</f>
        <v>268474.34999999998</v>
      </c>
      <c r="BA18" s="236">
        <f>SUM($AZ$17:BA17)</f>
        <v>485447.35</v>
      </c>
      <c r="BB18" s="236">
        <f>SUM($AZ$17:BB17)</f>
        <v>669888.07999999996</v>
      </c>
      <c r="BC18" s="236">
        <f>SUM($AZ$17:BC17)</f>
        <v>499584.38999999996</v>
      </c>
      <c r="BD18" s="236">
        <f>SUM($AZ$17:BD17)</f>
        <v>744400.73</v>
      </c>
      <c r="BE18" s="236">
        <f>SUM($AZ$17:BE17)</f>
        <v>899612.85000000009</v>
      </c>
      <c r="BF18" s="236">
        <f>SUM($AZ$17:BF17)</f>
        <v>1164446.31</v>
      </c>
      <c r="BG18" s="236">
        <f>SUM($AZ$17:BG17)</f>
        <v>1592524.34</v>
      </c>
      <c r="BH18" s="236">
        <f>SUM($AZ$17:BH17)</f>
        <v>2221737.7200000002</v>
      </c>
      <c r="BI18" s="236">
        <f>SUM($AZ$17:BI17)</f>
        <v>2853743.8000000003</v>
      </c>
      <c r="BJ18" s="236">
        <f>SUM($AZ$17:BJ17)</f>
        <v>3228971.3100000005</v>
      </c>
      <c r="BK18" s="236">
        <f>SUM($AZ$17:BK17)</f>
        <v>3570973.7700000005</v>
      </c>
      <c r="BL18" s="236">
        <f>SUM($BL17:BL17)</f>
        <v>503201.49</v>
      </c>
      <c r="BM18" s="236">
        <f>SUM($BL17:BM17)</f>
        <v>967057.61</v>
      </c>
      <c r="BN18" s="236">
        <f>SUM($BL17:BN17)</f>
        <v>1234036.6099999999</v>
      </c>
      <c r="BO18" s="236">
        <f>SUM($BL17:BO17)</f>
        <v>2145236.61</v>
      </c>
      <c r="BP18" s="236">
        <f>SUM($BL17:BP17)</f>
        <v>2057020.6099999999</v>
      </c>
      <c r="BQ18" s="236">
        <f>SUM($BL17:BQ17)</f>
        <v>2235439.61</v>
      </c>
      <c r="BR18" s="236">
        <f>SUM($BL17:BR17)</f>
        <v>2516819.34</v>
      </c>
      <c r="BS18" s="236">
        <f>SUM($BL17:BS17)</f>
        <v>2773059.34</v>
      </c>
      <c r="BT18" s="236">
        <f>SUM($BL17:BT17)</f>
        <v>3145973.34</v>
      </c>
      <c r="BU18" s="236">
        <f>SUM($BL17:BU17)</f>
        <v>3519583.34</v>
      </c>
      <c r="BV18" s="236">
        <f>SUM($BL17:BV17)</f>
        <v>3974276.34</v>
      </c>
      <c r="BW18" s="236">
        <f>SUM($BL17:BW17)</f>
        <v>4449219.34</v>
      </c>
      <c r="BX18" s="236">
        <f>SUM($BX17:BX17)</f>
        <v>290385</v>
      </c>
      <c r="BY18" s="236">
        <f>SUM($BX17:BY17)</f>
        <v>496336</v>
      </c>
      <c r="BZ18" s="236">
        <f>SUM($BX17:BZ17)</f>
        <v>659552</v>
      </c>
      <c r="CA18" s="236">
        <f>SUM($BX17:CA17)</f>
        <v>904231</v>
      </c>
      <c r="CB18" s="236">
        <f>SUM($BX17:CB17)</f>
        <v>1050988</v>
      </c>
      <c r="CC18" s="236">
        <f>SUM($BX17:CC17)</f>
        <v>1302672</v>
      </c>
      <c r="CD18" s="236">
        <f>SUM($BX17:CD17)</f>
        <v>1475825</v>
      </c>
      <c r="CE18" s="236">
        <f>SUM($BX17:CE17)</f>
        <v>1742563.28</v>
      </c>
      <c r="CF18" s="236">
        <f>SUM($BX17:CF17)</f>
        <v>2140831.2800000003</v>
      </c>
      <c r="CG18" s="236">
        <f>SUM($BX17:CG17)</f>
        <v>2558883.2800000003</v>
      </c>
      <c r="CH18" s="236">
        <f>SUM($BX17:CH17)</f>
        <v>2847063.2800000003</v>
      </c>
      <c r="CI18" s="236">
        <f>SUM($BX17:CI17)</f>
        <v>3242138.2800000003</v>
      </c>
      <c r="CJ18" s="236">
        <f>SUM($CJ17:CJ17)</f>
        <v>243650</v>
      </c>
      <c r="CK18" s="236">
        <f>SUM($CJ17:CK17)</f>
        <v>451946</v>
      </c>
      <c r="CL18" s="236">
        <f>SUM($CJ17:CL17)</f>
        <v>1259724</v>
      </c>
      <c r="CM18" s="236">
        <f>SUM($CJ17:CM17)</f>
        <v>1111892</v>
      </c>
      <c r="CN18" s="236">
        <f>SUM($CJ17:CN17)</f>
        <v>836305</v>
      </c>
      <c r="CO18" s="236">
        <f>SUM($CJ17:CO17)</f>
        <v>3614716.8288088264</v>
      </c>
      <c r="CP18" s="236">
        <f>SUM($CJ17:CP17)</f>
        <v>4106606.0577288261</v>
      </c>
      <c r="CQ18" s="236">
        <f>SUM($CJ17:CQ17)</f>
        <v>4759389.0523688253</v>
      </c>
      <c r="CR18" s="236">
        <f>SUM($CJ17:CR17)</f>
        <v>5789449.533128825</v>
      </c>
      <c r="CS18" s="236">
        <f>SUM($CJ17:CS17)</f>
        <v>6473012.3162088245</v>
      </c>
      <c r="CT18" s="236">
        <f>SUM($CJ17:CT17)</f>
        <v>7111906.5794488247</v>
      </c>
      <c r="CU18" s="236">
        <f>SUM($CJ17:CU17)</f>
        <v>7673819.3148088232</v>
      </c>
      <c r="CV18" s="236">
        <f>SUM($CV17:CV17)</f>
        <v>630337.12667999999</v>
      </c>
      <c r="CW18" s="236">
        <f>SUM($CV17:CW17)</f>
        <v>1206799.5406400003</v>
      </c>
      <c r="CX18" s="236">
        <f>SUM($CV17:CX17)</f>
        <v>1776423.1214800004</v>
      </c>
      <c r="CY18" s="236">
        <f>SUM($CV17:CY17)</f>
        <v>2384367.0028800005</v>
      </c>
      <c r="CZ18" s="236">
        <f>SUM($CV17:CZ17)</f>
        <v>3059823.3606800004</v>
      </c>
      <c r="DA18" s="236">
        <f>SUM($CV17:DA17)</f>
        <v>3634782.4123100005</v>
      </c>
      <c r="DB18" s="236">
        <f>SUM($CV17:DB17)</f>
        <v>4217048.7602000004</v>
      </c>
      <c r="DC18" s="236">
        <f>SUM($CV17:DC17)</f>
        <v>4621864.0107800001</v>
      </c>
      <c r="DD18" s="236">
        <f>SUM($CV17:DD17)</f>
        <v>5091022.3611399997</v>
      </c>
      <c r="DE18" s="236">
        <f>SUM($CV17:DE17)</f>
        <v>5514975.62426</v>
      </c>
      <c r="DF18" s="236">
        <f>SUM($CV17:DF17)</f>
        <v>5874942.9440399995</v>
      </c>
      <c r="DG18" s="236">
        <f>SUM($CV17:DG17)</f>
        <v>5863751.5043599997</v>
      </c>
      <c r="DH18" s="236">
        <f>SUM($DH17:DH17)</f>
        <v>319745.13420599996</v>
      </c>
      <c r="DI18" s="236">
        <f>SUM($DH17:DI17)</f>
        <v>632021.711381</v>
      </c>
      <c r="DJ18" s="236">
        <f>SUM($DH17:DJ17)</f>
        <v>940513.85046800005</v>
      </c>
      <c r="DK18" s="236">
        <f>SUM($DH17:DK17)</f>
        <v>1272791.3527880001</v>
      </c>
      <c r="DL18" s="236">
        <f>SUM($DH17:DL17)</f>
        <v>1644729.5672360002</v>
      </c>
      <c r="DM18" s="236">
        <f>SUM($DH17:DM17)</f>
        <v>430195.53937016008</v>
      </c>
      <c r="DN18" s="236">
        <f>SUM($DH17:DN17)</f>
        <v>910728.67937015998</v>
      </c>
      <c r="DO18" s="236">
        <f>SUM($DH17:DO17)</f>
        <v>1402474.5918117799</v>
      </c>
      <c r="DP18" s="236">
        <f>SUM($DH17:DP17)</f>
        <v>1860660.3352306397</v>
      </c>
      <c r="DQ18" s="236">
        <f>SUM($DH17:DQ17)</f>
        <v>2642627.5113638318</v>
      </c>
      <c r="DR18" s="236">
        <f>SUM($DH17:DR17)</f>
        <v>3407338.3179892516</v>
      </c>
      <c r="DS18" s="236">
        <f>SUM($DH17:DS17)</f>
        <v>4085951.2527680714</v>
      </c>
      <c r="DT18" s="236">
        <f>SUM($DT17:DT17)</f>
        <v>850402.85396765999</v>
      </c>
      <c r="DU18" s="236">
        <f>SUM($DT17:DU17)</f>
        <v>1390035.3039676601</v>
      </c>
      <c r="DV18" s="236">
        <f>SUM($DT17:DV17)</f>
        <v>1784034.52214756</v>
      </c>
      <c r="DW18" s="236">
        <f>SUM($DT17:DW17)</f>
        <v>2204773.94615639</v>
      </c>
      <c r="DX18" s="236">
        <f>SUM($DT17:DX17)</f>
        <v>2767542.94615639</v>
      </c>
      <c r="DY18" s="236">
        <f>SUM($DT17:DY17)</f>
        <v>3306205.9521315498</v>
      </c>
      <c r="DZ18" s="236">
        <f>SUM($DT17:DZ17)</f>
        <v>3877756.0169095197</v>
      </c>
      <c r="EA18" s="236">
        <f>SUM($DT17:EA17)</f>
        <v>4830898.6033330197</v>
      </c>
      <c r="EB18" s="236">
        <f>SUM($DT17:EB17)</f>
        <v>5520202.3006817894</v>
      </c>
      <c r="EC18" s="236">
        <f>SUM($DT17:EC17)</f>
        <v>6336502.8570550699</v>
      </c>
      <c r="ED18" s="236">
        <f>SUM($DT17:ED17)</f>
        <v>7398455.3041232899</v>
      </c>
      <c r="EE18" s="236">
        <f>SUM($DT17:EE17)</f>
        <v>8963682.9536591899</v>
      </c>
    </row>
    <row r="19" spans="1:135" ht="15.6" hidden="1" x14ac:dyDescent="0.25">
      <c r="A19" s="220">
        <f t="shared" si="3"/>
        <v>16</v>
      </c>
      <c r="B19" s="28" t="s">
        <v>58</v>
      </c>
      <c r="C19" s="237">
        <v>595917.66259568185</v>
      </c>
      <c r="D19" s="237">
        <v>424009.28624014353</v>
      </c>
      <c r="E19" s="237">
        <v>79970.595018822321</v>
      </c>
      <c r="F19" s="237">
        <v>71497.662579176947</v>
      </c>
      <c r="G19" s="237">
        <v>228900.33055760033</v>
      </c>
      <c r="H19" s="237">
        <v>251325.77648599254</v>
      </c>
      <c r="I19" s="237">
        <v>274805.14459719544</v>
      </c>
      <c r="J19" s="237">
        <v>253642.95411746384</v>
      </c>
      <c r="K19" s="237">
        <v>170836.64884589514</v>
      </c>
      <c r="L19" s="237">
        <v>339036.23252967774</v>
      </c>
      <c r="M19" s="237">
        <v>398499.58044853498</v>
      </c>
      <c r="N19" s="237">
        <v>303296.53111106646</v>
      </c>
      <c r="O19" s="237">
        <v>267135.91655972006</v>
      </c>
      <c r="P19" s="237">
        <v>296196.37103320064</v>
      </c>
      <c r="Q19" s="237">
        <v>16820.082800999342</v>
      </c>
      <c r="R19" s="237">
        <v>23807.40105573996</v>
      </c>
      <c r="S19" s="237">
        <v>18358.44994738471</v>
      </c>
      <c r="T19" s="237">
        <v>44024.553356335935</v>
      </c>
      <c r="U19" s="237">
        <v>45031.927089830802</v>
      </c>
      <c r="V19" s="237">
        <v>74435.0641171397</v>
      </c>
      <c r="W19" s="237">
        <v>200710.6553451808</v>
      </c>
      <c r="X19" s="237">
        <v>262171.48152329668</v>
      </c>
      <c r="Y19" s="237">
        <v>443804.43088346825</v>
      </c>
      <c r="Z19" s="237">
        <v>393188.23965771624</v>
      </c>
      <c r="AA19" s="237">
        <v>421064.83789431828</v>
      </c>
      <c r="AB19" s="237">
        <v>214218</v>
      </c>
      <c r="AC19" s="237">
        <v>26222</v>
      </c>
      <c r="AD19" s="237">
        <v>-19717</v>
      </c>
      <c r="AE19" s="237">
        <v>149927</v>
      </c>
      <c r="AF19" s="237">
        <v>56015</v>
      </c>
      <c r="AG19" s="237">
        <v>101936</v>
      </c>
      <c r="AH19" s="237">
        <v>89099</v>
      </c>
      <c r="AI19" s="237">
        <v>219088</v>
      </c>
      <c r="AJ19" s="237">
        <v>350590</v>
      </c>
      <c r="AK19" s="237">
        <v>426822</v>
      </c>
      <c r="AL19" s="237">
        <v>427669</v>
      </c>
      <c r="AM19" s="237">
        <v>459231</v>
      </c>
      <c r="AN19" s="237">
        <v>218352.90969619396</v>
      </c>
      <c r="AO19" s="237">
        <v>28261.969336727081</v>
      </c>
      <c r="AP19" s="237">
        <v>-19422.754656418168</v>
      </c>
      <c r="AQ19" s="237">
        <v>160908.50953384326</v>
      </c>
      <c r="AR19" s="237">
        <v>72942.99889486935</v>
      </c>
      <c r="AS19" s="237">
        <v>108135.94112263076</v>
      </c>
      <c r="AT19" s="237">
        <v>88404.60251881124</v>
      </c>
      <c r="AU19" s="237">
        <v>327155.34681028157</v>
      </c>
      <c r="AV19" s="237">
        <v>376084.96727344202</v>
      </c>
      <c r="AW19" s="237">
        <v>442703.5178156097</v>
      </c>
      <c r="AX19" s="237">
        <v>483872.30439668905</v>
      </c>
      <c r="AY19" s="237">
        <v>518990.88918639277</v>
      </c>
      <c r="AZ19" s="237">
        <v>207288.02877842111</v>
      </c>
      <c r="BA19" s="237">
        <v>29399.414539887715</v>
      </c>
      <c r="BB19" s="237">
        <v>-15845.62572751494</v>
      </c>
      <c r="BC19" s="237">
        <v>240964.77334325874</v>
      </c>
      <c r="BD19" s="237">
        <v>168657.73832022975</v>
      </c>
      <c r="BE19" s="237">
        <v>47110.488688525249</v>
      </c>
      <c r="BF19" s="237">
        <v>85428.205494435271</v>
      </c>
      <c r="BG19" s="237">
        <v>308358.09909868333</v>
      </c>
      <c r="BH19" s="237">
        <v>371892.01576694153</v>
      </c>
      <c r="BI19" s="237">
        <v>411053.09029420634</v>
      </c>
      <c r="BJ19" s="237">
        <v>442707.71440040186</v>
      </c>
      <c r="BK19" s="237">
        <v>434774.79188272095</v>
      </c>
      <c r="BL19" s="237">
        <v>207288.40452616836</v>
      </c>
      <c r="BM19" s="237">
        <v>29398.5480429296</v>
      </c>
      <c r="BN19" s="237">
        <v>-16362.043017663644</v>
      </c>
      <c r="BO19" s="237">
        <v>241480.98464549801</v>
      </c>
      <c r="BP19" s="237">
        <v>168658.69169842399</v>
      </c>
      <c r="BQ19" s="237">
        <v>47110.056678535497</v>
      </c>
      <c r="BR19" s="237">
        <v>85428</v>
      </c>
      <c r="BS19" s="237">
        <v>308358.33594703203</v>
      </c>
      <c r="BT19" s="237">
        <v>371891.96032199264</v>
      </c>
      <c r="BU19" s="237">
        <v>411053.85429268703</v>
      </c>
      <c r="BV19" s="237">
        <v>442707.1035044755</v>
      </c>
      <c r="BW19" s="237">
        <v>442707.10350447497</v>
      </c>
      <c r="BX19" s="237">
        <v>363068.70716370817</v>
      </c>
      <c r="BY19" s="237">
        <v>289599.77926292788</v>
      </c>
      <c r="BZ19" s="237">
        <v>308749.15314030298</v>
      </c>
      <c r="CA19" s="237">
        <v>334039.91487054026</v>
      </c>
      <c r="CB19" s="237">
        <v>310117.76666067034</v>
      </c>
      <c r="CC19" s="237">
        <v>345387.72123097553</v>
      </c>
      <c r="CD19" s="237">
        <v>336703.72383819002</v>
      </c>
      <c r="CE19" s="237">
        <v>336932.24</v>
      </c>
      <c r="CF19" s="237">
        <v>385644.00116039714</v>
      </c>
      <c r="CG19" s="237">
        <v>352046.98738501972</v>
      </c>
      <c r="CH19" s="237">
        <v>322259.72837317345</v>
      </c>
      <c r="CI19" s="237">
        <v>417370.32440892601</v>
      </c>
      <c r="CJ19" s="237">
        <v>292678.8280955407</v>
      </c>
      <c r="CK19" s="237">
        <v>201168.62061378249</v>
      </c>
      <c r="CL19" s="237">
        <v>181072.33802735346</v>
      </c>
      <c r="CM19" s="237">
        <v>271966.90646312217</v>
      </c>
      <c r="CN19" s="237">
        <v>221552.99388321111</v>
      </c>
      <c r="CO19" s="237">
        <v>242462.32215194701</v>
      </c>
      <c r="CP19" s="237">
        <v>208857.77622472844</v>
      </c>
      <c r="CQ19" s="237">
        <v>246593.22327834909</v>
      </c>
      <c r="CR19" s="237">
        <v>370306.61660292634</v>
      </c>
      <c r="CS19" s="237">
        <v>419038.55291213235</v>
      </c>
      <c r="CT19" s="237">
        <v>346466.54065896623</v>
      </c>
      <c r="CU19" s="237">
        <v>456101.61029971624</v>
      </c>
      <c r="CV19" s="237">
        <v>781333.26017876551</v>
      </c>
      <c r="CW19" s="237">
        <v>597258.05636022182</v>
      </c>
      <c r="CX19" s="237">
        <v>607445.31456959667</v>
      </c>
      <c r="CY19" s="237">
        <v>415762.14700747409</v>
      </c>
      <c r="CZ19" s="237">
        <v>418467.11074487492</v>
      </c>
      <c r="DA19" s="237">
        <v>485531.27922837646</v>
      </c>
      <c r="DB19" s="237">
        <v>396389.11291813804</v>
      </c>
      <c r="DC19" s="237">
        <v>-331275.45721419784</v>
      </c>
      <c r="DD19" s="237">
        <v>395549.99305139692</v>
      </c>
      <c r="DE19" s="237">
        <v>299121.63087533589</v>
      </c>
      <c r="DF19" s="237">
        <v>234174.16796730401</v>
      </c>
      <c r="DG19" s="237">
        <v>412786.86960720364</v>
      </c>
      <c r="DH19" s="237">
        <v>319486.17155482358</v>
      </c>
      <c r="DI19" s="237">
        <v>297208.50247497601</v>
      </c>
      <c r="DJ19" s="237">
        <v>297209.50247497601</v>
      </c>
      <c r="DK19" s="237">
        <v>297210.50247497601</v>
      </c>
      <c r="DL19" s="237">
        <v>297211.50247497601</v>
      </c>
      <c r="DM19" s="237">
        <v>297212.50247497601</v>
      </c>
      <c r="DN19" s="237">
        <v>297213.50247497601</v>
      </c>
      <c r="DO19" s="237">
        <v>297214.50247497601</v>
      </c>
      <c r="DP19" s="237">
        <v>297215.50247497601</v>
      </c>
      <c r="DQ19" s="237">
        <v>297216.50247497601</v>
      </c>
      <c r="DR19" s="237">
        <v>297217.50247497601</v>
      </c>
      <c r="DS19" s="237">
        <v>297218.50247497601</v>
      </c>
      <c r="DT19" s="237">
        <v>400938.2045285629</v>
      </c>
      <c r="DU19" s="237">
        <v>135512.21715052164</v>
      </c>
      <c r="DV19" s="237">
        <v>56761.280904859479</v>
      </c>
      <c r="DW19" s="237">
        <v>284740.84967929329</v>
      </c>
      <c r="DX19" s="237">
        <v>100799.81441531627</v>
      </c>
      <c r="DY19" s="237">
        <v>218184.25053000794</v>
      </c>
      <c r="DZ19" s="237">
        <v>188951.85224280803</v>
      </c>
      <c r="EA19" s="237">
        <v>263802.89806969999</v>
      </c>
      <c r="EB19" s="237">
        <v>448481.54386849998</v>
      </c>
      <c r="EC19" s="237">
        <v>527661.93191569997</v>
      </c>
      <c r="ED19" s="237">
        <v>348962.76554519997</v>
      </c>
      <c r="EE19" s="237">
        <v>525202.74861200002</v>
      </c>
    </row>
    <row r="20" spans="1:135" ht="15.6" hidden="1" x14ac:dyDescent="0.25">
      <c r="A20" s="220">
        <f t="shared" si="3"/>
        <v>17</v>
      </c>
      <c r="B20" s="35" t="s">
        <v>59</v>
      </c>
      <c r="C20" s="236">
        <v>6104041.6274322215</v>
      </c>
      <c r="D20" s="236">
        <v>424009.28624014353</v>
      </c>
      <c r="E20" s="236">
        <v>503979.88125896582</v>
      </c>
      <c r="F20" s="236">
        <v>575477.54383814277</v>
      </c>
      <c r="G20" s="236">
        <v>804377.87439574313</v>
      </c>
      <c r="H20" s="236">
        <v>1055703.6508817356</v>
      </c>
      <c r="I20" s="236">
        <v>1330508.7954789312</v>
      </c>
      <c r="J20" s="236">
        <v>1584151.7495963951</v>
      </c>
      <c r="K20" s="236">
        <v>1754988.3984422903</v>
      </c>
      <c r="L20" s="236">
        <v>2094024.6309719679</v>
      </c>
      <c r="M20" s="236">
        <v>2492524.211420503</v>
      </c>
      <c r="N20" s="236">
        <v>2795820.7425315697</v>
      </c>
      <c r="O20" s="236">
        <v>3062956.6590912896</v>
      </c>
      <c r="P20" s="236">
        <v>296196.37103320064</v>
      </c>
      <c r="Q20" s="236">
        <v>313016.45383419999</v>
      </c>
      <c r="R20" s="236">
        <v>336823.85488993995</v>
      </c>
      <c r="S20" s="236">
        <v>355182.30483732466</v>
      </c>
      <c r="T20" s="236">
        <v>399206.85819366062</v>
      </c>
      <c r="U20" s="236">
        <v>444238.78528349142</v>
      </c>
      <c r="V20" s="236">
        <v>518673.84940063115</v>
      </c>
      <c r="W20" s="236">
        <v>719384.50474581192</v>
      </c>
      <c r="X20" s="236">
        <v>981555.9862691086</v>
      </c>
      <c r="Y20" s="236">
        <v>1425360.4171525768</v>
      </c>
      <c r="Z20" s="236">
        <v>1818548.656810293</v>
      </c>
      <c r="AA20" s="236">
        <v>2239613.4947046111</v>
      </c>
      <c r="AB20" s="236">
        <v>214218</v>
      </c>
      <c r="AC20" s="236">
        <v>240440</v>
      </c>
      <c r="AD20" s="236">
        <v>220723</v>
      </c>
      <c r="AE20" s="236">
        <v>370650</v>
      </c>
      <c r="AF20" s="236">
        <v>426665</v>
      </c>
      <c r="AG20" s="236">
        <v>528601</v>
      </c>
      <c r="AH20" s="236">
        <v>617700</v>
      </c>
      <c r="AI20" s="236">
        <v>836788</v>
      </c>
      <c r="AJ20" s="236">
        <v>1187378</v>
      </c>
      <c r="AK20" s="236">
        <v>1614200</v>
      </c>
      <c r="AL20" s="236">
        <v>2041869</v>
      </c>
      <c r="AM20" s="236">
        <v>2501100</v>
      </c>
      <c r="AN20" s="236">
        <v>218352.90969619396</v>
      </c>
      <c r="AO20" s="236">
        <v>246614.87903292105</v>
      </c>
      <c r="AP20" s="236">
        <v>227192.12437650288</v>
      </c>
      <c r="AQ20" s="236">
        <v>388100.63391034614</v>
      </c>
      <c r="AR20" s="236">
        <v>461043.63280521549</v>
      </c>
      <c r="AS20" s="236">
        <v>569179.57392784627</v>
      </c>
      <c r="AT20" s="236">
        <v>657584.17644665751</v>
      </c>
      <c r="AU20" s="236">
        <v>984739.52325693914</v>
      </c>
      <c r="AV20" s="236">
        <v>1360824.4905303812</v>
      </c>
      <c r="AW20" s="236">
        <v>1803528.0083459909</v>
      </c>
      <c r="AX20" s="236">
        <v>2287400.3127426798</v>
      </c>
      <c r="AY20" s="236">
        <v>2806391.2019290728</v>
      </c>
      <c r="AZ20" s="236">
        <f>SUM($AZ$19:AZ19)</f>
        <v>207288.02877842111</v>
      </c>
      <c r="BA20" s="236">
        <f>SUM($AZ$19:BA19)</f>
        <v>236687.44331830883</v>
      </c>
      <c r="BB20" s="236">
        <f>SUM($AZ$19:BB19)</f>
        <v>220841.81759079389</v>
      </c>
      <c r="BC20" s="236">
        <f>SUM($AZ$19:BC19)</f>
        <v>461806.5909340526</v>
      </c>
      <c r="BD20" s="236">
        <f>SUM($AZ$19:BD19)</f>
        <v>630464.32925428241</v>
      </c>
      <c r="BE20" s="236">
        <f>SUM($AZ$19:BE19)</f>
        <v>677574.81794280768</v>
      </c>
      <c r="BF20" s="236">
        <f>SUM($AZ$19:BF19)</f>
        <v>763003.02343724295</v>
      </c>
      <c r="BG20" s="236">
        <f>SUM($AZ$19:BG19)</f>
        <v>1071361.1225359263</v>
      </c>
      <c r="BH20" s="236">
        <f>SUM($AZ$19:BH19)</f>
        <v>1443253.1383028678</v>
      </c>
      <c r="BI20" s="236">
        <f>SUM($AZ$19:BI19)</f>
        <v>1854306.228597074</v>
      </c>
      <c r="BJ20" s="236">
        <f>SUM($AZ$19:BJ19)</f>
        <v>2297013.9429974761</v>
      </c>
      <c r="BK20" s="236">
        <f>SUM($AZ$19:BK19)</f>
        <v>2731788.7348801969</v>
      </c>
      <c r="BL20" s="236">
        <f>SUM($BL19:BL19)</f>
        <v>207288.40452616836</v>
      </c>
      <c r="BM20" s="236">
        <f>SUM($BL19:BM19)</f>
        <v>236686.95256909798</v>
      </c>
      <c r="BN20" s="236">
        <f>SUM($BL19:BN19)</f>
        <v>220324.90955143434</v>
      </c>
      <c r="BO20" s="236">
        <f>SUM($BL19:BO19)</f>
        <v>461805.89419693232</v>
      </c>
      <c r="BP20" s="236">
        <f>SUM($BL19:BP19)</f>
        <v>630464.58589535626</v>
      </c>
      <c r="BQ20" s="236">
        <f>SUM($BL19:BQ19)</f>
        <v>677574.64257389179</v>
      </c>
      <c r="BR20" s="236">
        <f>SUM($BL19:BR19)</f>
        <v>763002.64257389179</v>
      </c>
      <c r="BS20" s="236">
        <f>SUM($BL19:BS19)</f>
        <v>1071360.9785209238</v>
      </c>
      <c r="BT20" s="236">
        <f>SUM($BL19:BT19)</f>
        <v>1443252.9388429164</v>
      </c>
      <c r="BU20" s="236">
        <f>SUM($BL19:BU19)</f>
        <v>1854306.7931356034</v>
      </c>
      <c r="BV20" s="236">
        <f>SUM($BL19:BV19)</f>
        <v>2297013.8966400791</v>
      </c>
      <c r="BW20" s="236">
        <f>SUM($BL19:BW19)</f>
        <v>2739721.0001445543</v>
      </c>
      <c r="BX20" s="236">
        <f>SUM($BX19:BX19)</f>
        <v>363068.70716370817</v>
      </c>
      <c r="BY20" s="236">
        <f>SUM($BX19:BY19)</f>
        <v>652668.48642663611</v>
      </c>
      <c r="BZ20" s="236">
        <f>SUM($BX19:BZ19)</f>
        <v>961417.63956693909</v>
      </c>
      <c r="CA20" s="236">
        <f>SUM($BX19:CA19)</f>
        <v>1295457.5544374795</v>
      </c>
      <c r="CB20" s="236">
        <f>SUM($BX19:CB19)</f>
        <v>1605575.3210981498</v>
      </c>
      <c r="CC20" s="236">
        <f>SUM($BX19:CC19)</f>
        <v>1950963.0423291253</v>
      </c>
      <c r="CD20" s="236">
        <f>SUM($BX19:CD19)</f>
        <v>2287666.7661673152</v>
      </c>
      <c r="CE20" s="236">
        <f>SUM($BX19:CE19)</f>
        <v>2624599.0061673149</v>
      </c>
      <c r="CF20" s="236">
        <f>SUM($BX19:CF19)</f>
        <v>3010243.0073277121</v>
      </c>
      <c r="CG20" s="236">
        <f>SUM($BX19:CG19)</f>
        <v>3362289.9947127318</v>
      </c>
      <c r="CH20" s="236">
        <f>SUM($BX19:CH19)</f>
        <v>3684549.7230859054</v>
      </c>
      <c r="CI20" s="236">
        <f>SUM($BX19:CI19)</f>
        <v>4101920.0474948315</v>
      </c>
      <c r="CJ20" s="236">
        <f>SUM($CJ19:CJ19)</f>
        <v>292678.8280955407</v>
      </c>
      <c r="CK20" s="236">
        <f>SUM($CJ19:CK19)</f>
        <v>493847.44870932319</v>
      </c>
      <c r="CL20" s="236">
        <f>SUM($CJ19:CL19)</f>
        <v>674919.7867366767</v>
      </c>
      <c r="CM20" s="236">
        <f>SUM($CJ19:CM19)</f>
        <v>946886.69319979893</v>
      </c>
      <c r="CN20" s="236">
        <f>SUM($CJ19:CN19)</f>
        <v>1168439.6870830101</v>
      </c>
      <c r="CO20" s="236">
        <f>SUM($CJ19:CO19)</f>
        <v>1410902.0092349572</v>
      </c>
      <c r="CP20" s="236">
        <f>SUM($CJ19:CP19)</f>
        <v>1619759.7854596856</v>
      </c>
      <c r="CQ20" s="236">
        <f>SUM($CJ19:CQ19)</f>
        <v>1866353.0087380346</v>
      </c>
      <c r="CR20" s="236">
        <f>SUM($CJ19:CR19)</f>
        <v>2236659.6253409609</v>
      </c>
      <c r="CS20" s="236">
        <f>SUM($CJ19:CS19)</f>
        <v>2655698.1782530933</v>
      </c>
      <c r="CT20" s="236">
        <f>SUM($CJ19:CT19)</f>
        <v>3002164.7189120594</v>
      </c>
      <c r="CU20" s="236">
        <f>SUM($CJ19:CU19)</f>
        <v>3458266.3292117757</v>
      </c>
      <c r="CV20" s="236">
        <f>SUM($CV19:CV19)</f>
        <v>781333.26017876551</v>
      </c>
      <c r="CW20" s="236">
        <f>SUM($CV19:CW19)</f>
        <v>1378591.3165389872</v>
      </c>
      <c r="CX20" s="236">
        <f>SUM($CV19:CX19)</f>
        <v>1986036.6311085839</v>
      </c>
      <c r="CY20" s="236">
        <f>SUM($CV19:CY19)</f>
        <v>2401798.7781160581</v>
      </c>
      <c r="CZ20" s="236">
        <f>SUM($CV19:CZ19)</f>
        <v>2820265.888860933</v>
      </c>
      <c r="DA20" s="236">
        <f>SUM($CV19:DA19)</f>
        <v>3305797.1680893097</v>
      </c>
      <c r="DB20" s="236">
        <f>SUM($CV19:DB19)</f>
        <v>3702186.2810074477</v>
      </c>
      <c r="DC20" s="236">
        <f>SUM($CV19:DC19)</f>
        <v>3370910.8237932501</v>
      </c>
      <c r="DD20" s="236">
        <f>SUM($CV19:DD19)</f>
        <v>3766460.8168446468</v>
      </c>
      <c r="DE20" s="236">
        <f>SUM($CV19:DE19)</f>
        <v>4065582.4477199828</v>
      </c>
      <c r="DF20" s="236">
        <f>SUM($CV19:DF19)</f>
        <v>4299756.6156872865</v>
      </c>
      <c r="DG20" s="236">
        <f>SUM($CV19:DG19)</f>
        <v>4712543.4852944901</v>
      </c>
      <c r="DH20" s="236">
        <f>SUM($DH19:DH19)</f>
        <v>319486.17155482358</v>
      </c>
      <c r="DI20" s="236">
        <f>SUM($DH19:DI19)</f>
        <v>616694.67402979964</v>
      </c>
      <c r="DJ20" s="236">
        <f>SUM($DH19:DJ19)</f>
        <v>913904.17650477565</v>
      </c>
      <c r="DK20" s="236">
        <f>SUM($DH19:DK19)</f>
        <v>1211114.6789797517</v>
      </c>
      <c r="DL20" s="236">
        <f>SUM($DH19:DL19)</f>
        <v>1508326.1814547277</v>
      </c>
      <c r="DM20" s="236">
        <f>SUM($DH19:DM19)</f>
        <v>1805538.6839297037</v>
      </c>
      <c r="DN20" s="236">
        <f>SUM($DH19:DN19)</f>
        <v>2102752.1864046799</v>
      </c>
      <c r="DO20" s="236">
        <f>SUM($DH19:DO19)</f>
        <v>2399966.6888796557</v>
      </c>
      <c r="DP20" s="236">
        <f>SUM($DH19:DP19)</f>
        <v>2697182.1913546314</v>
      </c>
      <c r="DQ20" s="236">
        <f>SUM($DH19:DQ19)</f>
        <v>2994398.6938296072</v>
      </c>
      <c r="DR20" s="236">
        <f>SUM($DH19:DR19)</f>
        <v>3291616.196304583</v>
      </c>
      <c r="DS20" s="236">
        <f>SUM($DH19:DS19)</f>
        <v>3588834.6987795588</v>
      </c>
      <c r="DT20" s="236">
        <f>SUM($DT19:DT19)</f>
        <v>400938.2045285629</v>
      </c>
      <c r="DU20" s="236">
        <f>SUM($DT19:DU19)</f>
        <v>536450.42167908454</v>
      </c>
      <c r="DV20" s="236">
        <f>SUM($DT19:DV19)</f>
        <v>593211.70258394396</v>
      </c>
      <c r="DW20" s="236">
        <f>SUM($DT19:DW19)</f>
        <v>877952.5522632373</v>
      </c>
      <c r="DX20" s="236">
        <f>SUM($DT19:DX19)</f>
        <v>978752.36667855363</v>
      </c>
      <c r="DY20" s="236">
        <f>SUM($DT19:DY19)</f>
        <v>1196936.6172085616</v>
      </c>
      <c r="DZ20" s="236">
        <f>SUM($DT19:DZ19)</f>
        <v>1385888.4694513697</v>
      </c>
      <c r="EA20" s="236">
        <f>SUM($DT19:EA19)</f>
        <v>1649691.3675210697</v>
      </c>
      <c r="EB20" s="236">
        <f>SUM($DT19:EB19)</f>
        <v>2098172.9113895698</v>
      </c>
      <c r="EC20" s="236">
        <f>SUM($DT19:EC19)</f>
        <v>2625834.8433052697</v>
      </c>
      <c r="ED20" s="236">
        <f>SUM($DT19:ED19)</f>
        <v>2974797.6088504698</v>
      </c>
      <c r="EE20" s="236">
        <f>SUM($DT19:EE19)</f>
        <v>3500000.35746247</v>
      </c>
    </row>
    <row r="21" spans="1:135" ht="15.6" hidden="1" x14ac:dyDescent="0.25">
      <c r="A21" s="220">
        <f t="shared" si="3"/>
        <v>18</v>
      </c>
      <c r="B21" s="33" t="s">
        <v>60</v>
      </c>
      <c r="C21" s="223">
        <v>3953227.5276238676</v>
      </c>
      <c r="D21" s="223">
        <v>157938.28624014353</v>
      </c>
      <c r="E21" s="223">
        <v>237413.88125896582</v>
      </c>
      <c r="F21" s="223">
        <v>308004.54383814277</v>
      </c>
      <c r="G21" s="223">
        <v>547531.87439574313</v>
      </c>
      <c r="H21" s="223">
        <v>789625.65088173561</v>
      </c>
      <c r="I21" s="223">
        <v>1043372.7954789312</v>
      </c>
      <c r="J21" s="223">
        <v>1227659.7495963951</v>
      </c>
      <c r="K21" s="223">
        <v>1215250.3984422903</v>
      </c>
      <c r="L21" s="223">
        <v>1308569.6309719679</v>
      </c>
      <c r="M21" s="223">
        <v>1356583.1514205029</v>
      </c>
      <c r="N21" s="223">
        <v>1282049.6825315696</v>
      </c>
      <c r="O21" s="223">
        <v>1135752.6990912897</v>
      </c>
      <c r="P21" s="223">
        <v>51191.721033200651</v>
      </c>
      <c r="Q21" s="223">
        <v>63031.803834199993</v>
      </c>
      <c r="R21" s="223">
        <v>133413.20488993995</v>
      </c>
      <c r="S21" s="223">
        <v>23829.654837324633</v>
      </c>
      <c r="T21" s="223">
        <v>-106160.7918063394</v>
      </c>
      <c r="U21" s="223">
        <v>-141025.8647165086</v>
      </c>
      <c r="V21" s="223">
        <v>-156965.80059936887</v>
      </c>
      <c r="W21" s="223">
        <v>-153965.1452541881</v>
      </c>
      <c r="X21" s="223">
        <v>-238062.66373089131</v>
      </c>
      <c r="Y21" s="223">
        <v>-192460.23284742306</v>
      </c>
      <c r="Z21" s="223">
        <v>-128739.99318970693</v>
      </c>
      <c r="AA21" s="223">
        <v>-164356.15529538877</v>
      </c>
      <c r="AB21" s="223">
        <v>11636</v>
      </c>
      <c r="AC21" s="223">
        <v>64073</v>
      </c>
      <c r="AD21" s="223">
        <v>74401</v>
      </c>
      <c r="AE21" s="223">
        <v>196860</v>
      </c>
      <c r="AF21" s="223">
        <v>259372</v>
      </c>
      <c r="AG21" s="223">
        <v>287604</v>
      </c>
      <c r="AH21" s="223">
        <v>234920</v>
      </c>
      <c r="AI21" s="223">
        <v>280750</v>
      </c>
      <c r="AJ21" s="223">
        <v>365022</v>
      </c>
      <c r="AK21" s="223">
        <v>541891</v>
      </c>
      <c r="AL21" s="223">
        <v>621464</v>
      </c>
      <c r="AM21" s="223">
        <v>646618</v>
      </c>
      <c r="AN21" s="223">
        <v>76401.909696193965</v>
      </c>
      <c r="AO21" s="223">
        <v>71041.879032921046</v>
      </c>
      <c r="AP21" s="223">
        <v>30293.124376502878</v>
      </c>
      <c r="AQ21" s="223">
        <v>113880.63391034614</v>
      </c>
      <c r="AR21" s="223">
        <v>178299.4028052155</v>
      </c>
      <c r="AS21" s="223">
        <v>4505.4739278462948</v>
      </c>
      <c r="AT21" s="223">
        <v>-10752.013553342433</v>
      </c>
      <c r="AU21" s="223">
        <v>212663.77325693914</v>
      </c>
      <c r="AV21" s="223">
        <v>314585.8305303813</v>
      </c>
      <c r="AW21" s="223">
        <v>282444.12834599102</v>
      </c>
      <c r="AX21" s="223">
        <v>380565.03274268005</v>
      </c>
      <c r="AY21" s="224">
        <v>550066.91192907281</v>
      </c>
      <c r="AZ21" s="223">
        <f>AZ20-AZ18</f>
        <v>-61186.321221578866</v>
      </c>
      <c r="BA21" s="223">
        <f t="shared" ref="BA21:CH21" si="24">BA20-BA18</f>
        <v>-248759.90668169115</v>
      </c>
      <c r="BB21" s="223">
        <f t="shared" si="24"/>
        <v>-449046.26240920607</v>
      </c>
      <c r="BC21" s="223">
        <f t="shared" si="24"/>
        <v>-37777.799065947358</v>
      </c>
      <c r="BD21" s="223">
        <f t="shared" si="24"/>
        <v>-113936.40074571758</v>
      </c>
      <c r="BE21" s="223">
        <f t="shared" si="24"/>
        <v>-222038.03205719241</v>
      </c>
      <c r="BF21" s="223">
        <f t="shared" si="24"/>
        <v>-401443.2865627571</v>
      </c>
      <c r="BG21" s="223">
        <f t="shared" si="24"/>
        <v>-521163.21746407379</v>
      </c>
      <c r="BH21" s="223">
        <f t="shared" si="24"/>
        <v>-778484.58169713244</v>
      </c>
      <c r="BI21" s="223">
        <f t="shared" si="24"/>
        <v>-999437.57140292623</v>
      </c>
      <c r="BJ21" s="223">
        <f t="shared" si="24"/>
        <v>-931957.36700252444</v>
      </c>
      <c r="BK21" s="224">
        <f t="shared" si="24"/>
        <v>-839185.03511980362</v>
      </c>
      <c r="BL21" s="238">
        <f t="shared" si="24"/>
        <v>-295913.08547383163</v>
      </c>
      <c r="BM21" s="238">
        <f t="shared" si="24"/>
        <v>-730370.65743090201</v>
      </c>
      <c r="BN21" s="238">
        <f t="shared" si="24"/>
        <v>-1013711.7004485655</v>
      </c>
      <c r="BO21" s="238">
        <f t="shared" si="24"/>
        <v>-1683430.7158030677</v>
      </c>
      <c r="BP21" s="238">
        <f t="shared" si="24"/>
        <v>-1426556.0241046436</v>
      </c>
      <c r="BQ21" s="238">
        <f t="shared" si="24"/>
        <v>-1557864.9674261082</v>
      </c>
      <c r="BR21" s="238">
        <f t="shared" si="24"/>
        <v>-1753816.6974261082</v>
      </c>
      <c r="BS21" s="238">
        <f t="shared" si="24"/>
        <v>-1701698.3614790761</v>
      </c>
      <c r="BT21" s="238">
        <f t="shared" si="24"/>
        <v>-1702720.4011570835</v>
      </c>
      <c r="BU21" s="238">
        <f t="shared" si="24"/>
        <v>-1665276.5468643964</v>
      </c>
      <c r="BV21" s="238">
        <f t="shared" si="24"/>
        <v>-1677262.4433599208</v>
      </c>
      <c r="BW21" s="239">
        <f t="shared" si="24"/>
        <v>-1709498.3398554455</v>
      </c>
      <c r="BX21" s="238">
        <f t="shared" si="24"/>
        <v>72683.707163708168</v>
      </c>
      <c r="BY21" s="238">
        <f t="shared" si="24"/>
        <v>156332.48642663611</v>
      </c>
      <c r="BZ21" s="238">
        <f t="shared" si="24"/>
        <v>301865.63956693909</v>
      </c>
      <c r="CA21" s="238">
        <f t="shared" si="24"/>
        <v>391226.55443747947</v>
      </c>
      <c r="CB21" s="238">
        <f t="shared" si="24"/>
        <v>554587.32109814975</v>
      </c>
      <c r="CC21" s="238">
        <f t="shared" si="24"/>
        <v>648291.04232912534</v>
      </c>
      <c r="CD21" s="238">
        <f t="shared" si="24"/>
        <v>811841.76616731519</v>
      </c>
      <c r="CE21" s="238">
        <f t="shared" si="24"/>
        <v>882035.72616731492</v>
      </c>
      <c r="CF21" s="238">
        <f t="shared" si="24"/>
        <v>869411.72732771188</v>
      </c>
      <c r="CG21" s="238">
        <f t="shared" si="24"/>
        <v>803406.71471273154</v>
      </c>
      <c r="CH21" s="238">
        <f t="shared" si="24"/>
        <v>837486.44308590516</v>
      </c>
      <c r="CI21" s="239">
        <f>CI20-CI18</f>
        <v>859781.76749483123</v>
      </c>
      <c r="CJ21" s="238">
        <f>CJ20-CJ18</f>
        <v>49028.828095540695</v>
      </c>
      <c r="CK21" s="238">
        <f t="shared" ref="CK21:CP21" si="25">CK20-CK18</f>
        <v>41901.448709323187</v>
      </c>
      <c r="CL21" s="238">
        <f t="shared" si="25"/>
        <v>-584804.2132633233</v>
      </c>
      <c r="CM21" s="238">
        <f t="shared" si="25"/>
        <v>-165005.30680020107</v>
      </c>
      <c r="CN21" s="238">
        <f t="shared" si="25"/>
        <v>332134.6870830101</v>
      </c>
      <c r="CO21" s="238">
        <f t="shared" si="25"/>
        <v>-2203814.819573869</v>
      </c>
      <c r="CP21" s="238">
        <f t="shared" si="25"/>
        <v>-2486846.2722691405</v>
      </c>
      <c r="CQ21" s="238">
        <f>CQ20-CQ18</f>
        <v>-2893036.0436307909</v>
      </c>
      <c r="CR21" s="238">
        <f>CR20-CR18</f>
        <v>-3552789.9077878641</v>
      </c>
      <c r="CS21" s="238">
        <f>CS20-CS18</f>
        <v>-3817314.1379557312</v>
      </c>
      <c r="CT21" s="238">
        <f>CT20-CT18</f>
        <v>-4109741.8605367653</v>
      </c>
      <c r="CU21" s="239">
        <f t="shared" ref="CU21:DI21" si="26">CU20-CU18</f>
        <v>-4215552.985597048</v>
      </c>
      <c r="CV21" s="238">
        <f t="shared" si="26"/>
        <v>150996.13349876553</v>
      </c>
      <c r="CW21" s="238">
        <f t="shared" si="26"/>
        <v>171791.77589898696</v>
      </c>
      <c r="CX21" s="238">
        <f t="shared" si="26"/>
        <v>209613.50962858344</v>
      </c>
      <c r="CY21" s="238">
        <f t="shared" si="26"/>
        <v>17431.775236057583</v>
      </c>
      <c r="CZ21" s="238">
        <f t="shared" si="26"/>
        <v>-239557.47181906737</v>
      </c>
      <c r="DA21" s="238">
        <f t="shared" si="26"/>
        <v>-328985.2442206908</v>
      </c>
      <c r="DB21" s="238">
        <f t="shared" si="26"/>
        <v>-514862.47919255262</v>
      </c>
      <c r="DC21" s="238">
        <f t="shared" si="26"/>
        <v>-1250953.18698675</v>
      </c>
      <c r="DD21" s="238">
        <f t="shared" si="26"/>
        <v>-1324561.5442953529</v>
      </c>
      <c r="DE21" s="238">
        <f t="shared" si="26"/>
        <v>-1449393.1765400171</v>
      </c>
      <c r="DF21" s="238">
        <f t="shared" si="26"/>
        <v>-1575186.328352713</v>
      </c>
      <c r="DG21" s="239">
        <f t="shared" si="26"/>
        <v>-1151208.0190655096</v>
      </c>
      <c r="DH21" s="238">
        <f t="shared" si="26"/>
        <v>-258.96265117637813</v>
      </c>
      <c r="DI21" s="238">
        <f t="shared" si="26"/>
        <v>-15327.037351200357</v>
      </c>
      <c r="DJ21" s="238">
        <f>DJ20-DJ18</f>
        <v>-26609.673963224399</v>
      </c>
      <c r="DK21" s="238">
        <f>DK20-DK18</f>
        <v>-61676.673808248481</v>
      </c>
      <c r="DL21" s="238">
        <f>DL20-DL18</f>
        <v>-136403.38578127255</v>
      </c>
      <c r="DM21" s="238">
        <f>DM20-DM18</f>
        <v>1375343.1445595436</v>
      </c>
      <c r="DN21" s="238">
        <f>DN20-DN18</f>
        <v>1192023.5070345199</v>
      </c>
      <c r="DO21" s="238">
        <f t="shared" ref="DO21:DZ21" si="27">DO20-DO18</f>
        <v>997492.09706787579</v>
      </c>
      <c r="DP21" s="238">
        <f t="shared" si="27"/>
        <v>836521.85612399178</v>
      </c>
      <c r="DQ21" s="238">
        <f t="shared" si="27"/>
        <v>351771.1824657754</v>
      </c>
      <c r="DR21" s="238">
        <f t="shared" si="27"/>
        <v>-115722.12168466859</v>
      </c>
      <c r="DS21" s="239">
        <f t="shared" si="27"/>
        <v>-497116.55398851261</v>
      </c>
      <c r="DT21" s="238">
        <f t="shared" si="27"/>
        <v>-449464.64943909709</v>
      </c>
      <c r="DU21" s="238">
        <f t="shared" si="27"/>
        <v>-853584.88228857552</v>
      </c>
      <c r="DV21" s="238">
        <f t="shared" si="27"/>
        <v>-1190822.8195636161</v>
      </c>
      <c r="DW21" s="238">
        <f t="shared" si="27"/>
        <v>-1326821.3938931527</v>
      </c>
      <c r="DX21" s="238">
        <f t="shared" si="27"/>
        <v>-1788790.5794778364</v>
      </c>
      <c r="DY21" s="238">
        <f t="shared" si="27"/>
        <v>-2109269.334922988</v>
      </c>
      <c r="DZ21" s="238">
        <f t="shared" si="27"/>
        <v>-2491867.54745815</v>
      </c>
      <c r="EA21" s="238">
        <f>EA20-EA18</f>
        <v>-3181207.2358119497</v>
      </c>
      <c r="EB21" s="238">
        <f>EB20-EB18</f>
        <v>-3422029.3892922197</v>
      </c>
      <c r="EC21" s="238">
        <f>EC20-EC18</f>
        <v>-3710668.0137498002</v>
      </c>
      <c r="ED21" s="238">
        <f>ED20-ED18</f>
        <v>-4423657.6952728201</v>
      </c>
      <c r="EE21" s="238">
        <f>EE20-EE18</f>
        <v>-5463682.5961967204</v>
      </c>
    </row>
    <row r="22" spans="1:135" ht="15.6" hidden="1" x14ac:dyDescent="0.25">
      <c r="A22" s="220">
        <f t="shared" si="3"/>
        <v>19</v>
      </c>
      <c r="B22" s="22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36"/>
      <c r="BH22" s="36"/>
      <c r="BI22" s="36"/>
      <c r="BJ22" s="36"/>
      <c r="BK22" s="36"/>
      <c r="BL22" s="36"/>
      <c r="BM22" s="36"/>
      <c r="BN22" s="36"/>
      <c r="BO22" s="233"/>
      <c r="BP22" s="233"/>
      <c r="BQ22" s="233"/>
      <c r="BR22" s="233"/>
      <c r="BS22" s="233"/>
      <c r="BT22" s="233"/>
      <c r="BU22" s="233"/>
      <c r="BV22" s="233"/>
      <c r="BW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</row>
    <row r="23" spans="1:135" ht="15.6" hidden="1" x14ac:dyDescent="0.25">
      <c r="A23" s="220">
        <f t="shared" si="3"/>
        <v>20</v>
      </c>
      <c r="B23" s="22" t="s">
        <v>61</v>
      </c>
      <c r="C23" s="36">
        <v>200907000</v>
      </c>
      <c r="D23" s="36">
        <v>196898000</v>
      </c>
      <c r="E23" s="36">
        <v>186305000</v>
      </c>
      <c r="F23" s="36">
        <v>173059000</v>
      </c>
      <c r="G23" s="36">
        <v>174171000</v>
      </c>
      <c r="H23" s="36">
        <v>202983000</v>
      </c>
      <c r="I23" s="36">
        <v>227529000</v>
      </c>
      <c r="J23" s="36">
        <v>245303000</v>
      </c>
      <c r="K23" s="36">
        <v>244901000</v>
      </c>
      <c r="L23" s="36">
        <v>249782000</v>
      </c>
      <c r="M23" s="36">
        <v>221754000</v>
      </c>
      <c r="N23" s="36">
        <v>194403000</v>
      </c>
      <c r="O23" s="36">
        <v>185336000</v>
      </c>
      <c r="P23" s="36">
        <v>194967000</v>
      </c>
      <c r="Q23" s="36">
        <v>181166000</v>
      </c>
      <c r="R23" s="36">
        <v>173390000</v>
      </c>
      <c r="S23" s="36">
        <v>177075000</v>
      </c>
      <c r="T23" s="36">
        <v>200257000</v>
      </c>
      <c r="U23" s="36">
        <v>230877000</v>
      </c>
      <c r="V23" s="36">
        <v>239401000</v>
      </c>
      <c r="W23" s="36">
        <v>242561000</v>
      </c>
      <c r="X23" s="36">
        <v>252107000</v>
      </c>
      <c r="Y23" s="36">
        <v>227299000</v>
      </c>
      <c r="Z23" s="36">
        <v>201139000</v>
      </c>
      <c r="AA23" s="36">
        <v>185681000</v>
      </c>
      <c r="AB23" s="36">
        <v>203295750</v>
      </c>
      <c r="AC23" s="36">
        <v>170731200</v>
      </c>
      <c r="AD23" s="36">
        <v>172014600</v>
      </c>
      <c r="AE23" s="36">
        <v>178687700</v>
      </c>
      <c r="AF23" s="36">
        <v>202783300</v>
      </c>
      <c r="AG23" s="36">
        <v>233629500</v>
      </c>
      <c r="AH23" s="36">
        <v>239115600</v>
      </c>
      <c r="AI23" s="36">
        <v>252949300</v>
      </c>
      <c r="AJ23" s="36">
        <v>259100000</v>
      </c>
      <c r="AK23" s="36">
        <v>278416889.46600002</v>
      </c>
      <c r="AL23" s="36">
        <v>197569600</v>
      </c>
      <c r="AM23" s="36">
        <v>189614300</v>
      </c>
      <c r="AN23" s="36">
        <v>196714426</v>
      </c>
      <c r="AO23" s="36">
        <v>186728350</v>
      </c>
      <c r="AP23" s="36">
        <v>186095951</v>
      </c>
      <c r="AQ23" s="36">
        <v>202450878</v>
      </c>
      <c r="AR23" s="36">
        <v>239466634</v>
      </c>
      <c r="AS23" s="36">
        <v>247024895</v>
      </c>
      <c r="AT23" s="36">
        <v>251811163</v>
      </c>
      <c r="AU23" s="36">
        <v>266287307</v>
      </c>
      <c r="AV23" s="36">
        <v>256610400</v>
      </c>
      <c r="AW23" s="36">
        <v>214413300</v>
      </c>
      <c r="AX23" s="36">
        <v>205458100</v>
      </c>
      <c r="AY23" s="36">
        <v>194933100</v>
      </c>
      <c r="AZ23" s="36">
        <f>+AZ37</f>
        <v>199043188</v>
      </c>
      <c r="BA23" s="36">
        <v>183875466</v>
      </c>
      <c r="BB23" s="36">
        <v>171516200</v>
      </c>
      <c r="BC23" s="36">
        <f>+BC37</f>
        <v>186853809.67000002</v>
      </c>
      <c r="BD23" s="36">
        <v>215225360</v>
      </c>
      <c r="BE23" s="36">
        <v>227942633</v>
      </c>
      <c r="BF23" s="36">
        <f>+BE23</f>
        <v>227942633</v>
      </c>
      <c r="BG23" s="36">
        <f t="shared" ref="BG23:CP23" si="28">+BG37</f>
        <v>241649328.94</v>
      </c>
      <c r="BH23" s="36">
        <f t="shared" si="28"/>
        <v>257554381.44999999</v>
      </c>
      <c r="BI23" s="36">
        <f t="shared" si="28"/>
        <v>228983374.65000001</v>
      </c>
      <c r="BJ23" s="36">
        <f t="shared" si="28"/>
        <v>194420416.38</v>
      </c>
      <c r="BK23" s="36">
        <f t="shared" si="28"/>
        <v>186716853.24000001</v>
      </c>
      <c r="BL23" s="36">
        <f t="shared" si="28"/>
        <v>195270719.7854735</v>
      </c>
      <c r="BM23" s="36">
        <f t="shared" si="28"/>
        <v>184273505.92840606</v>
      </c>
      <c r="BN23" s="36">
        <f t="shared" si="28"/>
        <v>181172247.72132209</v>
      </c>
      <c r="BO23" s="27">
        <f t="shared" si="28"/>
        <v>185712649.69846004</v>
      </c>
      <c r="BP23" s="27">
        <f t="shared" si="28"/>
        <v>199338803.99098012</v>
      </c>
      <c r="BQ23" s="27">
        <f t="shared" si="28"/>
        <v>226347002.92788851</v>
      </c>
      <c r="BR23" s="27">
        <f t="shared" si="28"/>
        <v>241860230.88367841</v>
      </c>
      <c r="BS23" s="27">
        <f t="shared" si="28"/>
        <v>240930331.91284317</v>
      </c>
      <c r="BT23" s="27">
        <f t="shared" si="28"/>
        <v>269789507.47247279</v>
      </c>
      <c r="BU23" s="27">
        <f t="shared" si="28"/>
        <v>237421501.31210586</v>
      </c>
      <c r="BV23" s="27">
        <f t="shared" si="28"/>
        <v>208991460.56272668</v>
      </c>
      <c r="BW23" s="27">
        <f t="shared" si="28"/>
        <v>198950670.49957073</v>
      </c>
      <c r="BX23" s="27">
        <f t="shared" si="28"/>
        <v>189908337.361</v>
      </c>
      <c r="BY23" s="27">
        <f t="shared" si="28"/>
        <v>181837244.655</v>
      </c>
      <c r="BZ23" s="27">
        <f t="shared" si="28"/>
        <v>178751693.93565169</v>
      </c>
      <c r="CA23" s="27">
        <f t="shared" si="28"/>
        <v>193967203.03516483</v>
      </c>
      <c r="CB23" s="27">
        <f t="shared" si="28"/>
        <v>225958225.72514156</v>
      </c>
      <c r="CC23" s="27">
        <f t="shared" si="28"/>
        <v>255898466.41327474</v>
      </c>
      <c r="CD23" s="27">
        <f t="shared" si="28"/>
        <v>252385587</v>
      </c>
      <c r="CE23" s="27">
        <f t="shared" si="28"/>
        <v>254257270.41321</v>
      </c>
      <c r="CF23" s="27">
        <f t="shared" si="28"/>
        <v>264248213.75299999</v>
      </c>
      <c r="CG23" s="27">
        <f t="shared" si="28"/>
        <v>239062633.79617301</v>
      </c>
      <c r="CH23" s="27">
        <f t="shared" si="28"/>
        <v>216897204.40156075</v>
      </c>
      <c r="CI23" s="27">
        <f t="shared" si="28"/>
        <v>186670575</v>
      </c>
      <c r="CJ23" s="27">
        <f t="shared" si="28"/>
        <v>180680783.55567604</v>
      </c>
      <c r="CK23" s="27">
        <f t="shared" si="28"/>
        <v>190100574.21779633</v>
      </c>
      <c r="CL23" s="27">
        <f t="shared" si="28"/>
        <v>202561400.09276795</v>
      </c>
      <c r="CM23" s="27">
        <f t="shared" si="28"/>
        <v>214365383.41266745</v>
      </c>
      <c r="CN23" s="27">
        <f t="shared" si="28"/>
        <v>221794583.15453812</v>
      </c>
      <c r="CO23" s="27">
        <f t="shared" si="28"/>
        <v>239863283.37009305</v>
      </c>
      <c r="CP23" s="27">
        <f t="shared" si="28"/>
        <v>253342121.21371347</v>
      </c>
      <c r="CQ23" s="27">
        <f>+CQ37</f>
        <v>254677306.71737221</v>
      </c>
      <c r="CR23" s="27">
        <f>+CR37</f>
        <v>264617456.57813844</v>
      </c>
      <c r="CS23" s="27">
        <f>+CS37</f>
        <v>245600357.38637617</v>
      </c>
      <c r="CT23" s="27">
        <f>+CT37</f>
        <v>220669408.41900176</v>
      </c>
      <c r="CU23" s="27">
        <f t="shared" ref="CU23:DZ23" si="29">+CU37</f>
        <v>202158411.70603776</v>
      </c>
      <c r="CV23" s="27">
        <f t="shared" si="29"/>
        <v>210063284.24094146</v>
      </c>
      <c r="CW23" s="27">
        <f t="shared" si="29"/>
        <v>202709568.99266127</v>
      </c>
      <c r="CX23" s="27">
        <f t="shared" si="29"/>
        <v>194127114.34049273</v>
      </c>
      <c r="CY23" s="27">
        <f t="shared" si="29"/>
        <v>201252971.16421703</v>
      </c>
      <c r="CZ23" s="27">
        <f t="shared" si="29"/>
        <v>238132806.76475263</v>
      </c>
      <c r="DA23" s="27">
        <f t="shared" si="29"/>
        <v>259410211.13740206</v>
      </c>
      <c r="DB23" s="27">
        <f t="shared" si="29"/>
        <v>271135317.45633</v>
      </c>
      <c r="DC23" s="27">
        <f t="shared" si="29"/>
        <v>280636843.42966896</v>
      </c>
      <c r="DD23" s="27">
        <f t="shared" si="29"/>
        <v>294083941.75602031</v>
      </c>
      <c r="DE23" s="27">
        <f t="shared" si="29"/>
        <v>282891118.04961526</v>
      </c>
      <c r="DF23" s="27">
        <f t="shared" si="29"/>
        <v>232854077.71322718</v>
      </c>
      <c r="DG23" s="27">
        <f t="shared" si="29"/>
        <v>231800530.56102684</v>
      </c>
      <c r="DH23" s="27">
        <f t="shared" si="29"/>
        <v>240658952.48008311</v>
      </c>
      <c r="DI23" s="27">
        <f t="shared" si="29"/>
        <v>234954529.50466916</v>
      </c>
      <c r="DJ23" s="27">
        <f t="shared" si="29"/>
        <v>224413905.43246907</v>
      </c>
      <c r="DK23" s="27">
        <f t="shared" si="29"/>
        <v>248272132.0812183</v>
      </c>
      <c r="DL23" s="27">
        <f t="shared" si="29"/>
        <v>285364299.31489778</v>
      </c>
      <c r="DM23" s="27">
        <f t="shared" si="29"/>
        <v>313947913.05004579</v>
      </c>
      <c r="DN23" s="27">
        <f t="shared" si="29"/>
        <v>346084710.21506256</v>
      </c>
      <c r="DO23" s="27">
        <f t="shared" si="29"/>
        <v>329731242.63763267</v>
      </c>
      <c r="DP23" s="27">
        <f t="shared" si="29"/>
        <v>330050338.58599389</v>
      </c>
      <c r="DQ23" s="27">
        <f t="shared" si="29"/>
        <v>296418788.80652004</v>
      </c>
      <c r="DR23" s="27">
        <f t="shared" si="29"/>
        <v>272868646.67958498</v>
      </c>
      <c r="DS23" s="27">
        <f t="shared" si="29"/>
        <v>265198148.21853784</v>
      </c>
      <c r="DT23" s="27">
        <f t="shared" si="29"/>
        <v>312089723.05335075</v>
      </c>
      <c r="DU23" s="27">
        <f t="shared" si="29"/>
        <v>284084636.76478153</v>
      </c>
      <c r="DV23" s="27">
        <f t="shared" si="29"/>
        <v>285509643.19333005</v>
      </c>
      <c r="DW23" s="27">
        <f t="shared" si="29"/>
        <v>337329461.17479247</v>
      </c>
      <c r="DX23" s="27">
        <f t="shared" si="29"/>
        <v>346493794.20380169</v>
      </c>
      <c r="DY23" s="27">
        <f t="shared" si="29"/>
        <v>388331659.92679679</v>
      </c>
      <c r="DZ23" s="27">
        <f t="shared" si="29"/>
        <v>433799607.54498088</v>
      </c>
      <c r="EA23" s="27">
        <f>+EA37</f>
        <v>445686381.09271204</v>
      </c>
      <c r="EB23" s="27">
        <f>+EB37</f>
        <v>440512799.2603811</v>
      </c>
      <c r="EC23" s="27">
        <f>+EC37</f>
        <v>382192348.72973585</v>
      </c>
      <c r="ED23" s="27">
        <f>+ED37</f>
        <v>340709390.65690321</v>
      </c>
      <c r="EE23" s="27">
        <f>+EE37</f>
        <v>335652159.62752461</v>
      </c>
    </row>
    <row r="24" spans="1:135" ht="15.6" hidden="1" x14ac:dyDescent="0.25">
      <c r="A24" s="220">
        <f t="shared" si="3"/>
        <v>21</v>
      </c>
      <c r="B24" s="22" t="s">
        <v>62</v>
      </c>
      <c r="C24" s="36">
        <v>245173.47789490363</v>
      </c>
      <c r="D24" s="36">
        <v>234267.79762299312</v>
      </c>
      <c r="E24" s="36">
        <v>229865.00277482881</v>
      </c>
      <c r="F24" s="36">
        <v>215343.82641536419</v>
      </c>
      <c r="G24" s="36">
        <v>209191.5672730261</v>
      </c>
      <c r="H24" s="36">
        <v>237867.54945642516</v>
      </c>
      <c r="I24" s="36">
        <v>264932.97766296624</v>
      </c>
      <c r="J24" s="36">
        <v>278385.21951702482</v>
      </c>
      <c r="K24" s="36">
        <v>283602.03032138001</v>
      </c>
      <c r="L24" s="36">
        <v>286402.61531031731</v>
      </c>
      <c r="M24" s="36">
        <v>243117.56687177083</v>
      </c>
      <c r="N24" s="36">
        <v>207598.19151011444</v>
      </c>
      <c r="O24" s="36">
        <v>195292.54204764857</v>
      </c>
      <c r="P24" s="36">
        <v>201589.35578725094</v>
      </c>
      <c r="Q24" s="36">
        <v>187759.42943480253</v>
      </c>
      <c r="R24" s="36">
        <v>174350.99881626002</v>
      </c>
      <c r="S24" s="36">
        <v>188206.81356647451</v>
      </c>
      <c r="T24" s="36">
        <v>227089.89959599165</v>
      </c>
      <c r="U24" s="36">
        <v>266934.62009545066</v>
      </c>
      <c r="V24" s="36">
        <v>279832.34508081438</v>
      </c>
      <c r="W24" s="36">
        <v>283819.36883110704</v>
      </c>
      <c r="X24" s="36">
        <v>303539.48190098611</v>
      </c>
      <c r="Y24" s="36">
        <v>274737.5148152216</v>
      </c>
      <c r="Z24" s="36">
        <v>237179.49517351904</v>
      </c>
      <c r="AA24" s="36">
        <v>222351.63050105594</v>
      </c>
      <c r="AB24" s="36">
        <v>239828.45456672169</v>
      </c>
      <c r="AC24" s="36">
        <v>199820.60723115728</v>
      </c>
      <c r="AD24" s="36">
        <v>201292.62588783455</v>
      </c>
      <c r="AE24" s="36">
        <v>201670.72171002961</v>
      </c>
      <c r="AF24" s="36">
        <v>214010.82742604101</v>
      </c>
      <c r="AG24" s="36">
        <v>246049.67332542493</v>
      </c>
      <c r="AH24" s="36">
        <v>255979.51836284029</v>
      </c>
      <c r="AI24" s="36">
        <v>265906.05566040502</v>
      </c>
      <c r="AJ24" s="36">
        <v>265649.35663796612</v>
      </c>
      <c r="AK24" s="36">
        <v>268291.93085679371</v>
      </c>
      <c r="AL24" s="36">
        <v>190936.8275420783</v>
      </c>
      <c r="AM24" s="36">
        <v>181099.29391051186</v>
      </c>
      <c r="AN24" s="36">
        <v>181136.08281255781</v>
      </c>
      <c r="AO24" s="36">
        <v>174832.66918534573</v>
      </c>
      <c r="AP24" s="36">
        <v>178342.66474061279</v>
      </c>
      <c r="AQ24" s="36">
        <v>196530.22881366091</v>
      </c>
      <c r="AR24" s="36">
        <v>230668.30747455271</v>
      </c>
      <c r="AS24" s="36">
        <v>264700.48014727217</v>
      </c>
      <c r="AT24" s="36">
        <v>269196.08230479603</v>
      </c>
      <c r="AU24" s="36">
        <v>277233.25831295154</v>
      </c>
      <c r="AV24" s="36">
        <v>268512.1192648508</v>
      </c>
      <c r="AW24" s="36">
        <v>245041.65664836121</v>
      </c>
      <c r="AX24" s="36">
        <v>236492.03740587758</v>
      </c>
      <c r="AY24" s="36">
        <v>216480.37675647938</v>
      </c>
      <c r="AZ24" s="36">
        <f t="shared" ref="AZ24:CP24" si="30">+AZ23*AZ13</f>
        <v>232035.26602125858</v>
      </c>
      <c r="BA24" s="36">
        <f t="shared" si="30"/>
        <v>216176.30592748453</v>
      </c>
      <c r="BB24" s="36">
        <f t="shared" si="30"/>
        <v>231186.6212541979</v>
      </c>
      <c r="BC24" s="36">
        <f t="shared" si="30"/>
        <v>232701.502964635</v>
      </c>
      <c r="BD24" s="36">
        <f t="shared" si="30"/>
        <v>293147.89709754469</v>
      </c>
      <c r="BE24" s="36">
        <f t="shared" si="30"/>
        <v>298864.5266134782</v>
      </c>
      <c r="BF24" s="36">
        <f>+BF23*BF13</f>
        <v>312010.06370504311</v>
      </c>
      <c r="BG24" s="36">
        <f t="shared" si="30"/>
        <v>365957.62565872399</v>
      </c>
      <c r="BH24" s="36">
        <f t="shared" si="30"/>
        <v>428930.85966385715</v>
      </c>
      <c r="BI24" s="36">
        <f t="shared" si="30"/>
        <v>403358.05842506915</v>
      </c>
      <c r="BJ24" s="36">
        <f t="shared" si="30"/>
        <v>347209.6433931709</v>
      </c>
      <c r="BK24" s="36">
        <f t="shared" si="30"/>
        <v>332940.71938288369</v>
      </c>
      <c r="BL24" s="36">
        <f t="shared" si="30"/>
        <v>369583.92548873002</v>
      </c>
      <c r="BM24" s="36">
        <f t="shared" si="30"/>
        <v>387094.29277672095</v>
      </c>
      <c r="BN24" s="36">
        <f t="shared" si="30"/>
        <v>375050.68600930268</v>
      </c>
      <c r="BO24" s="27">
        <f t="shared" si="30"/>
        <v>430727.37810260867</v>
      </c>
      <c r="BP24" s="27">
        <f t="shared" si="30"/>
        <v>476955.93724043196</v>
      </c>
      <c r="BQ24" s="27">
        <f t="shared" si="30"/>
        <v>535381.44111623615</v>
      </c>
      <c r="BR24" s="27">
        <f t="shared" si="30"/>
        <v>574119.19834809238</v>
      </c>
      <c r="BS24" s="27">
        <f t="shared" si="30"/>
        <v>560633.64211446932</v>
      </c>
      <c r="BT24" s="27">
        <f t="shared" si="30"/>
        <v>596561.78631759353</v>
      </c>
      <c r="BU24" s="27">
        <f t="shared" si="30"/>
        <v>499273.66588678584</v>
      </c>
      <c r="BV24" s="27">
        <f t="shared" si="30"/>
        <v>447299.32254063018</v>
      </c>
      <c r="BW24" s="27">
        <f t="shared" si="30"/>
        <v>435862.75507602684</v>
      </c>
      <c r="BX24" s="27">
        <f t="shared" si="30"/>
        <v>399958.88587021775</v>
      </c>
      <c r="BY24" s="27">
        <f t="shared" si="30"/>
        <v>361541.1586814078</v>
      </c>
      <c r="BZ24" s="27">
        <f t="shared" si="30"/>
        <v>344861.66227724199</v>
      </c>
      <c r="CA24" s="27">
        <f t="shared" si="30"/>
        <v>365214.48955074954</v>
      </c>
      <c r="CB24" s="27">
        <f t="shared" si="30"/>
        <v>399097.13700193248</v>
      </c>
      <c r="CC24" s="27">
        <f t="shared" si="30"/>
        <v>462595.28451799735</v>
      </c>
      <c r="CD24" s="27">
        <f t="shared" si="30"/>
        <v>450188.05601095111</v>
      </c>
      <c r="CE24" s="27">
        <f t="shared" si="30"/>
        <v>450400.64112143946</v>
      </c>
      <c r="CF24" s="27">
        <f t="shared" si="30"/>
        <v>470350.61420896836</v>
      </c>
      <c r="CG24" s="27">
        <f t="shared" si="30"/>
        <v>424772.94410902692</v>
      </c>
      <c r="CH24" s="27">
        <f t="shared" si="30"/>
        <v>368632.73180542758</v>
      </c>
      <c r="CI24" s="27">
        <f t="shared" si="30"/>
        <v>314927.22951122961</v>
      </c>
      <c r="CJ24" s="27">
        <f t="shared" si="30"/>
        <v>300115.5791756945</v>
      </c>
      <c r="CK24" s="27">
        <f t="shared" si="30"/>
        <v>311270.81590124738</v>
      </c>
      <c r="CL24" s="27">
        <f t="shared" si="30"/>
        <v>306294.41782562225</v>
      </c>
      <c r="CM24" s="27">
        <f t="shared" si="30"/>
        <v>277805.81842521118</v>
      </c>
      <c r="CN24" s="27">
        <f t="shared" si="30"/>
        <v>284490.21975839295</v>
      </c>
      <c r="CO24" s="27">
        <f t="shared" si="30"/>
        <v>264261.78549206845</v>
      </c>
      <c r="CP24" s="27">
        <f t="shared" si="30"/>
        <v>231356.62417335674</v>
      </c>
      <c r="CQ24" s="27">
        <f>+CQ23*CQ13</f>
        <v>174651.23358260907</v>
      </c>
      <c r="CR24" s="27">
        <f>+CR23*CR13</f>
        <v>161396.27470695018</v>
      </c>
      <c r="CS24" s="27">
        <f>+CS23*CS13</f>
        <v>317541.22345454135</v>
      </c>
      <c r="CT24" s="27">
        <f>+CT23*CT13</f>
        <v>297769.47171180922</v>
      </c>
      <c r="CU24" s="27">
        <f t="shared" ref="CU24:DZ24" si="31">+CU23*CU13</f>
        <v>361642.00678066112</v>
      </c>
      <c r="CV24" s="27">
        <f t="shared" si="31"/>
        <v>385920.63471981708</v>
      </c>
      <c r="CW24" s="27">
        <f t="shared" si="31"/>
        <v>393168.75072586327</v>
      </c>
      <c r="CX24" s="27">
        <f t="shared" si="31"/>
        <v>431457.10536861676</v>
      </c>
      <c r="CY24" s="27">
        <f t="shared" si="31"/>
        <v>494540.48378448526</v>
      </c>
      <c r="CZ24" s="27">
        <f t="shared" si="31"/>
        <v>574875.19430674752</v>
      </c>
      <c r="DA24" s="27">
        <f t="shared" si="31"/>
        <v>695435.4510006659</v>
      </c>
      <c r="DB24" s="27">
        <f t="shared" si="31"/>
        <v>802890.53793921287</v>
      </c>
      <c r="DC24" s="27">
        <f t="shared" si="31"/>
        <v>866155.41171856283</v>
      </c>
      <c r="DD24" s="27">
        <f t="shared" si="31"/>
        <v>1211599.0459727703</v>
      </c>
      <c r="DE24" s="27">
        <f t="shared" si="31"/>
        <v>967472.78613824339</v>
      </c>
      <c r="DF24" s="27">
        <f t="shared" si="31"/>
        <v>801481.28960089339</v>
      </c>
      <c r="DG24" s="27">
        <f t="shared" si="31"/>
        <v>712217.30373147107</v>
      </c>
      <c r="DH24" s="27">
        <f t="shared" si="31"/>
        <v>706681.38572549098</v>
      </c>
      <c r="DI24" s="27">
        <f t="shared" si="31"/>
        <v>679362.27027656895</v>
      </c>
      <c r="DJ24" s="27">
        <f t="shared" si="31"/>
        <v>627632.1642680153</v>
      </c>
      <c r="DK24" s="27">
        <f t="shared" si="31"/>
        <v>693170.75521338475</v>
      </c>
      <c r="DL24" s="27">
        <f t="shared" si="31"/>
        <v>835136.86960557511</v>
      </c>
      <c r="DM24" s="27">
        <f t="shared" si="31"/>
        <v>902061.10774312133</v>
      </c>
      <c r="DN24" s="27">
        <f t="shared" si="31"/>
        <v>987851.12825663015</v>
      </c>
      <c r="DO24" s="27">
        <f t="shared" si="31"/>
        <v>984608.3680478537</v>
      </c>
      <c r="DP24" s="27">
        <f t="shared" si="31"/>
        <v>733408.53412823658</v>
      </c>
      <c r="DQ24" s="27">
        <f t="shared" si="31"/>
        <v>685171.66955331771</v>
      </c>
      <c r="DR24" s="27">
        <f t="shared" si="31"/>
        <v>643559.51622030709</v>
      </c>
      <c r="DS24" s="27">
        <f t="shared" si="31"/>
        <v>624234.23998125608</v>
      </c>
      <c r="DT24" s="27">
        <f t="shared" si="31"/>
        <v>799755.47490913223</v>
      </c>
      <c r="DU24" s="27">
        <f t="shared" si="31"/>
        <v>754029.92385792825</v>
      </c>
      <c r="DV24" s="27">
        <f t="shared" si="31"/>
        <v>758955.25027326925</v>
      </c>
      <c r="DW24" s="27">
        <f t="shared" si="31"/>
        <v>881425.41637632053</v>
      </c>
      <c r="DX24" s="27">
        <f t="shared" si="31"/>
        <v>916689.38212693529</v>
      </c>
      <c r="DY24" s="27">
        <f t="shared" si="31"/>
        <v>1033768.0902267876</v>
      </c>
      <c r="DZ24" s="27">
        <f t="shared" si="31"/>
        <v>1145572.7393450302</v>
      </c>
      <c r="EA24" s="27">
        <f>+EA23*EA13</f>
        <v>1222707.5550378354</v>
      </c>
      <c r="EB24" s="27">
        <f>+EB23*EB13</f>
        <v>1194014.8004206026</v>
      </c>
      <c r="EC24" s="27">
        <f>+EC23*EC13</f>
        <v>1036549.1265324545</v>
      </c>
      <c r="ED24" s="27">
        <f>+ED23*ED13</f>
        <v>943440.8885577583</v>
      </c>
      <c r="EE24" s="27">
        <f>+EE23*EE13</f>
        <v>1003677.6205896355</v>
      </c>
    </row>
    <row r="25" spans="1:135" ht="15.6" hidden="1" x14ac:dyDescent="0.25">
      <c r="A25" s="220">
        <f t="shared" si="3"/>
        <v>22</v>
      </c>
      <c r="B25" s="22" t="s">
        <v>63</v>
      </c>
      <c r="C25" s="36">
        <v>792.11568996985443</v>
      </c>
      <c r="D25" s="36">
        <v>899.79596188035794</v>
      </c>
      <c r="E25" s="36">
        <v>894.59081004466861</v>
      </c>
      <c r="F25" s="36">
        <v>800.76716950928676</v>
      </c>
      <c r="G25" s="36">
        <v>847.02631184738129</v>
      </c>
      <c r="H25" s="36">
        <v>888.04412844832405</v>
      </c>
      <c r="I25" s="36">
        <v>770.61592190724332</v>
      </c>
      <c r="J25" s="36">
        <v>863.37406784866471</v>
      </c>
      <c r="K25" s="36">
        <v>822.56326349347364</v>
      </c>
      <c r="L25" s="36">
        <v>925.97827455616789</v>
      </c>
      <c r="M25" s="36">
        <v>807.08671310270438</v>
      </c>
      <c r="N25" s="36">
        <v>852.46207475909614</v>
      </c>
      <c r="O25" s="36">
        <v>881.01153722498566</v>
      </c>
      <c r="P25" s="36">
        <v>835.84779762264225</v>
      </c>
      <c r="Q25" s="36">
        <v>756.77415007105446</v>
      </c>
      <c r="R25" s="36">
        <v>907.20476861356292</v>
      </c>
      <c r="S25" s="36">
        <v>851.39001839907723</v>
      </c>
      <c r="T25" s="36">
        <v>828.30398888193304</v>
      </c>
      <c r="U25" s="36">
        <v>786.58348942291923</v>
      </c>
      <c r="V25" s="36">
        <v>854.85850405920064</v>
      </c>
      <c r="W25" s="36">
        <v>804.83475376653951</v>
      </c>
      <c r="X25" s="36">
        <v>825.72168388747377</v>
      </c>
      <c r="Y25" s="36">
        <v>895.68876965198433</v>
      </c>
      <c r="Z25" s="36">
        <v>792.70841135454248</v>
      </c>
      <c r="AA25" s="36">
        <v>736.57308381763869</v>
      </c>
      <c r="AB25" s="36">
        <v>-19281.250981848105</v>
      </c>
      <c r="AC25" s="36">
        <v>762.59635371630429</v>
      </c>
      <c r="AD25" s="36">
        <v>791.57769703902886</v>
      </c>
      <c r="AE25" s="36">
        <v>894.48187484397204</v>
      </c>
      <c r="AF25" s="36">
        <v>752.3761588325724</v>
      </c>
      <c r="AG25" s="36">
        <v>789.53025944865658</v>
      </c>
      <c r="AH25" s="36">
        <v>939.68522203329485</v>
      </c>
      <c r="AI25" s="36">
        <v>770.14792446856154</v>
      </c>
      <c r="AJ25" s="36">
        <v>-7340.1530530925374</v>
      </c>
      <c r="AK25" s="36">
        <v>-61142.727271920128</v>
      </c>
      <c r="AL25" s="36">
        <v>739.37604279528023</v>
      </c>
      <c r="AM25" s="36">
        <v>806.9096743617265</v>
      </c>
      <c r="AN25" s="36">
        <v>862.12077231577132</v>
      </c>
      <c r="AO25" s="36">
        <v>769.53439952785266</v>
      </c>
      <c r="AP25" s="36">
        <v>761.53884426079458</v>
      </c>
      <c r="AQ25" s="36">
        <v>872.97477121267002</v>
      </c>
      <c r="AR25" s="36">
        <v>6286.1261103208817</v>
      </c>
      <c r="AS25" s="36">
        <v>1098.8234376013861</v>
      </c>
      <c r="AT25" s="36">
        <v>-13690.688719922502</v>
      </c>
      <c r="AU25" s="36">
        <v>-13382.304728078016</v>
      </c>
      <c r="AV25" s="36">
        <v>-13501.255679977301</v>
      </c>
      <c r="AW25" s="36">
        <v>-13796.57306348774</v>
      </c>
      <c r="AX25" s="36">
        <v>-13874.553821004083</v>
      </c>
      <c r="AY25" s="36">
        <v>-13816.883171605878</v>
      </c>
      <c r="AZ25" s="36">
        <f>+AZ8-AZ24</f>
        <v>845.73397874139482</v>
      </c>
      <c r="BA25" s="36">
        <f t="shared" ref="BA25:CP25" si="32">+BA8-BA24</f>
        <v>191658.69407251547</v>
      </c>
      <c r="BB25" s="36">
        <f t="shared" si="32"/>
        <v>9876.6087458020775</v>
      </c>
      <c r="BC25" s="36">
        <f t="shared" si="32"/>
        <v>-2184.1029646350362</v>
      </c>
      <c r="BD25" s="36">
        <f t="shared" si="32"/>
        <v>-3060.1870975447237</v>
      </c>
      <c r="BE25" s="36">
        <f t="shared" si="32"/>
        <v>-3080.4766134782112</v>
      </c>
      <c r="BF25" s="36">
        <f t="shared" si="32"/>
        <v>22824.116294956824</v>
      </c>
      <c r="BG25" s="36">
        <f t="shared" si="32"/>
        <v>-99.765658724063542</v>
      </c>
      <c r="BH25" s="36">
        <f t="shared" si="32"/>
        <v>-101.96966385719134</v>
      </c>
      <c r="BI25" s="36">
        <f t="shared" si="32"/>
        <v>112.21157493081409</v>
      </c>
      <c r="BJ25" s="36">
        <f t="shared" si="32"/>
        <v>26.70660682907328</v>
      </c>
      <c r="BK25" s="36">
        <f t="shared" si="32"/>
        <v>-29.859382883703802</v>
      </c>
      <c r="BL25" s="36">
        <f t="shared" si="32"/>
        <v>64.114511269959621</v>
      </c>
      <c r="BM25" s="36">
        <f t="shared" si="32"/>
        <v>66.077223279047757</v>
      </c>
      <c r="BN25" s="36">
        <f t="shared" si="32"/>
        <v>-22.026009302702732</v>
      </c>
      <c r="BO25" s="27">
        <f t="shared" si="32"/>
        <v>495541.76189739135</v>
      </c>
      <c r="BP25" s="27">
        <f t="shared" si="32"/>
        <v>63.332759568060283</v>
      </c>
      <c r="BQ25" s="27">
        <f t="shared" si="32"/>
        <v>-69.601116236066446</v>
      </c>
      <c r="BR25" s="27">
        <f t="shared" si="32"/>
        <v>57.731651907670312</v>
      </c>
      <c r="BS25" s="27">
        <f t="shared" si="32"/>
        <v>11.957885530777276</v>
      </c>
      <c r="BT25" s="27">
        <f t="shared" si="32"/>
        <v>-56.026317593525164</v>
      </c>
      <c r="BU25" s="27">
        <f t="shared" si="32"/>
        <v>23.604113214183599</v>
      </c>
      <c r="BV25" s="27">
        <f t="shared" si="32"/>
        <v>-56.682540630165022</v>
      </c>
      <c r="BW25" s="27">
        <f t="shared" si="32"/>
        <v>39.03492397320224</v>
      </c>
      <c r="BX25" s="27">
        <f t="shared" si="32"/>
        <v>-11.5568702177261</v>
      </c>
      <c r="BY25" s="27">
        <f t="shared" si="32"/>
        <v>-48.059681407758035</v>
      </c>
      <c r="BZ25" s="27">
        <f t="shared" si="32"/>
        <v>-48.673277241934557</v>
      </c>
      <c r="CA25" s="27">
        <f t="shared" si="32"/>
        <v>25.999449250521138</v>
      </c>
      <c r="CB25" s="27">
        <f t="shared" si="32"/>
        <v>-54.458001932420302</v>
      </c>
      <c r="CC25" s="27">
        <f t="shared" si="32"/>
        <v>69.344482002721634</v>
      </c>
      <c r="CD25" s="27">
        <f t="shared" si="32"/>
        <v>68.572989048960153</v>
      </c>
      <c r="CE25" s="27">
        <f t="shared" si="32"/>
        <v>-109.67212143936194</v>
      </c>
      <c r="CF25" s="27">
        <f t="shared" si="32"/>
        <v>12.896791031758767</v>
      </c>
      <c r="CG25" s="27">
        <f t="shared" si="32"/>
        <v>42.626890973187983</v>
      </c>
      <c r="CH25" s="27">
        <f t="shared" si="32"/>
        <v>93.109194572549313</v>
      </c>
      <c r="CI25" s="27">
        <f t="shared" si="32"/>
        <v>-13.408511229499709</v>
      </c>
      <c r="CJ25" s="27">
        <f t="shared" si="32"/>
        <v>-3.518175694392994</v>
      </c>
      <c r="CK25" s="27">
        <f t="shared" si="32"/>
        <v>-74.651901247270871</v>
      </c>
      <c r="CL25" s="27">
        <f t="shared" si="32"/>
        <v>893441.01617437787</v>
      </c>
      <c r="CM25" s="27">
        <f t="shared" si="32"/>
        <v>968537.615574789</v>
      </c>
      <c r="CN25" s="27">
        <f t="shared" si="32"/>
        <v>602688.50424160715</v>
      </c>
      <c r="CO25" s="27">
        <f t="shared" si="32"/>
        <v>3570841.7673167582</v>
      </c>
      <c r="CP25" s="27">
        <f t="shared" si="32"/>
        <v>4270361.6675554691</v>
      </c>
      <c r="CQ25" s="27">
        <f>+CQ8-CQ24</f>
        <v>5174341.2727862159</v>
      </c>
      <c r="CR25" s="27">
        <f>+CR8-CR24</f>
        <v>6018802.6424218742</v>
      </c>
      <c r="CS25" s="27">
        <f>+CS8-CS24</f>
        <v>4803112.6767542828</v>
      </c>
      <c r="CT25" s="27">
        <f>+CT8-CT24</f>
        <v>5042044.181737016</v>
      </c>
      <c r="CU25" s="27">
        <f t="shared" ref="CU25:DZ25" si="33">+CU8-CU24</f>
        <v>4296672.7020281628</v>
      </c>
      <c r="CV25" s="27">
        <f t="shared" si="33"/>
        <v>4575165.0307690063</v>
      </c>
      <c r="CW25" s="27">
        <f t="shared" si="33"/>
        <v>4770458.9287229599</v>
      </c>
      <c r="CX25" s="27">
        <f t="shared" si="33"/>
        <v>4860009.754920206</v>
      </c>
      <c r="CY25" s="27">
        <f t="shared" si="33"/>
        <v>5133262.6279043369</v>
      </c>
      <c r="CZ25" s="27">
        <f t="shared" si="33"/>
        <v>5704129.0773820747</v>
      </c>
      <c r="DA25" s="27">
        <f t="shared" si="33"/>
        <v>5816758.340688156</v>
      </c>
      <c r="DB25" s="27">
        <f t="shared" si="33"/>
        <v>5944033.3316396093</v>
      </c>
      <c r="DC25" s="27">
        <f t="shared" si="33"/>
        <v>6200025.887860259</v>
      </c>
      <c r="DD25" s="27">
        <f t="shared" si="33"/>
        <v>3972061.1539660525</v>
      </c>
      <c r="DE25" s="27">
        <f t="shared" si="33"/>
        <v>4137212.7569205794</v>
      </c>
      <c r="DF25" s="27">
        <f t="shared" si="33"/>
        <v>4065078.9232379287</v>
      </c>
      <c r="DG25" s="27">
        <f t="shared" si="33"/>
        <v>3483684.4994273512</v>
      </c>
      <c r="DH25" s="27">
        <f t="shared" si="33"/>
        <v>3640959.4316393314</v>
      </c>
      <c r="DI25" s="27">
        <f t="shared" si="33"/>
        <v>3642507.1242632531</v>
      </c>
      <c r="DJ25" s="27">
        <f t="shared" si="33"/>
        <v>3688958.4102718062</v>
      </c>
      <c r="DK25" s="27">
        <f t="shared" si="33"/>
        <v>3664464.1793264374</v>
      </c>
      <c r="DL25" s="27">
        <f t="shared" si="33"/>
        <v>3520634.3649342465</v>
      </c>
      <c r="DM25" s="27">
        <f t="shared" si="33"/>
        <v>-47099.901069139712</v>
      </c>
      <c r="DN25" s="27">
        <f t="shared" si="33"/>
        <v>-48254.081582648563</v>
      </c>
      <c r="DO25" s="27">
        <f t="shared" si="33"/>
        <v>-44977.958932252135</v>
      </c>
      <c r="DP25" s="27">
        <f t="shared" si="33"/>
        <v>-47136.491593775107</v>
      </c>
      <c r="DQ25" s="27">
        <f t="shared" si="33"/>
        <v>-46951.998885664158</v>
      </c>
      <c r="DR25" s="27">
        <f t="shared" si="33"/>
        <v>-58655.388927233522</v>
      </c>
      <c r="DS25" s="27">
        <f t="shared" si="33"/>
        <v>-50190.847909362637</v>
      </c>
      <c r="DT25" s="27">
        <f t="shared" si="33"/>
        <v>-46969.288869578857</v>
      </c>
      <c r="DU25" s="27">
        <f t="shared" si="33"/>
        <v>-47169.307818374829</v>
      </c>
      <c r="DV25" s="27">
        <f t="shared" si="33"/>
        <v>-47170.136053815833</v>
      </c>
      <c r="DW25" s="27">
        <f t="shared" si="33"/>
        <v>-47083.218148037093</v>
      </c>
      <c r="DX25" s="27">
        <f t="shared" si="33"/>
        <v>-46965.673898651847</v>
      </c>
      <c r="DY25" s="27">
        <f t="shared" si="33"/>
        <v>-48431.266023344127</v>
      </c>
      <c r="DZ25" s="27">
        <f t="shared" si="33"/>
        <v>-56785.140363616869</v>
      </c>
      <c r="EA25" s="27">
        <f>+EA8-EA24</f>
        <v>-47288.589632922085</v>
      </c>
      <c r="EB25" s="27">
        <f>+EB8-EB24</f>
        <v>-46884.087666919222</v>
      </c>
      <c r="EC25" s="27">
        <f>+EC8-EC24</f>
        <v>-66848.367405491066</v>
      </c>
      <c r="ED25" s="27">
        <f>+ED8-ED24</f>
        <v>-47117.522362574935</v>
      </c>
      <c r="EE25" s="27">
        <f>+EE8-EE24</f>
        <v>-47177.614858552115</v>
      </c>
    </row>
    <row r="26" spans="1:135" ht="15.6" hidden="1" x14ac:dyDescent="0.25">
      <c r="A26" s="220">
        <f t="shared" si="3"/>
        <v>23</v>
      </c>
      <c r="B26" s="25"/>
      <c r="BO26" s="233"/>
      <c r="BP26" s="233"/>
      <c r="BQ26" s="233"/>
      <c r="BR26" s="233"/>
      <c r="BS26" s="233"/>
      <c r="BT26" s="233"/>
      <c r="BU26" s="233"/>
      <c r="BV26" s="233"/>
      <c r="BW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</row>
    <row r="27" spans="1:135" ht="15.6" hidden="1" x14ac:dyDescent="0.25">
      <c r="A27" s="220">
        <f t="shared" si="3"/>
        <v>24</v>
      </c>
      <c r="B27" s="25" t="s">
        <v>64</v>
      </c>
      <c r="C27" s="37">
        <v>4.4308209364853426E-3</v>
      </c>
      <c r="D27" s="37">
        <v>1.9781449619373256E-3</v>
      </c>
      <c r="E27" s="37">
        <v>-6.3836239809729294E-4</v>
      </c>
      <c r="F27" s="37">
        <v>-8.14160102863766E-6</v>
      </c>
      <c r="G27" s="37">
        <v>5.8943631622982448E-4</v>
      </c>
      <c r="H27" s="37">
        <v>3.2860230174043309E-4</v>
      </c>
      <c r="I27" s="37">
        <v>9.9953737012172872E-5</v>
      </c>
      <c r="J27" s="37">
        <v>8.3053089912849486E-4</v>
      </c>
      <c r="K27" s="37">
        <v>9.0867444988405324E-4</v>
      </c>
      <c r="L27" s="37">
        <v>1.5092309672871678E-3</v>
      </c>
      <c r="M27" s="37">
        <v>2.6771508887845925E-3</v>
      </c>
      <c r="N27" s="37">
        <v>2.4910772841106946E-3</v>
      </c>
      <c r="O27" s="37">
        <v>2.3465876806605854E-3</v>
      </c>
      <c r="P27" s="37">
        <v>1.6070471981895461E-3</v>
      </c>
      <c r="Q27" s="37">
        <v>3.3924071134300547E-5</v>
      </c>
      <c r="R27" s="37">
        <v>1.1434812111936865E-4</v>
      </c>
      <c r="S27" s="37">
        <v>-3.1691236370744286E-5</v>
      </c>
      <c r="T27" s="37">
        <v>-1.4805384193565161E-4</v>
      </c>
      <c r="U27" s="37">
        <v>-4.373789907296372E-5</v>
      </c>
      <c r="V27" s="37">
        <v>3.942467927421914E-4</v>
      </c>
      <c r="W27" s="37">
        <v>1.1861075321878125E-3</v>
      </c>
      <c r="X27" s="37">
        <v>1.4051193523353051E-3</v>
      </c>
      <c r="Y27" s="37">
        <v>2.2224456071544907E-3</v>
      </c>
      <c r="Z27" s="37">
        <v>2.2560586960000124E-3</v>
      </c>
      <c r="AA27" s="37">
        <v>2.2430976982803228E-3</v>
      </c>
      <c r="AB27" s="37">
        <v>1.3940373080848281E-3</v>
      </c>
      <c r="AC27" s="37">
        <v>1.2295069622834267E-4</v>
      </c>
      <c r="AD27" s="37">
        <v>-2.2978422025066083E-4</v>
      </c>
      <c r="AE27" s="37">
        <v>7.5004618939277271E-4</v>
      </c>
      <c r="AF27" s="37">
        <v>1.019461580643484E-4</v>
      </c>
      <c r="AG27" s="37">
        <v>2.9138783394381921E-4</v>
      </c>
      <c r="AH27" s="37">
        <v>3.942467927421914E-4</v>
      </c>
      <c r="AI27" s="37">
        <v>1.1861075321878125E-3</v>
      </c>
      <c r="AJ27" s="37">
        <v>1.4051193523353051E-3</v>
      </c>
      <c r="AK27" s="37">
        <v>2.1524456071544905E-3</v>
      </c>
      <c r="AL27" s="37">
        <v>2.1560586960000126E-3</v>
      </c>
      <c r="AM27" s="37">
        <v>2.1430976982803229E-3</v>
      </c>
      <c r="AN27" s="37">
        <v>1.3940373080848281E-3</v>
      </c>
      <c r="AO27" s="37">
        <v>2.7295069622834266E-4</v>
      </c>
      <c r="AP27" s="37">
        <v>-7.9784220250660843E-5</v>
      </c>
      <c r="AQ27" s="37">
        <v>9.0004618939277267E-4</v>
      </c>
      <c r="AR27" s="37">
        <v>2.5294615806434838E-4</v>
      </c>
      <c r="AS27" s="37">
        <v>4.423878339438192E-4</v>
      </c>
      <c r="AT27" s="37">
        <v>5.4524679274219143E-4</v>
      </c>
      <c r="AU27" s="37">
        <v>1.3371075321878126E-3</v>
      </c>
      <c r="AV27" s="37">
        <v>1.5561193523353049E-3</v>
      </c>
      <c r="AW27" s="37">
        <v>2.4024456071544903E-3</v>
      </c>
      <c r="AX27" s="37">
        <v>2.4060586960000128E-3</v>
      </c>
      <c r="AY27" s="37">
        <v>2.1430976982803229E-3</v>
      </c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</row>
    <row r="28" spans="1:135" ht="15.6" hidden="1" x14ac:dyDescent="0.25">
      <c r="A28" s="220">
        <f t="shared" si="3"/>
        <v>25</v>
      </c>
      <c r="B28" s="32" t="s">
        <v>65</v>
      </c>
      <c r="C28" s="38">
        <v>-1.1999999999999999E-3</v>
      </c>
      <c r="D28" s="38">
        <v>-3.7109776374777957E-4</v>
      </c>
      <c r="E28" s="38">
        <v>6.7228646923159349E-4</v>
      </c>
      <c r="F28" s="38">
        <v>1.2248972214800631E-4</v>
      </c>
      <c r="G28" s="38">
        <v>-6.2112755260056878E-4</v>
      </c>
      <c r="H28" s="38">
        <v>-4.766561436760847E-4</v>
      </c>
      <c r="I28" s="38">
        <v>-1.4369163608513659E-4</v>
      </c>
      <c r="J28" s="38">
        <v>-4.3628410638630347E-4</v>
      </c>
      <c r="K28" s="38">
        <v>2.7743308230375929E-4</v>
      </c>
      <c r="L28" s="38">
        <v>-1.041116149518627E-4</v>
      </c>
      <c r="M28" s="38">
        <v>-4.5470528163010174E-4</v>
      </c>
      <c r="N28" s="38">
        <v>-2.3501858811068215E-4</v>
      </c>
      <c r="O28" s="38">
        <v>-1.0348998238026265E-4</v>
      </c>
      <c r="P28" s="38">
        <v>-2.1300989010471791E-4</v>
      </c>
      <c r="Q28" s="38">
        <v>8.9026625094042118E-5</v>
      </c>
      <c r="R28" s="38">
        <v>-3.441323413700295E-4</v>
      </c>
      <c r="S28" s="38">
        <v>7.8173742576351701E-4</v>
      </c>
      <c r="T28" s="38">
        <v>2.5000000000000001E-4</v>
      </c>
      <c r="U28" s="38">
        <v>2.5000000000000001E-4</v>
      </c>
      <c r="V28" s="38"/>
      <c r="W28" s="38"/>
      <c r="X28" s="38"/>
      <c r="Y28" s="38">
        <v>-6.9999999999999994E-5</v>
      </c>
      <c r="Z28" s="38">
        <v>-1E-4</v>
      </c>
      <c r="AA28" s="38">
        <v>-1E-4</v>
      </c>
      <c r="AB28" s="38">
        <v>0</v>
      </c>
      <c r="AC28" s="38">
        <v>1.4999999999999999E-4</v>
      </c>
      <c r="AD28" s="38">
        <v>1.4999999999999999E-4</v>
      </c>
      <c r="AE28" s="38">
        <v>1.4999999999999999E-4</v>
      </c>
      <c r="AF28" s="38">
        <v>1.5099999999999998E-4</v>
      </c>
      <c r="AG28" s="38">
        <v>1.5099999999999998E-4</v>
      </c>
      <c r="AH28" s="38">
        <v>1.5099999999999998E-4</v>
      </c>
      <c r="AI28" s="38">
        <v>1.5099999999999998E-4</v>
      </c>
      <c r="AJ28" s="38">
        <v>1.5099999999999998E-4</v>
      </c>
      <c r="AK28" s="38">
        <v>2.5000000000000001E-4</v>
      </c>
      <c r="AL28" s="38">
        <v>2.5000000000000001E-4</v>
      </c>
      <c r="AM28" s="38">
        <v>0</v>
      </c>
      <c r="AN28" s="38"/>
      <c r="AO28" s="38"/>
      <c r="AP28" s="38"/>
      <c r="AQ28" s="38"/>
      <c r="AR28" s="38"/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</row>
    <row r="29" spans="1:135" ht="16.2" hidden="1" thickBot="1" x14ac:dyDescent="0.3">
      <c r="A29" s="220">
        <f t="shared" si="3"/>
        <v>26</v>
      </c>
      <c r="B29" s="28" t="s">
        <v>66</v>
      </c>
      <c r="C29" s="240">
        <v>3.230820936485343E-3</v>
      </c>
      <c r="D29" s="240">
        <v>1.6070471981895461E-3</v>
      </c>
      <c r="E29" s="240">
        <v>3.3924071134300547E-5</v>
      </c>
      <c r="F29" s="240">
        <v>1.1434812111936865E-4</v>
      </c>
      <c r="G29" s="240">
        <v>-3.1691236370744286E-5</v>
      </c>
      <c r="H29" s="240">
        <v>-1.4805384193565161E-4</v>
      </c>
      <c r="I29" s="240">
        <v>-4.373789907296372E-5</v>
      </c>
      <c r="J29" s="240">
        <v>3.942467927421914E-4</v>
      </c>
      <c r="K29" s="240">
        <v>1.1861075321878125E-3</v>
      </c>
      <c r="L29" s="240">
        <v>1.4051193523353051E-3</v>
      </c>
      <c r="M29" s="240">
        <v>2.2224456071544907E-3</v>
      </c>
      <c r="N29" s="240">
        <v>2.2560586960000124E-3</v>
      </c>
      <c r="O29" s="240">
        <v>2.2430976982803228E-3</v>
      </c>
      <c r="P29" s="240">
        <v>1.3940373080848281E-3</v>
      </c>
      <c r="Q29" s="240">
        <v>1.2295069622834267E-4</v>
      </c>
      <c r="R29" s="240">
        <v>-2.2978422025066083E-4</v>
      </c>
      <c r="S29" s="240">
        <v>7.5004618939277271E-4</v>
      </c>
      <c r="T29" s="240">
        <v>1.019461580643484E-4</v>
      </c>
      <c r="U29" s="240">
        <v>2.0626210092703628E-4</v>
      </c>
      <c r="V29" s="240">
        <v>3.942467927421914E-4</v>
      </c>
      <c r="W29" s="240">
        <v>1.1861075321878125E-3</v>
      </c>
      <c r="X29" s="240">
        <v>1.4051193523353051E-3</v>
      </c>
      <c r="Y29" s="240">
        <v>2.1524456071544905E-3</v>
      </c>
      <c r="Z29" s="240">
        <v>2.1560586960000126E-3</v>
      </c>
      <c r="AA29" s="240">
        <v>2.1430976982803229E-3</v>
      </c>
      <c r="AB29" s="240">
        <v>1.3940373080848281E-3</v>
      </c>
      <c r="AC29" s="240">
        <v>2.7295069622834266E-4</v>
      </c>
      <c r="AD29" s="240">
        <v>-7.9784220250660843E-5</v>
      </c>
      <c r="AE29" s="240">
        <v>9.0004618939277267E-4</v>
      </c>
      <c r="AF29" s="240">
        <v>2.5294615806434838E-4</v>
      </c>
      <c r="AG29" s="240">
        <v>4.423878339438192E-4</v>
      </c>
      <c r="AH29" s="240">
        <v>5.4524679274219143E-4</v>
      </c>
      <c r="AI29" s="240">
        <v>1.3371075321878126E-3</v>
      </c>
      <c r="AJ29" s="240">
        <v>1.5561193523353049E-3</v>
      </c>
      <c r="AK29" s="240">
        <v>2.4024456071544903E-3</v>
      </c>
      <c r="AL29" s="240">
        <v>2.4060586960000128E-3</v>
      </c>
      <c r="AM29" s="240">
        <v>2.1430976982803229E-3</v>
      </c>
      <c r="AN29" s="240">
        <v>1.3940373080848281E-3</v>
      </c>
      <c r="AO29" s="240">
        <v>2.7295069622834266E-4</v>
      </c>
      <c r="AP29" s="240">
        <v>-7.9784220250660843E-5</v>
      </c>
      <c r="AQ29" s="240">
        <v>9.0004618939277267E-4</v>
      </c>
      <c r="AR29" s="240">
        <v>2.5294615806434838E-4</v>
      </c>
      <c r="AS29" s="240">
        <v>4.423878339438192E-4</v>
      </c>
      <c r="AT29" s="240">
        <v>5.4524679274219143E-4</v>
      </c>
      <c r="AU29" s="240">
        <v>1.3371075321878126E-3</v>
      </c>
      <c r="AV29" s="240">
        <v>1.5561193523353049E-3</v>
      </c>
      <c r="AW29" s="240">
        <v>2.4024456071544903E-3</v>
      </c>
      <c r="AX29" s="240">
        <v>2.4060586960000128E-3</v>
      </c>
      <c r="AY29" s="240">
        <v>2.1430976982803229E-3</v>
      </c>
      <c r="AZ29" s="240"/>
      <c r="BA29" s="240"/>
      <c r="BB29" s="240"/>
      <c r="BC29" s="240"/>
      <c r="BD29" s="240"/>
      <c r="BE29" s="240"/>
      <c r="BF29" s="240"/>
      <c r="BG29" s="240"/>
      <c r="BH29" s="240"/>
      <c r="BI29" s="240"/>
      <c r="BJ29" s="240"/>
      <c r="BK29" s="240"/>
      <c r="BL29" s="240"/>
      <c r="BM29" s="240"/>
      <c r="BN29" s="240"/>
      <c r="BO29" s="240"/>
      <c r="BP29" s="240"/>
      <c r="BQ29" s="240"/>
      <c r="BR29" s="240"/>
      <c r="BS29" s="240"/>
      <c r="BT29" s="240"/>
      <c r="BU29" s="240"/>
      <c r="BV29" s="240"/>
      <c r="BW29" s="240"/>
      <c r="BX29" s="240"/>
      <c r="BY29" s="240"/>
      <c r="BZ29" s="240"/>
      <c r="CA29" s="240"/>
      <c r="CB29" s="240"/>
      <c r="CC29" s="240"/>
      <c r="CD29" s="240"/>
      <c r="CE29" s="240"/>
      <c r="CF29" s="240"/>
      <c r="CG29" s="240"/>
      <c r="CH29" s="240"/>
      <c r="CI29" s="240"/>
      <c r="CJ29" s="240"/>
      <c r="CK29" s="240"/>
      <c r="CL29" s="240"/>
      <c r="CM29" s="240"/>
      <c r="CN29" s="240"/>
      <c r="CO29" s="240"/>
      <c r="CP29" s="240"/>
      <c r="CQ29" s="240"/>
      <c r="CR29" s="240"/>
      <c r="CS29" s="240"/>
      <c r="CT29" s="240"/>
      <c r="CU29" s="240"/>
      <c r="CV29" s="240"/>
      <c r="CW29" s="240"/>
      <c r="CX29" s="240"/>
      <c r="CY29" s="240"/>
      <c r="CZ29" s="240"/>
      <c r="DA29" s="240"/>
      <c r="DB29" s="240"/>
      <c r="DC29" s="240"/>
      <c r="DD29" s="240"/>
      <c r="DE29" s="240"/>
      <c r="DF29" s="240"/>
      <c r="DG29" s="240"/>
      <c r="DH29" s="240"/>
      <c r="DI29" s="240"/>
      <c r="DJ29" s="240"/>
      <c r="DK29" s="240"/>
      <c r="DL29" s="240"/>
      <c r="DM29" s="240"/>
      <c r="DN29" s="240"/>
      <c r="DO29" s="240"/>
      <c r="DP29" s="240"/>
      <c r="DQ29" s="240"/>
      <c r="DR29" s="240"/>
      <c r="DS29" s="240"/>
      <c r="DT29" s="240"/>
      <c r="DU29" s="240"/>
      <c r="DV29" s="240"/>
      <c r="DW29" s="240"/>
      <c r="DX29" s="240"/>
      <c r="DY29" s="240"/>
      <c r="DZ29" s="240"/>
      <c r="EA29" s="240"/>
      <c r="EB29" s="240"/>
      <c r="EC29" s="240"/>
      <c r="ED29" s="240"/>
      <c r="EE29" s="240"/>
    </row>
    <row r="30" spans="1:135" ht="15.6" hidden="1" x14ac:dyDescent="0.25">
      <c r="A30" s="220">
        <f t="shared" si="3"/>
        <v>27</v>
      </c>
      <c r="B30" s="32"/>
      <c r="AZ30" s="241" t="s">
        <v>67</v>
      </c>
      <c r="BA30" s="241" t="s">
        <v>67</v>
      </c>
      <c r="BB30" s="241" t="s">
        <v>67</v>
      </c>
      <c r="BC30" s="241" t="s">
        <v>67</v>
      </c>
      <c r="BD30" s="242" t="s">
        <v>68</v>
      </c>
      <c r="BE30" s="242" t="s">
        <v>68</v>
      </c>
      <c r="BF30" s="242" t="s">
        <v>68</v>
      </c>
      <c r="BG30" s="242" t="s">
        <v>68</v>
      </c>
      <c r="BH30" s="241" t="s">
        <v>69</v>
      </c>
      <c r="BI30" s="241" t="s">
        <v>69</v>
      </c>
      <c r="BJ30" s="241" t="s">
        <v>69</v>
      </c>
      <c r="BK30" s="241" t="s">
        <v>69</v>
      </c>
      <c r="BL30" s="241" t="s">
        <v>69</v>
      </c>
      <c r="BM30" s="241" t="s">
        <v>69</v>
      </c>
      <c r="BN30" s="242" t="s">
        <v>68</v>
      </c>
      <c r="BO30" s="242" t="s">
        <v>68</v>
      </c>
      <c r="BP30" s="242" t="s">
        <v>68</v>
      </c>
      <c r="BQ30" s="242" t="s">
        <v>68</v>
      </c>
      <c r="BR30" s="39" t="s">
        <v>70</v>
      </c>
      <c r="BS30" s="39" t="s">
        <v>70</v>
      </c>
      <c r="BT30" s="39" t="s">
        <v>70</v>
      </c>
      <c r="BU30" s="39" t="s">
        <v>70</v>
      </c>
      <c r="BV30" s="39" t="s">
        <v>70</v>
      </c>
      <c r="BW30" s="39" t="s">
        <v>70</v>
      </c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1"/>
      <c r="DC30" s="41"/>
      <c r="DD30" s="41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</row>
    <row r="31" spans="1:135" ht="15.6" hidden="1" x14ac:dyDescent="0.25">
      <c r="A31" s="220">
        <f t="shared" si="3"/>
        <v>28</v>
      </c>
      <c r="B31" s="32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 t="s">
        <v>71</v>
      </c>
      <c r="BA31" s="241" t="s">
        <v>71</v>
      </c>
      <c r="BB31" s="241" t="s">
        <v>71</v>
      </c>
      <c r="BC31" s="241" t="s">
        <v>71</v>
      </c>
      <c r="BD31" s="241" t="s">
        <v>71</v>
      </c>
      <c r="BE31" s="241" t="s">
        <v>71</v>
      </c>
      <c r="BF31" s="241" t="s">
        <v>71</v>
      </c>
      <c r="BG31" s="241" t="s">
        <v>71</v>
      </c>
      <c r="BH31" s="241" t="s">
        <v>71</v>
      </c>
      <c r="BI31" s="241" t="s">
        <v>71</v>
      </c>
      <c r="BJ31" s="241" t="s">
        <v>71</v>
      </c>
      <c r="BK31" s="241" t="s">
        <v>71</v>
      </c>
      <c r="BL31" s="241" t="s">
        <v>71</v>
      </c>
      <c r="BM31" s="241" t="s">
        <v>71</v>
      </c>
      <c r="BN31" s="241" t="s">
        <v>71</v>
      </c>
      <c r="BO31" s="241" t="s">
        <v>71</v>
      </c>
      <c r="BP31" s="241" t="s">
        <v>71</v>
      </c>
      <c r="BQ31" s="241" t="s">
        <v>71</v>
      </c>
      <c r="BR31" s="42" t="s">
        <v>71</v>
      </c>
      <c r="BS31" s="42" t="s">
        <v>71</v>
      </c>
      <c r="BT31" s="42" t="s">
        <v>71</v>
      </c>
      <c r="BU31" s="42" t="s">
        <v>71</v>
      </c>
      <c r="BV31" s="42" t="s">
        <v>71</v>
      </c>
      <c r="BW31" s="42" t="s">
        <v>71</v>
      </c>
      <c r="BX31" s="42" t="s">
        <v>71</v>
      </c>
      <c r="BY31" s="42" t="s">
        <v>71</v>
      </c>
      <c r="BZ31" s="42" t="s">
        <v>71</v>
      </c>
      <c r="CA31" s="42" t="s">
        <v>71</v>
      </c>
      <c r="CB31" s="42" t="s">
        <v>71</v>
      </c>
      <c r="CC31" s="42" t="s">
        <v>71</v>
      </c>
      <c r="CD31" s="42" t="s">
        <v>71</v>
      </c>
      <c r="CE31" s="42" t="s">
        <v>71</v>
      </c>
      <c r="CF31" s="42" t="s">
        <v>71</v>
      </c>
      <c r="CG31" s="42" t="s">
        <v>71</v>
      </c>
      <c r="CH31" s="42" t="s">
        <v>71</v>
      </c>
      <c r="CI31" s="42" t="s">
        <v>71</v>
      </c>
      <c r="CJ31" s="42" t="s">
        <v>71</v>
      </c>
      <c r="CK31" s="42" t="s">
        <v>71</v>
      </c>
      <c r="CL31" s="42" t="s">
        <v>71</v>
      </c>
      <c r="CM31" s="42" t="s">
        <v>71</v>
      </c>
      <c r="CN31" s="242" t="s">
        <v>72</v>
      </c>
      <c r="CO31" s="242" t="s">
        <v>72</v>
      </c>
      <c r="CP31" s="242" t="s">
        <v>72</v>
      </c>
      <c r="CQ31" s="242" t="s">
        <v>72</v>
      </c>
      <c r="CR31" s="242" t="s">
        <v>72</v>
      </c>
      <c r="CS31" s="242" t="s">
        <v>72</v>
      </c>
      <c r="CT31" s="242" t="s">
        <v>72</v>
      </c>
      <c r="CU31" s="242" t="s">
        <v>72</v>
      </c>
      <c r="CV31" s="242" t="s">
        <v>73</v>
      </c>
      <c r="CW31" s="242" t="s">
        <v>73</v>
      </c>
      <c r="CX31" s="242" t="s">
        <v>73</v>
      </c>
      <c r="CY31" s="242" t="s">
        <v>73</v>
      </c>
      <c r="CZ31" s="242" t="s">
        <v>73</v>
      </c>
      <c r="DA31" s="242" t="s">
        <v>73</v>
      </c>
      <c r="DB31" s="242" t="s">
        <v>73</v>
      </c>
      <c r="DC31" s="242" t="s">
        <v>73</v>
      </c>
      <c r="DD31" s="242" t="s">
        <v>73</v>
      </c>
      <c r="DE31" s="242" t="s">
        <v>73</v>
      </c>
      <c r="DF31" s="242" t="s">
        <v>73</v>
      </c>
      <c r="DG31" s="242" t="s">
        <v>73</v>
      </c>
      <c r="DH31" s="242"/>
      <c r="DI31" s="242"/>
      <c r="DJ31" s="242"/>
      <c r="DK31" s="242"/>
      <c r="DL31" s="242"/>
      <c r="DM31" s="242"/>
      <c r="DN31" s="242"/>
      <c r="DO31" s="242"/>
      <c r="DP31" s="242"/>
      <c r="DQ31" s="242"/>
      <c r="DR31" s="242"/>
      <c r="DS31" s="242"/>
      <c r="DT31" s="242"/>
      <c r="DU31" s="242"/>
      <c r="DV31" s="242"/>
      <c r="DW31" s="242"/>
      <c r="DX31" s="242"/>
      <c r="DY31" s="242"/>
      <c r="DZ31" s="242"/>
      <c r="EA31" s="242"/>
      <c r="EB31" s="242"/>
      <c r="EC31" s="242"/>
      <c r="ED31" s="242"/>
      <c r="EE31" s="242"/>
    </row>
    <row r="32" spans="1:135" ht="15.6" hidden="1" x14ac:dyDescent="0.25">
      <c r="A32" s="220">
        <f t="shared" si="3"/>
        <v>29</v>
      </c>
      <c r="B32" s="22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1" t="s">
        <v>85</v>
      </c>
      <c r="BA32" s="241" t="s">
        <v>85</v>
      </c>
      <c r="BB32" s="241" t="s">
        <v>85</v>
      </c>
      <c r="BC32" s="241" t="s">
        <v>85</v>
      </c>
      <c r="BD32" s="241" t="s">
        <v>85</v>
      </c>
      <c r="BE32" s="241" t="s">
        <v>85</v>
      </c>
      <c r="BF32" s="241" t="s">
        <v>85</v>
      </c>
      <c r="BG32" s="241" t="s">
        <v>85</v>
      </c>
      <c r="BH32" s="241" t="s">
        <v>85</v>
      </c>
      <c r="BI32" s="241" t="s">
        <v>85</v>
      </c>
      <c r="BJ32" s="241" t="s">
        <v>85</v>
      </c>
      <c r="BK32" s="241" t="s">
        <v>85</v>
      </c>
      <c r="BL32" s="241" t="s">
        <v>85</v>
      </c>
      <c r="BM32" s="241" t="s">
        <v>85</v>
      </c>
      <c r="BN32" s="241" t="s">
        <v>85</v>
      </c>
      <c r="BO32" s="241" t="s">
        <v>85</v>
      </c>
      <c r="BP32" s="241" t="s">
        <v>85</v>
      </c>
      <c r="BQ32" s="241" t="s">
        <v>85</v>
      </c>
      <c r="BR32" s="242" t="s">
        <v>86</v>
      </c>
      <c r="BS32" s="242" t="s">
        <v>86</v>
      </c>
      <c r="BT32" s="242" t="s">
        <v>86</v>
      </c>
      <c r="BU32" s="242" t="s">
        <v>86</v>
      </c>
      <c r="BV32" s="242" t="s">
        <v>86</v>
      </c>
      <c r="BW32" s="242" t="s">
        <v>86</v>
      </c>
      <c r="BX32" s="242" t="s">
        <v>87</v>
      </c>
      <c r="BY32" s="242" t="s">
        <v>87</v>
      </c>
      <c r="BZ32" s="242" t="s">
        <v>87</v>
      </c>
      <c r="CA32" s="242" t="s">
        <v>87</v>
      </c>
      <c r="CB32" s="242" t="s">
        <v>87</v>
      </c>
      <c r="CC32" s="242" t="s">
        <v>87</v>
      </c>
      <c r="CD32" s="242" t="s">
        <v>87</v>
      </c>
      <c r="CE32" s="242" t="s">
        <v>87</v>
      </c>
      <c r="CF32" s="242" t="s">
        <v>88</v>
      </c>
      <c r="CG32" s="242" t="s">
        <v>88</v>
      </c>
      <c r="CH32" s="242" t="s">
        <v>88</v>
      </c>
      <c r="CI32" s="242" t="s">
        <v>88</v>
      </c>
      <c r="CJ32" s="242" t="s">
        <v>87</v>
      </c>
      <c r="CK32" s="242" t="s">
        <v>89</v>
      </c>
      <c r="CL32" s="242" t="s">
        <v>90</v>
      </c>
      <c r="CM32" s="242" t="s">
        <v>91</v>
      </c>
      <c r="CN32" s="42" t="s">
        <v>71</v>
      </c>
      <c r="CO32" s="42" t="s">
        <v>71</v>
      </c>
      <c r="CP32" s="42" t="s">
        <v>71</v>
      </c>
      <c r="CQ32" s="42" t="s">
        <v>71</v>
      </c>
      <c r="CR32" s="42" t="s">
        <v>71</v>
      </c>
      <c r="CS32" s="42" t="s">
        <v>71</v>
      </c>
      <c r="CT32" s="42" t="s">
        <v>71</v>
      </c>
      <c r="CU32" s="42" t="s">
        <v>71</v>
      </c>
      <c r="CV32" s="42" t="s">
        <v>71</v>
      </c>
      <c r="CW32" s="42" t="s">
        <v>71</v>
      </c>
      <c r="CX32" s="42" t="s">
        <v>71</v>
      </c>
      <c r="CY32" s="42" t="s">
        <v>71</v>
      </c>
      <c r="CZ32" s="42" t="s">
        <v>71</v>
      </c>
      <c r="DA32" s="42" t="s">
        <v>71</v>
      </c>
      <c r="DB32" s="42" t="s">
        <v>71</v>
      </c>
      <c r="DC32" s="42" t="s">
        <v>71</v>
      </c>
      <c r="DD32" s="42" t="s">
        <v>71</v>
      </c>
      <c r="DE32" s="42" t="s">
        <v>71</v>
      </c>
      <c r="DF32" s="42" t="s">
        <v>71</v>
      </c>
      <c r="DG32" s="42" t="s">
        <v>71</v>
      </c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</row>
    <row r="33" spans="1:135" ht="15.6" hidden="1" x14ac:dyDescent="0.25">
      <c r="A33" s="220">
        <f t="shared" si="3"/>
        <v>30</v>
      </c>
      <c r="B33" s="22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</row>
    <row r="34" spans="1:135" ht="15.6" hidden="1" x14ac:dyDescent="0.25">
      <c r="A34" s="220">
        <f t="shared" si="3"/>
        <v>31</v>
      </c>
      <c r="B34" s="28" t="s">
        <v>92</v>
      </c>
      <c r="C34" s="26">
        <v>131192000</v>
      </c>
      <c r="D34" s="26">
        <v>139579980</v>
      </c>
      <c r="E34" s="26">
        <v>135197590</v>
      </c>
      <c r="F34" s="26">
        <v>117446840</v>
      </c>
      <c r="G34" s="26">
        <v>117617530</v>
      </c>
      <c r="H34" s="26">
        <v>133975490</v>
      </c>
      <c r="I34" s="26">
        <v>150858650</v>
      </c>
      <c r="J34" s="26">
        <v>162139340</v>
      </c>
      <c r="K34" s="26">
        <v>165383460</v>
      </c>
      <c r="L34" s="26">
        <v>181302070</v>
      </c>
      <c r="M34" s="26">
        <v>158105400</v>
      </c>
      <c r="N34" s="26">
        <v>142862480</v>
      </c>
      <c r="O34" s="26">
        <v>132503920</v>
      </c>
      <c r="P34" s="26">
        <v>146558979</v>
      </c>
      <c r="Q34" s="26">
        <v>141957469.5</v>
      </c>
      <c r="R34" s="26">
        <v>123319182</v>
      </c>
      <c r="S34" s="26">
        <v>123498406.5</v>
      </c>
      <c r="T34" s="26">
        <v>140674264.5</v>
      </c>
      <c r="U34" s="26">
        <v>158401582.5</v>
      </c>
      <c r="V34" s="26">
        <v>170246307</v>
      </c>
      <c r="W34" s="26">
        <v>173652633</v>
      </c>
      <c r="X34" s="26">
        <v>190367173.5</v>
      </c>
      <c r="Y34" s="26">
        <v>166010670</v>
      </c>
      <c r="Z34" s="26">
        <v>150005604</v>
      </c>
      <c r="AA34" s="26">
        <v>139129116</v>
      </c>
      <c r="AB34" s="26">
        <v>130186350</v>
      </c>
      <c r="AC34" s="26">
        <v>122199000</v>
      </c>
      <c r="AD34" s="26">
        <v>111743100</v>
      </c>
      <c r="AE34" s="26">
        <v>112319550</v>
      </c>
      <c r="AF34" s="26">
        <v>123364500</v>
      </c>
      <c r="AG34" s="26">
        <v>149436000</v>
      </c>
      <c r="AH34" s="26">
        <v>147060000</v>
      </c>
      <c r="AI34" s="26">
        <v>155422050</v>
      </c>
      <c r="AJ34" s="26">
        <v>199885532.17500001</v>
      </c>
      <c r="AK34" s="26">
        <v>174311203.5</v>
      </c>
      <c r="AL34" s="26">
        <v>157505884.20000002</v>
      </c>
      <c r="AM34" s="26">
        <v>146085571.80000001</v>
      </c>
      <c r="AN34" s="26">
        <v>124508000</v>
      </c>
      <c r="AO34" s="26">
        <v>118533000</v>
      </c>
      <c r="AP34" s="26">
        <v>111145000</v>
      </c>
      <c r="AQ34" s="26">
        <v>124842000</v>
      </c>
      <c r="AR34" s="26">
        <v>143052000</v>
      </c>
      <c r="AS34" s="26">
        <v>144113000</v>
      </c>
      <c r="AT34" s="26">
        <v>147060000</v>
      </c>
      <c r="AU34" s="26">
        <v>155845000</v>
      </c>
      <c r="AV34" s="26">
        <v>153666000</v>
      </c>
      <c r="AW34" s="26">
        <v>131265000</v>
      </c>
      <c r="AX34" s="26">
        <v>126927000</v>
      </c>
      <c r="AY34" s="26">
        <v>117110000</v>
      </c>
      <c r="AZ34" s="26">
        <v>132063200</v>
      </c>
      <c r="BA34" s="26">
        <v>120834800</v>
      </c>
      <c r="BB34" s="26">
        <v>104042000</v>
      </c>
      <c r="BC34" s="26">
        <v>113496409.67</v>
      </c>
      <c r="BD34" s="26">
        <v>124559259.61</v>
      </c>
      <c r="BE34" s="26">
        <v>130925632.67</v>
      </c>
      <c r="BF34" s="26">
        <v>145643055.80000001</v>
      </c>
      <c r="BG34" s="26">
        <v>137071328.94</v>
      </c>
      <c r="BH34" s="26">
        <v>167906381.44999999</v>
      </c>
      <c r="BI34" s="26">
        <v>145103374.65000001</v>
      </c>
      <c r="BJ34" s="26">
        <v>119123416.38</v>
      </c>
      <c r="BK34" s="26">
        <v>107588853.23999999</v>
      </c>
      <c r="BL34" s="26">
        <v>123279435.40000001</v>
      </c>
      <c r="BM34" s="26">
        <v>117763998.56999999</v>
      </c>
      <c r="BN34" s="26">
        <v>110286882.77</v>
      </c>
      <c r="BO34" s="26">
        <v>111258848.48</v>
      </c>
      <c r="BP34" s="26">
        <v>109454849.67</v>
      </c>
      <c r="BQ34" s="26">
        <v>127880113.68000001</v>
      </c>
      <c r="BR34" s="26">
        <v>140202102.74000001</v>
      </c>
      <c r="BS34" s="26">
        <v>127580447.36</v>
      </c>
      <c r="BT34" s="26">
        <v>176288395.81999999</v>
      </c>
      <c r="BU34" s="26">
        <v>148547226.53999999</v>
      </c>
      <c r="BV34" s="26">
        <v>128169018.66</v>
      </c>
      <c r="BW34" s="26">
        <v>115495898.66</v>
      </c>
      <c r="BX34" s="26">
        <v>104160337.361</v>
      </c>
      <c r="BY34" s="26">
        <v>109210584.69</v>
      </c>
      <c r="BZ34" s="26">
        <v>104112584.28</v>
      </c>
      <c r="CA34" s="26">
        <v>103672309.59999999</v>
      </c>
      <c r="CB34" s="26">
        <v>113531189.34999999</v>
      </c>
      <c r="CC34" s="26">
        <v>143848510.24000001</v>
      </c>
      <c r="CD34" s="26">
        <v>140529508</v>
      </c>
      <c r="CE34" s="26">
        <v>131358284.2</v>
      </c>
      <c r="CF34" s="26">
        <v>157658967.75299999</v>
      </c>
      <c r="CG34" s="26">
        <v>130860580.19</v>
      </c>
      <c r="CH34" s="26">
        <v>136953649.15000001</v>
      </c>
      <c r="CI34" s="26">
        <v>105318880</v>
      </c>
      <c r="CJ34" s="26">
        <v>100921339.20999999</v>
      </c>
      <c r="CK34" s="26">
        <v>108463083.33</v>
      </c>
      <c r="CL34" s="26">
        <v>103952187.38</v>
      </c>
      <c r="CM34" s="26">
        <v>119568149.41</v>
      </c>
      <c r="CN34" s="26">
        <v>124632856.31</v>
      </c>
      <c r="CO34" s="26">
        <v>114843163.72</v>
      </c>
      <c r="CP34" s="26">
        <v>126267029.41</v>
      </c>
      <c r="CQ34" s="26">
        <v>132364341.33</v>
      </c>
      <c r="CR34" s="26">
        <v>148120283</v>
      </c>
      <c r="CS34" s="26">
        <v>131609115.73</v>
      </c>
      <c r="CT34" s="26">
        <v>127863671.26000001</v>
      </c>
      <c r="CU34" s="26">
        <v>105816162.97</v>
      </c>
      <c r="CV34" s="26">
        <v>127271323.97</v>
      </c>
      <c r="CW34" s="26">
        <v>124570219.15000001</v>
      </c>
      <c r="CX34" s="26">
        <v>100916449.13</v>
      </c>
      <c r="CY34" s="26">
        <v>107020613.48</v>
      </c>
      <c r="CZ34" s="26">
        <v>125532028.62</v>
      </c>
      <c r="DA34" s="26">
        <v>140890636.16</v>
      </c>
      <c r="DB34" s="26">
        <v>145339891.03</v>
      </c>
      <c r="DC34" s="26">
        <v>145479178.59</v>
      </c>
      <c r="DD34" s="26">
        <v>181787287.19</v>
      </c>
      <c r="DE34" s="26">
        <v>174559245.68000001</v>
      </c>
      <c r="DF34" s="26">
        <v>148168577.97</v>
      </c>
      <c r="DG34" s="26">
        <v>138526312.13999999</v>
      </c>
      <c r="DH34" s="26">
        <v>144569854.24000001</v>
      </c>
      <c r="DI34" s="26">
        <v>148100376.97999999</v>
      </c>
      <c r="DJ34" s="26">
        <v>128100090.40000001</v>
      </c>
      <c r="DK34" s="26">
        <v>144854672.75</v>
      </c>
      <c r="DL34" s="26">
        <v>161993840.28</v>
      </c>
      <c r="DM34" s="26">
        <v>184262725.91999999</v>
      </c>
      <c r="DN34" s="26">
        <v>210915053.71000001</v>
      </c>
      <c r="DO34" s="26">
        <v>191176009.78</v>
      </c>
      <c r="DP34" s="26">
        <v>218163252.94999999</v>
      </c>
      <c r="DQ34" s="26">
        <v>186621188.48699999</v>
      </c>
      <c r="DR34" s="26">
        <v>169543159.28999999</v>
      </c>
      <c r="DS34" s="26">
        <v>163872375.47999999</v>
      </c>
      <c r="DT34" s="26">
        <v>189587787.66</v>
      </c>
      <c r="DU34" s="26">
        <v>169142460.03999999</v>
      </c>
      <c r="DV34" s="26">
        <v>154325023.93000001</v>
      </c>
      <c r="DW34" s="26">
        <v>202062062.41</v>
      </c>
      <c r="DX34" s="26">
        <v>194907320.62</v>
      </c>
      <c r="DY34" s="26">
        <v>211215589.56999999</v>
      </c>
      <c r="DZ34" s="26">
        <v>251856428.06999999</v>
      </c>
      <c r="EA34" s="26">
        <v>247211867.97</v>
      </c>
      <c r="EB34" s="26">
        <v>278340172.16000003</v>
      </c>
      <c r="EC34" s="26">
        <v>239606739.21000001</v>
      </c>
      <c r="ED34" s="26">
        <v>211412798.00999999</v>
      </c>
      <c r="EE34" s="26">
        <v>212903081.16</v>
      </c>
    </row>
    <row r="35" spans="1:135" ht="15.6" hidden="1" x14ac:dyDescent="0.25">
      <c r="A35" s="220">
        <f t="shared" si="3"/>
        <v>32</v>
      </c>
      <c r="B35" s="28" t="s">
        <v>93</v>
      </c>
      <c r="C35" s="26">
        <v>41193000</v>
      </c>
      <c r="D35" s="26">
        <v>39195070</v>
      </c>
      <c r="E35" s="26">
        <v>36075180</v>
      </c>
      <c r="F35" s="26">
        <v>38764810</v>
      </c>
      <c r="G35" s="26">
        <v>38018420</v>
      </c>
      <c r="H35" s="26">
        <v>47256890</v>
      </c>
      <c r="I35" s="26">
        <v>49864710</v>
      </c>
      <c r="J35" s="26">
        <v>51919050</v>
      </c>
      <c r="K35" s="26">
        <v>55887340</v>
      </c>
      <c r="L35" s="26">
        <v>48826430</v>
      </c>
      <c r="M35" s="26">
        <v>46589280</v>
      </c>
      <c r="N35" s="26">
        <v>41140330</v>
      </c>
      <c r="O35" s="26">
        <v>41604930</v>
      </c>
      <c r="P35" s="26">
        <v>40370922.100000001</v>
      </c>
      <c r="Q35" s="26">
        <v>37157435.399999999</v>
      </c>
      <c r="R35" s="26">
        <v>39927754.300000004</v>
      </c>
      <c r="S35" s="26">
        <v>39158972.600000001</v>
      </c>
      <c r="T35" s="26">
        <v>48674596.700000003</v>
      </c>
      <c r="U35" s="26">
        <v>51360651.300000004</v>
      </c>
      <c r="V35" s="26">
        <v>53476621.5</v>
      </c>
      <c r="W35" s="26">
        <v>57563960.200000003</v>
      </c>
      <c r="X35" s="26">
        <v>50291222.899999999</v>
      </c>
      <c r="Y35" s="26">
        <v>47986958.399999999</v>
      </c>
      <c r="Z35" s="26">
        <v>42374539.899999999</v>
      </c>
      <c r="AA35" s="26">
        <v>42853077.899999999</v>
      </c>
      <c r="AB35" s="26">
        <v>39132790</v>
      </c>
      <c r="AC35" s="26">
        <v>35633880</v>
      </c>
      <c r="AD35" s="26">
        <v>38697100</v>
      </c>
      <c r="AE35" s="26">
        <v>39816710</v>
      </c>
      <c r="AF35" s="26">
        <v>48115420</v>
      </c>
      <c r="AG35" s="26">
        <v>49086710</v>
      </c>
      <c r="AH35" s="26">
        <v>57072163</v>
      </c>
      <c r="AI35" s="26">
        <v>52666990</v>
      </c>
      <c r="AJ35" s="26">
        <v>51799959.586999997</v>
      </c>
      <c r="AK35" s="26">
        <v>49426567.152000003</v>
      </c>
      <c r="AL35" s="26">
        <v>43645776.097000003</v>
      </c>
      <c r="AM35" s="26">
        <v>44138670.236999996</v>
      </c>
      <c r="AN35" s="26">
        <v>40093426</v>
      </c>
      <c r="AO35" s="26">
        <v>38273350</v>
      </c>
      <c r="AP35" s="26">
        <v>42105951</v>
      </c>
      <c r="AQ35" s="26">
        <v>43243878</v>
      </c>
      <c r="AR35" s="26">
        <v>53383634</v>
      </c>
      <c r="AS35" s="26">
        <v>56168895</v>
      </c>
      <c r="AT35" s="26">
        <v>57072163</v>
      </c>
      <c r="AU35" s="26">
        <v>60196307</v>
      </c>
      <c r="AV35" s="26">
        <v>57795400</v>
      </c>
      <c r="AW35" s="26">
        <v>53252300</v>
      </c>
      <c r="AX35" s="26">
        <v>43642100</v>
      </c>
      <c r="AY35" s="26">
        <v>43313100</v>
      </c>
      <c r="AZ35" s="26">
        <v>42082988</v>
      </c>
      <c r="BA35" s="26">
        <v>40816666</v>
      </c>
      <c r="BB35" s="26">
        <v>42926200</v>
      </c>
      <c r="BC35" s="26">
        <v>46291400</v>
      </c>
      <c r="BD35" s="26">
        <v>58210100</v>
      </c>
      <c r="BE35" s="26">
        <v>61472000</v>
      </c>
      <c r="BF35" s="26">
        <v>62548000</v>
      </c>
      <c r="BG35" s="26">
        <v>64848000</v>
      </c>
      <c r="BH35" s="26">
        <v>55449000</v>
      </c>
      <c r="BI35" s="26">
        <v>52373000</v>
      </c>
      <c r="BJ35" s="26">
        <v>47659000</v>
      </c>
      <c r="BK35" s="26">
        <v>50191000</v>
      </c>
      <c r="BL35" s="26">
        <v>46423000</v>
      </c>
      <c r="BM35" s="26">
        <v>41825000</v>
      </c>
      <c r="BN35" s="26">
        <v>46161000</v>
      </c>
      <c r="BO35" s="26">
        <v>48087205</v>
      </c>
      <c r="BP35" s="26">
        <v>58922000</v>
      </c>
      <c r="BQ35" s="26">
        <v>62136000</v>
      </c>
      <c r="BR35" s="26">
        <v>63811000</v>
      </c>
      <c r="BS35" s="26">
        <v>78600000</v>
      </c>
      <c r="BT35" s="26">
        <v>62300000</v>
      </c>
      <c r="BU35" s="26">
        <v>61200000</v>
      </c>
      <c r="BV35" s="26">
        <v>57400000</v>
      </c>
      <c r="BW35" s="26">
        <v>57400000</v>
      </c>
      <c r="BX35" s="26">
        <v>52000000</v>
      </c>
      <c r="BY35" s="26">
        <v>44583585</v>
      </c>
      <c r="BZ35" s="26">
        <v>45983752</v>
      </c>
      <c r="CA35" s="26">
        <v>52880746</v>
      </c>
      <c r="CB35" s="26">
        <v>65443922</v>
      </c>
      <c r="CC35" s="26">
        <v>64629180</v>
      </c>
      <c r="CD35" s="26">
        <v>64407637</v>
      </c>
      <c r="CE35" s="26">
        <v>70824085</v>
      </c>
      <c r="CF35" s="26">
        <v>61261554</v>
      </c>
      <c r="CG35" s="26">
        <v>62705765</v>
      </c>
      <c r="CH35" s="26">
        <v>46948493</v>
      </c>
      <c r="CI35" s="26">
        <v>47829351</v>
      </c>
      <c r="CJ35" s="26">
        <v>48215673</v>
      </c>
      <c r="CK35" s="26">
        <v>49958132</v>
      </c>
      <c r="CL35" s="26">
        <v>60323508</v>
      </c>
      <c r="CM35" s="26">
        <v>57566546</v>
      </c>
      <c r="CN35" s="26">
        <v>58632281</v>
      </c>
      <c r="CO35" s="26">
        <v>74653780</v>
      </c>
      <c r="CP35" s="26">
        <v>75620959</v>
      </c>
      <c r="CQ35" s="26">
        <v>72785648</v>
      </c>
      <c r="CR35" s="26">
        <v>69208526</v>
      </c>
      <c r="CS35" s="26">
        <v>68267801</v>
      </c>
      <c r="CT35" s="26">
        <v>56314903</v>
      </c>
      <c r="CU35" s="26">
        <v>58624629</v>
      </c>
      <c r="CV35" s="26">
        <v>51016178</v>
      </c>
      <c r="CW35" s="26">
        <v>48628566</v>
      </c>
      <c r="CX35" s="26">
        <v>57963901</v>
      </c>
      <c r="CY35" s="26">
        <v>58235978</v>
      </c>
      <c r="CZ35" s="26">
        <v>69092537</v>
      </c>
      <c r="DA35" s="26">
        <v>71963860</v>
      </c>
      <c r="DB35" s="26">
        <v>76136565</v>
      </c>
      <c r="DC35" s="26">
        <v>81869382</v>
      </c>
      <c r="DD35" s="26">
        <v>67742382</v>
      </c>
      <c r="DE35" s="26">
        <v>65907934</v>
      </c>
      <c r="DF35" s="26">
        <v>52183931</v>
      </c>
      <c r="DG35" s="26">
        <v>57668887</v>
      </c>
      <c r="DH35" s="26">
        <v>61266280</v>
      </c>
      <c r="DI35" s="26">
        <v>55925422</v>
      </c>
      <c r="DJ35" s="26">
        <v>61972028</v>
      </c>
      <c r="DK35" s="26">
        <v>66148593</v>
      </c>
      <c r="DL35" s="26">
        <v>78326385</v>
      </c>
      <c r="DM35" s="26">
        <v>81490054</v>
      </c>
      <c r="DN35" s="26">
        <v>84671332</v>
      </c>
      <c r="DO35" s="26">
        <v>86858484</v>
      </c>
      <c r="DP35" s="26">
        <v>69897197</v>
      </c>
      <c r="DQ35" s="26">
        <v>69145223</v>
      </c>
      <c r="DR35" s="26">
        <v>65904017</v>
      </c>
      <c r="DS35" s="26">
        <v>65330194</v>
      </c>
      <c r="DT35" s="26">
        <v>63073367</v>
      </c>
      <c r="DU35" s="26">
        <v>59623658</v>
      </c>
      <c r="DV35" s="26">
        <v>67807839</v>
      </c>
      <c r="DW35" s="26">
        <v>69482951</v>
      </c>
      <c r="DX35" s="26">
        <v>77079065</v>
      </c>
      <c r="DY35" s="26">
        <v>89177746</v>
      </c>
      <c r="DZ35" s="26">
        <v>91221472</v>
      </c>
      <c r="EA35" s="26">
        <v>99380372</v>
      </c>
      <c r="EB35" s="26">
        <v>80927259</v>
      </c>
      <c r="EC35" s="26">
        <v>71770771</v>
      </c>
      <c r="ED35" s="26">
        <v>65877638</v>
      </c>
      <c r="EE35" s="26">
        <v>63361325</v>
      </c>
    </row>
    <row r="36" spans="1:135" ht="15.6" hidden="1" x14ac:dyDescent="0.25">
      <c r="A36" s="220">
        <f t="shared" si="3"/>
        <v>33</v>
      </c>
      <c r="B36" s="25" t="s">
        <v>94</v>
      </c>
      <c r="C36" s="26">
        <v>41208000</v>
      </c>
      <c r="D36" s="26">
        <v>39831370</v>
      </c>
      <c r="E36" s="26">
        <v>35837830</v>
      </c>
      <c r="F36" s="26">
        <v>38515340</v>
      </c>
      <c r="G36" s="26">
        <v>38296170</v>
      </c>
      <c r="H36" s="26">
        <v>48234570</v>
      </c>
      <c r="I36" s="26">
        <v>51920060</v>
      </c>
      <c r="J36" s="26">
        <v>54225890</v>
      </c>
      <c r="K36" s="26">
        <v>58416380</v>
      </c>
      <c r="L36" s="26">
        <v>50965610</v>
      </c>
      <c r="M36" s="26">
        <v>47758860</v>
      </c>
      <c r="N36" s="26">
        <v>41158510</v>
      </c>
      <c r="O36" s="26">
        <v>41620080</v>
      </c>
      <c r="P36" s="26">
        <v>41026311.100000001</v>
      </c>
      <c r="Q36" s="26">
        <v>38346478.100000001</v>
      </c>
      <c r="R36" s="26">
        <v>41211413.800000004</v>
      </c>
      <c r="S36" s="26">
        <v>40976901.900000006</v>
      </c>
      <c r="T36" s="26">
        <v>51610989.900000006</v>
      </c>
      <c r="U36" s="26">
        <v>55554464.200000003</v>
      </c>
      <c r="V36" s="26">
        <v>58021702.300000004</v>
      </c>
      <c r="W36" s="26">
        <v>62505526.600000001</v>
      </c>
      <c r="X36" s="26">
        <v>54533202.700000003</v>
      </c>
      <c r="Y36" s="26">
        <v>51101980.200000003</v>
      </c>
      <c r="Z36" s="26">
        <v>44039605.700000003</v>
      </c>
      <c r="AA36" s="26">
        <v>44533485.600000001</v>
      </c>
      <c r="AB36" s="26">
        <v>33976610</v>
      </c>
      <c r="AC36" s="26">
        <v>31095700</v>
      </c>
      <c r="AD36" s="26">
        <v>30279940</v>
      </c>
      <c r="AE36" s="26">
        <v>32390410</v>
      </c>
      <c r="AF36" s="26">
        <v>37134590</v>
      </c>
      <c r="AG36" s="26">
        <v>42127000</v>
      </c>
      <c r="AH36" s="26">
        <v>4769000</v>
      </c>
      <c r="AI36" s="26">
        <v>44709210</v>
      </c>
      <c r="AJ36" s="26">
        <v>58350526.889000006</v>
      </c>
      <c r="AK36" s="26">
        <v>54679118.814000003</v>
      </c>
      <c r="AL36" s="26">
        <v>47122378.099000007</v>
      </c>
      <c r="AM36" s="26">
        <v>47650829.592000008</v>
      </c>
      <c r="AN36" s="26">
        <v>32113000</v>
      </c>
      <c r="AO36" s="26">
        <v>29922000</v>
      </c>
      <c r="AP36" s="26">
        <v>32845000</v>
      </c>
      <c r="AQ36" s="26">
        <v>34365000</v>
      </c>
      <c r="AR36" s="26">
        <v>43031000</v>
      </c>
      <c r="AS36" s="26">
        <v>46743000</v>
      </c>
      <c r="AT36" s="26">
        <v>47679000</v>
      </c>
      <c r="AU36" s="26">
        <v>50246000</v>
      </c>
      <c r="AV36" s="26">
        <v>45149000</v>
      </c>
      <c r="AW36" s="26">
        <v>29896000</v>
      </c>
      <c r="AX36" s="26">
        <v>34889000</v>
      </c>
      <c r="AY36" s="26">
        <v>34510000</v>
      </c>
      <c r="AZ36" s="26">
        <v>24897000</v>
      </c>
      <c r="BA36" s="26">
        <v>22224000</v>
      </c>
      <c r="BB36" s="26">
        <v>24548000</v>
      </c>
      <c r="BC36" s="26">
        <v>27066000</v>
      </c>
      <c r="BD36" s="26">
        <v>32456000</v>
      </c>
      <c r="BE36" s="26">
        <v>35545000</v>
      </c>
      <c r="BF36" s="26">
        <v>36391000</v>
      </c>
      <c r="BG36" s="26">
        <v>39730000</v>
      </c>
      <c r="BH36" s="26">
        <v>34199000</v>
      </c>
      <c r="BI36" s="26">
        <v>31507000</v>
      </c>
      <c r="BJ36" s="26">
        <v>27638000</v>
      </c>
      <c r="BK36" s="26">
        <v>28937000</v>
      </c>
      <c r="BL36" s="26">
        <v>25568284.385473493</v>
      </c>
      <c r="BM36" s="26">
        <v>24684507.358406071</v>
      </c>
      <c r="BN36" s="26">
        <v>24724364.951322112</v>
      </c>
      <c r="BO36" s="26">
        <v>26366596.218460027</v>
      </c>
      <c r="BP36" s="26">
        <v>30961954.320980109</v>
      </c>
      <c r="BQ36" s="26">
        <v>36330889.247888505</v>
      </c>
      <c r="BR36" s="26">
        <v>37847128.143678397</v>
      </c>
      <c r="BS36" s="26">
        <v>34749884.552843153</v>
      </c>
      <c r="BT36" s="26">
        <v>31201111.652472805</v>
      </c>
      <c r="BU36" s="26">
        <v>27674274.772105884</v>
      </c>
      <c r="BV36" s="26">
        <v>23422441.902726687</v>
      </c>
      <c r="BW36" s="26">
        <v>26054771.839570735</v>
      </c>
      <c r="BX36" s="26">
        <v>33748000</v>
      </c>
      <c r="BY36" s="26">
        <v>28043074.965</v>
      </c>
      <c r="BZ36" s="26">
        <v>28655357.655651696</v>
      </c>
      <c r="CA36" s="26">
        <v>37414147.435164839</v>
      </c>
      <c r="CB36" s="26">
        <v>46983114.375141554</v>
      </c>
      <c r="CC36" s="26">
        <v>47420776.173274726</v>
      </c>
      <c r="CD36" s="26">
        <v>47448442</v>
      </c>
      <c r="CE36" s="26">
        <v>52074901.213210024</v>
      </c>
      <c r="CF36" s="26">
        <v>45327692</v>
      </c>
      <c r="CG36" s="26">
        <v>45496288.606173001</v>
      </c>
      <c r="CH36" s="26">
        <v>32995062.251560751</v>
      </c>
      <c r="CI36" s="26">
        <v>33522344</v>
      </c>
      <c r="CJ36" s="26">
        <v>31543771.345676068</v>
      </c>
      <c r="CK36" s="26">
        <v>31679358.887796357</v>
      </c>
      <c r="CL36" s="26">
        <v>38285704.712767959</v>
      </c>
      <c r="CM36" s="26">
        <v>37230688.002667457</v>
      </c>
      <c r="CN36" s="26">
        <v>38529445.844538115</v>
      </c>
      <c r="CO36" s="26">
        <v>50366339.650093041</v>
      </c>
      <c r="CP36" s="26">
        <v>51454132.803713456</v>
      </c>
      <c r="CQ36" s="26">
        <v>49527317.387372226</v>
      </c>
      <c r="CR36" s="26">
        <v>47288647.578138433</v>
      </c>
      <c r="CS36" s="26">
        <v>45723440.656376161</v>
      </c>
      <c r="CT36" s="26">
        <v>36490834.159001775</v>
      </c>
      <c r="CU36" s="26">
        <v>37717619.736037761</v>
      </c>
      <c r="CV36" s="26">
        <v>31775782.270941462</v>
      </c>
      <c r="CW36" s="26">
        <v>29510783.842661269</v>
      </c>
      <c r="CX36" s="26">
        <v>35246764.21049273</v>
      </c>
      <c r="CY36" s="26">
        <v>35996379.684216999</v>
      </c>
      <c r="CZ36" s="26">
        <v>43508241.144752607</v>
      </c>
      <c r="DA36" s="26">
        <v>46555714.977402046</v>
      </c>
      <c r="DB36" s="26">
        <v>49658861.426329985</v>
      </c>
      <c r="DC36" s="26">
        <v>53288282.839668974</v>
      </c>
      <c r="DD36" s="26">
        <v>44554272.566020317</v>
      </c>
      <c r="DE36" s="26">
        <v>42423938.369615227</v>
      </c>
      <c r="DF36" s="26">
        <v>32501568.743227184</v>
      </c>
      <c r="DG36" s="26">
        <v>35605331.421026856</v>
      </c>
      <c r="DH36" s="26">
        <v>34822818.240083098</v>
      </c>
      <c r="DI36" s="26">
        <v>30928730.524669178</v>
      </c>
      <c r="DJ36" s="26">
        <v>34341787.032469064</v>
      </c>
      <c r="DK36" s="26">
        <v>37268866.331218287</v>
      </c>
      <c r="DL36" s="26">
        <v>45044074.034897789</v>
      </c>
      <c r="DM36" s="26">
        <v>48195133.130045816</v>
      </c>
      <c r="DN36" s="26">
        <v>50498324.505062535</v>
      </c>
      <c r="DO36" s="26">
        <v>51696748.857632704</v>
      </c>
      <c r="DP36" s="26">
        <v>41989888.635993913</v>
      </c>
      <c r="DQ36" s="26">
        <v>40652377.319520049</v>
      </c>
      <c r="DR36" s="26">
        <v>37421470.389585011</v>
      </c>
      <c r="DS36" s="26">
        <v>35995578.738537841</v>
      </c>
      <c r="DT36" s="26">
        <v>59428568.393350773</v>
      </c>
      <c r="DU36" s="26">
        <v>55318518.724781536</v>
      </c>
      <c r="DV36" s="26">
        <v>63376780.263330035</v>
      </c>
      <c r="DW36" s="26">
        <v>65784447.764792524</v>
      </c>
      <c r="DX36" s="26">
        <v>74507408.583801687</v>
      </c>
      <c r="DY36" s="26">
        <v>87938324.356796816</v>
      </c>
      <c r="DZ36" s="26">
        <v>90721707.474980921</v>
      </c>
      <c r="EA36" s="26">
        <v>99094141.122712046</v>
      </c>
      <c r="EB36" s="26">
        <v>81245368.100381076</v>
      </c>
      <c r="EC36" s="26">
        <v>70814838.519735798</v>
      </c>
      <c r="ED36" s="26">
        <v>63418954.646903232</v>
      </c>
      <c r="EE36" s="26">
        <v>59387753.467524625</v>
      </c>
    </row>
    <row r="37" spans="1:135" ht="16.2" hidden="1" thickBot="1" x14ac:dyDescent="0.3">
      <c r="A37" s="220">
        <f t="shared" si="3"/>
        <v>34</v>
      </c>
      <c r="B37" s="43" t="s">
        <v>95</v>
      </c>
      <c r="C37" s="244">
        <v>213593000</v>
      </c>
      <c r="D37" s="244">
        <v>218606420</v>
      </c>
      <c r="E37" s="244">
        <v>207110600</v>
      </c>
      <c r="F37" s="244">
        <v>194726990</v>
      </c>
      <c r="G37" s="244">
        <v>193932120</v>
      </c>
      <c r="H37" s="244">
        <v>229466950</v>
      </c>
      <c r="I37" s="244">
        <v>252643420</v>
      </c>
      <c r="J37" s="244">
        <v>268284280</v>
      </c>
      <c r="K37" s="244">
        <v>279687180</v>
      </c>
      <c r="L37" s="244">
        <v>281094110</v>
      </c>
      <c r="M37" s="244">
        <v>252453540</v>
      </c>
      <c r="N37" s="244">
        <v>225161320</v>
      </c>
      <c r="O37" s="244">
        <v>215728930</v>
      </c>
      <c r="P37" s="244">
        <v>227956212.19999999</v>
      </c>
      <c r="Q37" s="244">
        <v>217461383</v>
      </c>
      <c r="R37" s="244">
        <v>204458350.10000002</v>
      </c>
      <c r="S37" s="244">
        <v>203634281</v>
      </c>
      <c r="T37" s="244">
        <v>240959851.09999999</v>
      </c>
      <c r="U37" s="244">
        <v>265316698</v>
      </c>
      <c r="V37" s="244">
        <v>281744630.80000001</v>
      </c>
      <c r="W37" s="244">
        <v>293722119.80000001</v>
      </c>
      <c r="X37" s="244">
        <v>295191599.10000002</v>
      </c>
      <c r="Y37" s="244">
        <v>265099608.60000002</v>
      </c>
      <c r="Z37" s="244">
        <v>236419749.60000002</v>
      </c>
      <c r="AA37" s="244">
        <v>226515679.5</v>
      </c>
      <c r="AB37" s="244">
        <v>203295750</v>
      </c>
      <c r="AC37" s="244">
        <v>188928580</v>
      </c>
      <c r="AD37" s="244">
        <v>180720140</v>
      </c>
      <c r="AE37" s="244">
        <v>184526670</v>
      </c>
      <c r="AF37" s="244">
        <v>208614510</v>
      </c>
      <c r="AG37" s="244">
        <v>240649710</v>
      </c>
      <c r="AH37" s="244">
        <v>208901163</v>
      </c>
      <c r="AI37" s="244">
        <v>252798250</v>
      </c>
      <c r="AJ37" s="244">
        <v>310036018.65100002</v>
      </c>
      <c r="AK37" s="244">
        <v>278416889.46600002</v>
      </c>
      <c r="AL37" s="244">
        <v>248274038.39600003</v>
      </c>
      <c r="AM37" s="244">
        <v>237875071.62900001</v>
      </c>
      <c r="AN37" s="244">
        <v>196714426</v>
      </c>
      <c r="AO37" s="244">
        <v>186728350</v>
      </c>
      <c r="AP37" s="244">
        <v>186095951</v>
      </c>
      <c r="AQ37" s="244">
        <v>202450878</v>
      </c>
      <c r="AR37" s="244">
        <v>239466634</v>
      </c>
      <c r="AS37" s="244">
        <v>247024895</v>
      </c>
      <c r="AT37" s="244">
        <v>251811163</v>
      </c>
      <c r="AU37" s="244">
        <v>266287307</v>
      </c>
      <c r="AV37" s="244">
        <v>256610400</v>
      </c>
      <c r="AW37" s="244">
        <v>214413300</v>
      </c>
      <c r="AX37" s="244">
        <v>205458100</v>
      </c>
      <c r="AY37" s="244">
        <v>194933100</v>
      </c>
      <c r="AZ37" s="244">
        <f t="shared" ref="AZ37:CJ37" si="34">SUM(AZ34:AZ36)</f>
        <v>199043188</v>
      </c>
      <c r="BA37" s="244">
        <f t="shared" si="34"/>
        <v>183875466</v>
      </c>
      <c r="BB37" s="244">
        <f t="shared" si="34"/>
        <v>171516200</v>
      </c>
      <c r="BC37" s="244">
        <f t="shared" si="34"/>
        <v>186853809.67000002</v>
      </c>
      <c r="BD37" s="244">
        <f t="shared" si="34"/>
        <v>215225359.61000001</v>
      </c>
      <c r="BE37" s="244">
        <f t="shared" si="34"/>
        <v>227942632.67000002</v>
      </c>
      <c r="BF37" s="244">
        <f t="shared" si="34"/>
        <v>244582055.80000001</v>
      </c>
      <c r="BG37" s="244">
        <f t="shared" si="34"/>
        <v>241649328.94</v>
      </c>
      <c r="BH37" s="244">
        <f t="shared" si="34"/>
        <v>257554381.44999999</v>
      </c>
      <c r="BI37" s="244">
        <f t="shared" si="34"/>
        <v>228983374.65000001</v>
      </c>
      <c r="BJ37" s="244">
        <f t="shared" si="34"/>
        <v>194420416.38</v>
      </c>
      <c r="BK37" s="244">
        <f t="shared" si="34"/>
        <v>186716853.24000001</v>
      </c>
      <c r="BL37" s="244">
        <f t="shared" si="34"/>
        <v>195270719.7854735</v>
      </c>
      <c r="BM37" s="244">
        <f t="shared" si="34"/>
        <v>184273505.92840606</v>
      </c>
      <c r="BN37" s="244">
        <f t="shared" si="34"/>
        <v>181172247.72132209</v>
      </c>
      <c r="BO37" s="244">
        <f t="shared" si="34"/>
        <v>185712649.69846004</v>
      </c>
      <c r="BP37" s="244">
        <f t="shared" si="34"/>
        <v>199338803.99098012</v>
      </c>
      <c r="BQ37" s="244">
        <f t="shared" si="34"/>
        <v>226347002.92788851</v>
      </c>
      <c r="BR37" s="244">
        <f t="shared" si="34"/>
        <v>241860230.88367841</v>
      </c>
      <c r="BS37" s="244">
        <f t="shared" si="34"/>
        <v>240930331.91284317</v>
      </c>
      <c r="BT37" s="244">
        <f t="shared" si="34"/>
        <v>269789507.47247279</v>
      </c>
      <c r="BU37" s="244">
        <f t="shared" si="34"/>
        <v>237421501.31210586</v>
      </c>
      <c r="BV37" s="244">
        <f t="shared" si="34"/>
        <v>208991460.56272668</v>
      </c>
      <c r="BW37" s="244">
        <f t="shared" si="34"/>
        <v>198950670.49957073</v>
      </c>
      <c r="BX37" s="244">
        <f t="shared" si="34"/>
        <v>189908337.361</v>
      </c>
      <c r="BY37" s="244">
        <f t="shared" si="34"/>
        <v>181837244.655</v>
      </c>
      <c r="BZ37" s="244">
        <f t="shared" si="34"/>
        <v>178751693.93565169</v>
      </c>
      <c r="CA37" s="244">
        <f t="shared" si="34"/>
        <v>193967203.03516483</v>
      </c>
      <c r="CB37" s="244">
        <f t="shared" si="34"/>
        <v>225958225.72514156</v>
      </c>
      <c r="CC37" s="244">
        <f t="shared" si="34"/>
        <v>255898466.41327474</v>
      </c>
      <c r="CD37" s="244">
        <f t="shared" si="34"/>
        <v>252385587</v>
      </c>
      <c r="CE37" s="244">
        <f t="shared" si="34"/>
        <v>254257270.41321</v>
      </c>
      <c r="CF37" s="244">
        <f t="shared" si="34"/>
        <v>264248213.75299999</v>
      </c>
      <c r="CG37" s="244">
        <f t="shared" si="34"/>
        <v>239062633.79617301</v>
      </c>
      <c r="CH37" s="244">
        <f t="shared" si="34"/>
        <v>216897204.40156075</v>
      </c>
      <c r="CI37" s="244">
        <f t="shared" si="34"/>
        <v>186670575</v>
      </c>
      <c r="CJ37" s="244">
        <f t="shared" si="34"/>
        <v>180680783.55567604</v>
      </c>
      <c r="CK37" s="244">
        <f>SUM(CK34:CK36)</f>
        <v>190100574.21779633</v>
      </c>
      <c r="CL37" s="244">
        <f>SUM(CL34:CL36)</f>
        <v>202561400.09276795</v>
      </c>
      <c r="CM37" s="244">
        <f>SUM(CM34:CM36)</f>
        <v>214365383.41266745</v>
      </c>
      <c r="CN37" s="244">
        <f t="shared" ref="CN37:CU37" si="35">SUM(CN34:CN36)</f>
        <v>221794583.15453812</v>
      </c>
      <c r="CO37" s="244">
        <f t="shared" si="35"/>
        <v>239863283.37009305</v>
      </c>
      <c r="CP37" s="244">
        <f t="shared" si="35"/>
        <v>253342121.21371347</v>
      </c>
      <c r="CQ37" s="244">
        <f t="shared" si="35"/>
        <v>254677306.71737221</v>
      </c>
      <c r="CR37" s="244">
        <f t="shared" si="35"/>
        <v>264617456.57813844</v>
      </c>
      <c r="CS37" s="244">
        <f t="shared" si="35"/>
        <v>245600357.38637617</v>
      </c>
      <c r="CT37" s="244">
        <f t="shared" si="35"/>
        <v>220669408.41900176</v>
      </c>
      <c r="CU37" s="244">
        <f t="shared" si="35"/>
        <v>202158411.70603776</v>
      </c>
      <c r="CV37" s="244">
        <f>SUM(CV34:CV36)</f>
        <v>210063284.24094146</v>
      </c>
      <c r="CW37" s="244">
        <f>SUM(CW34:CW36)</f>
        <v>202709568.99266127</v>
      </c>
      <c r="CX37" s="244">
        <f>SUM(CX34:CX36)</f>
        <v>194127114.34049273</v>
      </c>
      <c r="CY37" s="244">
        <f t="shared" ref="CY37:DI37" si="36">SUM(CY34:CY36)</f>
        <v>201252971.16421703</v>
      </c>
      <c r="CZ37" s="244">
        <f t="shared" si="36"/>
        <v>238132806.76475263</v>
      </c>
      <c r="DA37" s="244">
        <f t="shared" si="36"/>
        <v>259410211.13740206</v>
      </c>
      <c r="DB37" s="244">
        <f t="shared" si="36"/>
        <v>271135317.45633</v>
      </c>
      <c r="DC37" s="244">
        <f t="shared" si="36"/>
        <v>280636843.42966896</v>
      </c>
      <c r="DD37" s="244">
        <f t="shared" si="36"/>
        <v>294083941.75602031</v>
      </c>
      <c r="DE37" s="244">
        <f t="shared" si="36"/>
        <v>282891118.04961526</v>
      </c>
      <c r="DF37" s="244">
        <f t="shared" si="36"/>
        <v>232854077.71322718</v>
      </c>
      <c r="DG37" s="244">
        <f t="shared" si="36"/>
        <v>231800530.56102684</v>
      </c>
      <c r="DH37" s="244">
        <f t="shared" si="36"/>
        <v>240658952.48008311</v>
      </c>
      <c r="DI37" s="244">
        <f t="shared" si="36"/>
        <v>234954529.50466916</v>
      </c>
      <c r="DJ37" s="244">
        <f>SUM(DJ34:DJ36)</f>
        <v>224413905.43246907</v>
      </c>
      <c r="DK37" s="244">
        <f>SUM(DK34:DK36)</f>
        <v>248272132.0812183</v>
      </c>
      <c r="DL37" s="244">
        <f>SUM(DL34:DL36)</f>
        <v>285364299.31489778</v>
      </c>
      <c r="DM37" s="244">
        <f>SUM(DM34:DM36)</f>
        <v>313947913.05004579</v>
      </c>
      <c r="DN37" s="244">
        <f>SUM(DN34:DN36)</f>
        <v>346084710.21506256</v>
      </c>
      <c r="DO37" s="244">
        <f t="shared" ref="DO37:DZ37" si="37">SUM(DO34:DO36)</f>
        <v>329731242.63763267</v>
      </c>
      <c r="DP37" s="244">
        <f t="shared" si="37"/>
        <v>330050338.58599389</v>
      </c>
      <c r="DQ37" s="244">
        <f t="shared" si="37"/>
        <v>296418788.80652004</v>
      </c>
      <c r="DR37" s="244">
        <f t="shared" si="37"/>
        <v>272868646.67958498</v>
      </c>
      <c r="DS37" s="244">
        <f t="shared" si="37"/>
        <v>265198148.21853784</v>
      </c>
      <c r="DT37" s="244">
        <f t="shared" si="37"/>
        <v>312089723.05335075</v>
      </c>
      <c r="DU37" s="244">
        <f t="shared" si="37"/>
        <v>284084636.76478153</v>
      </c>
      <c r="DV37" s="244">
        <f t="shared" si="37"/>
        <v>285509643.19333005</v>
      </c>
      <c r="DW37" s="244">
        <f t="shared" si="37"/>
        <v>337329461.17479247</v>
      </c>
      <c r="DX37" s="244">
        <f t="shared" si="37"/>
        <v>346493794.20380169</v>
      </c>
      <c r="DY37" s="244">
        <f t="shared" si="37"/>
        <v>388331659.92679679</v>
      </c>
      <c r="DZ37" s="244">
        <f t="shared" si="37"/>
        <v>433799607.54498088</v>
      </c>
      <c r="EA37" s="244">
        <f>SUM(EA34:EA36)</f>
        <v>445686381.09271204</v>
      </c>
      <c r="EB37" s="244">
        <f>SUM(EB34:EB36)</f>
        <v>440512799.2603811</v>
      </c>
      <c r="EC37" s="244">
        <f>SUM(EC34:EC36)</f>
        <v>382192348.72973585</v>
      </c>
      <c r="ED37" s="244">
        <f>SUM(ED34:ED36)</f>
        <v>340709390.65690321</v>
      </c>
      <c r="EE37" s="244">
        <f>SUM(EE34:EE36)</f>
        <v>335652159.62752461</v>
      </c>
    </row>
    <row r="38" spans="1:135" ht="15.6" hidden="1" x14ac:dyDescent="0.25">
      <c r="A38" s="220">
        <f t="shared" si="3"/>
        <v>35</v>
      </c>
      <c r="B38" s="22" t="s">
        <v>48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 t="s">
        <v>96</v>
      </c>
      <c r="AI38" s="30">
        <v>252949300</v>
      </c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>
        <f t="shared" ref="AZ38:CJ38" si="38">AZ37/AN37-1</f>
        <v>1.1838287853886298E-2</v>
      </c>
      <c r="BA38" s="30">
        <f t="shared" si="38"/>
        <v>-1.5278258496902009E-2</v>
      </c>
      <c r="BB38" s="30">
        <f t="shared" si="38"/>
        <v>-7.8345342398126627E-2</v>
      </c>
      <c r="BC38" s="30">
        <f t="shared" si="38"/>
        <v>-7.7041248149094188E-2</v>
      </c>
      <c r="BD38" s="30">
        <f t="shared" si="38"/>
        <v>-0.10123027991448685</v>
      </c>
      <c r="BE38" s="30">
        <f t="shared" si="38"/>
        <v>-7.7248336974295562E-2</v>
      </c>
      <c r="BF38" s="30">
        <f t="shared" si="38"/>
        <v>-2.8708446098555163E-2</v>
      </c>
      <c r="BG38" s="30">
        <f t="shared" si="38"/>
        <v>-9.2524042311937893E-2</v>
      </c>
      <c r="BH38" s="30">
        <f t="shared" si="38"/>
        <v>3.678656243082834E-3</v>
      </c>
      <c r="BI38" s="30">
        <f t="shared" si="38"/>
        <v>6.7953222351412101E-2</v>
      </c>
      <c r="BJ38" s="30">
        <f t="shared" si="38"/>
        <v>-5.3722309414912406E-2</v>
      </c>
      <c r="BK38" s="30">
        <f t="shared" si="38"/>
        <v>-4.2149059138750666E-2</v>
      </c>
      <c r="BL38" s="30">
        <f t="shared" si="38"/>
        <v>-1.8953013426043497E-2</v>
      </c>
      <c r="BM38" s="30">
        <f t="shared" si="38"/>
        <v>2.1647255996950499E-3</v>
      </c>
      <c r="BN38" s="30">
        <f t="shared" si="38"/>
        <v>5.6298167294530188E-2</v>
      </c>
      <c r="BO38" s="30">
        <f t="shared" si="38"/>
        <v>-6.1072341717589573E-3</v>
      </c>
      <c r="BP38" s="30">
        <f t="shared" si="38"/>
        <v>-7.3813586130403896E-2</v>
      </c>
      <c r="BQ38" s="30">
        <f t="shared" si="38"/>
        <v>-7.0001373741328532E-3</v>
      </c>
      <c r="BR38" s="30">
        <f t="shared" si="38"/>
        <v>-1.112847345819723E-2</v>
      </c>
      <c r="BS38" s="30">
        <f t="shared" si="38"/>
        <v>-2.9753735725678299E-3</v>
      </c>
      <c r="BT38" s="30">
        <f t="shared" si="38"/>
        <v>4.7505019924687364E-2</v>
      </c>
      <c r="BU38" s="30">
        <f t="shared" si="38"/>
        <v>3.6850390011953893E-2</v>
      </c>
      <c r="BV38" s="30">
        <f t="shared" si="38"/>
        <v>7.494605995620951E-2</v>
      </c>
      <c r="BW38" s="30">
        <f t="shared" si="38"/>
        <v>6.5520691074660187E-2</v>
      </c>
      <c r="BX38" s="30">
        <f t="shared" si="38"/>
        <v>-2.7461272383103141E-2</v>
      </c>
      <c r="BY38" s="30">
        <f t="shared" si="38"/>
        <v>-1.3220898257357727E-2</v>
      </c>
      <c r="BZ38" s="30">
        <f t="shared" si="38"/>
        <v>-1.3360510873573039E-2</v>
      </c>
      <c r="CA38" s="30">
        <f t="shared" si="38"/>
        <v>4.444798644630632E-2</v>
      </c>
      <c r="CB38" s="30">
        <f t="shared" si="38"/>
        <v>0.13353858456663525</v>
      </c>
      <c r="CC38" s="30">
        <f t="shared" si="38"/>
        <v>0.130558227425706</v>
      </c>
      <c r="CD38" s="30">
        <f t="shared" si="38"/>
        <v>4.3518341472946531E-2</v>
      </c>
      <c r="CE38" s="30">
        <f t="shared" si="38"/>
        <v>5.531449027010793E-2</v>
      </c>
      <c r="CF38" s="30">
        <f t="shared" si="38"/>
        <v>-2.0539322568125407E-2</v>
      </c>
      <c r="CG38" s="30">
        <f t="shared" si="38"/>
        <v>6.9123161760726859E-3</v>
      </c>
      <c r="CH38" s="30">
        <f t="shared" si="38"/>
        <v>3.7828071144855535E-2</v>
      </c>
      <c r="CI38" s="30">
        <f t="shared" si="38"/>
        <v>-6.1724323264330083E-2</v>
      </c>
      <c r="CJ38" s="30">
        <f t="shared" si="38"/>
        <v>-4.858951393894384E-2</v>
      </c>
      <c r="CK38" s="30">
        <f>CK37/BY37-1</f>
        <v>4.5443548039205917E-2</v>
      </c>
      <c r="CL38" s="30">
        <f>CL37/BZ37-1</f>
        <v>0.13319989104935392</v>
      </c>
      <c r="CM38" s="30">
        <f>CM37/CA37-1</f>
        <v>0.10516303817509076</v>
      </c>
      <c r="CN38" s="30">
        <f t="shared" ref="CN38:DI38" si="39">CN37/CB37-1</f>
        <v>-1.842660322385492E-2</v>
      </c>
      <c r="CO38" s="30">
        <f t="shared" si="39"/>
        <v>-6.2662286601143369E-2</v>
      </c>
      <c r="CP38" s="30">
        <f t="shared" si="39"/>
        <v>3.7899716266820427E-3</v>
      </c>
      <c r="CQ38" s="30">
        <f t="shared" si="39"/>
        <v>1.6520129531776284E-3</v>
      </c>
      <c r="CR38" s="30">
        <f t="shared" si="39"/>
        <v>1.3973332871175526E-3</v>
      </c>
      <c r="CS38" s="30">
        <f t="shared" si="39"/>
        <v>2.7347325202554673E-2</v>
      </c>
      <c r="CT38" s="30">
        <f t="shared" si="39"/>
        <v>1.7391667300871161E-2</v>
      </c>
      <c r="CU38" s="30">
        <f t="shared" si="39"/>
        <v>8.2968816622747132E-2</v>
      </c>
      <c r="CV38" s="30">
        <f t="shared" si="39"/>
        <v>0.16262106078486949</v>
      </c>
      <c r="CW38" s="30">
        <f t="shared" si="39"/>
        <v>6.6328020453104708E-2</v>
      </c>
      <c r="CX38" s="30">
        <f t="shared" si="39"/>
        <v>-4.1638168715325552E-2</v>
      </c>
      <c r="CY38" s="30">
        <f t="shared" si="39"/>
        <v>-6.1168515362427622E-2</v>
      </c>
      <c r="CZ38" s="30">
        <f t="shared" si="39"/>
        <v>7.3663763009174321E-2</v>
      </c>
      <c r="DA38" s="30">
        <f t="shared" si="39"/>
        <v>8.1491954469535832E-2</v>
      </c>
      <c r="DB38" s="30">
        <f t="shared" si="39"/>
        <v>7.0233864615061758E-2</v>
      </c>
      <c r="DC38" s="30">
        <f t="shared" si="39"/>
        <v>0.10193109487020502</v>
      </c>
      <c r="DD38" s="30">
        <f t="shared" si="39"/>
        <v>0.11135503136838887</v>
      </c>
      <c r="DE38" s="30">
        <f t="shared" si="39"/>
        <v>0.15183512377619879</v>
      </c>
      <c r="DF38" s="30">
        <f t="shared" si="39"/>
        <v>5.5216848504390237E-2</v>
      </c>
      <c r="DG38" s="30">
        <f t="shared" si="39"/>
        <v>0.14662817443427589</v>
      </c>
      <c r="DH38" s="30">
        <f t="shared" si="39"/>
        <v>0.14564976621068437</v>
      </c>
      <c r="DI38" s="30">
        <f t="shared" si="39"/>
        <v>0.15906975024536352</v>
      </c>
      <c r="DJ38" s="30">
        <f>DJ37/CX37-1</f>
        <v>0.1560152542053157</v>
      </c>
      <c r="DK38" s="30">
        <f>DK37/CY37-1</f>
        <v>0.23363213295685914</v>
      </c>
      <c r="DL38" s="30">
        <f>DL37/CZ37-1</f>
        <v>0.19834097280348417</v>
      </c>
      <c r="DM38" s="30">
        <f>DM37/DA37-1</f>
        <v>0.2102372981908438</v>
      </c>
      <c r="DN38" s="30">
        <f>DN37/DB37-1</f>
        <v>0.27642799714133215</v>
      </c>
      <c r="DO38" s="30">
        <f t="shared" ref="DO38:EE38" si="40">DO37/DC37-1</f>
        <v>0.17493925105477959</v>
      </c>
      <c r="DP38" s="30">
        <f t="shared" si="40"/>
        <v>0.12229976453393787</v>
      </c>
      <c r="DQ38" s="30">
        <f t="shared" si="40"/>
        <v>4.7819354846383666E-2</v>
      </c>
      <c r="DR38" s="30">
        <f t="shared" si="40"/>
        <v>0.17184396923311773</v>
      </c>
      <c r="DS38" s="30">
        <f t="shared" si="40"/>
        <v>0.14407912517145127</v>
      </c>
      <c r="DT38" s="30">
        <f t="shared" si="40"/>
        <v>0.29681326972109723</v>
      </c>
      <c r="DU38" s="30">
        <f t="shared" si="40"/>
        <v>0.2091047461978639</v>
      </c>
      <c r="DV38" s="30">
        <f t="shared" si="40"/>
        <v>0.27224577569345842</v>
      </c>
      <c r="DW38" s="30">
        <f t="shared" si="40"/>
        <v>0.35870852015094656</v>
      </c>
      <c r="DX38" s="30">
        <f t="shared" si="40"/>
        <v>0.21421563606822414</v>
      </c>
      <c r="DY38" s="30">
        <f t="shared" si="40"/>
        <v>0.23693021607980436</v>
      </c>
      <c r="DZ38" s="30">
        <f t="shared" si="40"/>
        <v>0.25344921269538578</v>
      </c>
      <c r="EA38" s="30">
        <f t="shared" si="40"/>
        <v>0.35166560962653914</v>
      </c>
      <c r="EB38" s="30">
        <f t="shared" si="40"/>
        <v>0.33468367627687345</v>
      </c>
      <c r="EC38" s="30">
        <f t="shared" si="40"/>
        <v>0.28936613724308269</v>
      </c>
      <c r="ED38" s="30">
        <f t="shared" si="40"/>
        <v>0.24862051687814457</v>
      </c>
      <c r="EE38" s="30">
        <f t="shared" si="40"/>
        <v>0.26566554812791821</v>
      </c>
    </row>
    <row r="39" spans="1:135" ht="15.6" hidden="1" x14ac:dyDescent="0.25">
      <c r="A39" s="220">
        <f t="shared" si="3"/>
        <v>36</v>
      </c>
      <c r="B39" s="22"/>
      <c r="AH39" s="217" t="s">
        <v>97</v>
      </c>
      <c r="AI39" s="217">
        <v>-151050</v>
      </c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</row>
    <row r="40" spans="1:135" ht="15.6" hidden="1" x14ac:dyDescent="0.25">
      <c r="A40" s="220">
        <f t="shared" si="3"/>
        <v>37</v>
      </c>
      <c r="B40" s="22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</row>
    <row r="41" spans="1:135" ht="15.6" hidden="1" x14ac:dyDescent="0.25">
      <c r="A41" s="220">
        <f t="shared" si="3"/>
        <v>38</v>
      </c>
      <c r="B41" s="32" t="s">
        <v>98</v>
      </c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</row>
    <row r="42" spans="1:135" ht="15.6" hidden="1" x14ac:dyDescent="0.25">
      <c r="A42" s="220">
        <f t="shared" si="3"/>
        <v>39</v>
      </c>
      <c r="B42" s="32" t="s">
        <v>99</v>
      </c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</row>
    <row r="43" spans="1:135" ht="15.6" hidden="1" x14ac:dyDescent="0.25">
      <c r="A43" s="220">
        <f t="shared" si="3"/>
        <v>40</v>
      </c>
      <c r="B43" s="32" t="s">
        <v>100</v>
      </c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</row>
    <row r="44" spans="1:135" ht="15.6" hidden="1" x14ac:dyDescent="0.25">
      <c r="A44" s="220">
        <f t="shared" si="3"/>
        <v>41</v>
      </c>
      <c r="B44" s="22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</row>
    <row r="45" spans="1:135" ht="15.6" hidden="1" x14ac:dyDescent="0.25">
      <c r="A45" s="220">
        <f t="shared" si="3"/>
        <v>42</v>
      </c>
      <c r="B45" s="22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</row>
    <row r="46" spans="1:135" ht="15.6" hidden="1" x14ac:dyDescent="0.25">
      <c r="A46" s="220">
        <f t="shared" si="3"/>
        <v>43</v>
      </c>
      <c r="B46" s="25" t="s">
        <v>101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  <c r="H46" s="227">
        <v>0</v>
      </c>
      <c r="I46" s="227">
        <v>0</v>
      </c>
      <c r="J46" s="227">
        <v>0</v>
      </c>
      <c r="K46" s="227">
        <v>0</v>
      </c>
      <c r="L46" s="227">
        <v>0</v>
      </c>
      <c r="M46" s="227">
        <v>0</v>
      </c>
      <c r="N46" s="227">
        <v>0</v>
      </c>
      <c r="O46" s="227">
        <v>0</v>
      </c>
      <c r="P46" s="227">
        <v>0</v>
      </c>
      <c r="Q46" s="227">
        <v>0</v>
      </c>
      <c r="R46" s="227">
        <v>0</v>
      </c>
      <c r="S46" s="227">
        <v>0</v>
      </c>
      <c r="T46" s="227">
        <v>0</v>
      </c>
      <c r="U46" s="227">
        <v>0</v>
      </c>
      <c r="V46" s="227">
        <v>0</v>
      </c>
      <c r="W46" s="227">
        <v>0</v>
      </c>
      <c r="X46" s="227">
        <v>0</v>
      </c>
      <c r="Y46" s="227">
        <v>0</v>
      </c>
      <c r="Z46" s="227">
        <v>0</v>
      </c>
      <c r="AA46" s="227">
        <v>0</v>
      </c>
      <c r="AB46" s="227">
        <v>0</v>
      </c>
      <c r="AC46" s="227">
        <v>0</v>
      </c>
      <c r="AD46" s="227">
        <v>0</v>
      </c>
      <c r="AE46" s="227">
        <v>0</v>
      </c>
      <c r="AF46" s="227">
        <v>0</v>
      </c>
      <c r="AG46" s="227">
        <v>0</v>
      </c>
      <c r="AH46" s="227">
        <v>0</v>
      </c>
      <c r="AI46" s="227">
        <v>0</v>
      </c>
      <c r="AJ46" s="227">
        <v>0</v>
      </c>
      <c r="AK46" s="227">
        <v>0</v>
      </c>
      <c r="AL46" s="227">
        <v>0</v>
      </c>
      <c r="AM46" s="227">
        <v>0</v>
      </c>
      <c r="AN46" s="227">
        <v>0</v>
      </c>
      <c r="AO46" s="227">
        <v>0</v>
      </c>
      <c r="AP46" s="227">
        <v>0</v>
      </c>
      <c r="AQ46" s="227">
        <v>0</v>
      </c>
      <c r="AR46" s="227">
        <v>0</v>
      </c>
      <c r="AS46" s="227">
        <v>0</v>
      </c>
      <c r="AT46" s="227">
        <v>0</v>
      </c>
      <c r="AU46" s="227">
        <v>0</v>
      </c>
      <c r="AV46" s="227">
        <v>0</v>
      </c>
      <c r="AW46" s="227">
        <v>0</v>
      </c>
      <c r="AX46" s="227">
        <v>0</v>
      </c>
      <c r="AY46" s="227">
        <v>0</v>
      </c>
      <c r="AZ46" s="227">
        <f t="shared" ref="AZ46:BK46" si="41">SUM(AZ41:AZ44)</f>
        <v>0</v>
      </c>
      <c r="BA46" s="227">
        <f t="shared" si="41"/>
        <v>0</v>
      </c>
      <c r="BB46" s="227">
        <f t="shared" si="41"/>
        <v>0</v>
      </c>
      <c r="BC46" s="227">
        <f t="shared" si="41"/>
        <v>0</v>
      </c>
      <c r="BD46" s="227">
        <f t="shared" si="41"/>
        <v>0</v>
      </c>
      <c r="BE46" s="227">
        <f t="shared" si="41"/>
        <v>0</v>
      </c>
      <c r="BF46" s="227">
        <f t="shared" si="41"/>
        <v>0</v>
      </c>
      <c r="BG46" s="227">
        <f t="shared" si="41"/>
        <v>0</v>
      </c>
      <c r="BH46" s="227">
        <f t="shared" si="41"/>
        <v>0</v>
      </c>
      <c r="BI46" s="227">
        <f t="shared" si="41"/>
        <v>0</v>
      </c>
      <c r="BJ46" s="227">
        <f t="shared" si="41"/>
        <v>0</v>
      </c>
      <c r="BK46" s="227">
        <f t="shared" si="41"/>
        <v>0</v>
      </c>
      <c r="BL46" s="227">
        <f t="shared" ref="BL46:BW46" si="42">SUM(BL41:BL44)</f>
        <v>0</v>
      </c>
      <c r="BM46" s="227">
        <f t="shared" si="42"/>
        <v>0</v>
      </c>
      <c r="BN46" s="227">
        <f t="shared" si="42"/>
        <v>0</v>
      </c>
      <c r="BO46" s="227">
        <f t="shared" si="42"/>
        <v>0</v>
      </c>
      <c r="BP46" s="227">
        <f t="shared" si="42"/>
        <v>0</v>
      </c>
      <c r="BQ46" s="227">
        <f t="shared" si="42"/>
        <v>0</v>
      </c>
      <c r="BR46" s="227">
        <f t="shared" si="42"/>
        <v>0</v>
      </c>
      <c r="BS46" s="221">
        <f t="shared" si="42"/>
        <v>0</v>
      </c>
      <c r="BT46" s="221">
        <f t="shared" si="42"/>
        <v>0</v>
      </c>
      <c r="BU46" s="221">
        <f t="shared" si="42"/>
        <v>0</v>
      </c>
      <c r="BV46" s="221">
        <f t="shared" si="42"/>
        <v>0</v>
      </c>
      <c r="BW46" s="221">
        <f t="shared" si="42"/>
        <v>0</v>
      </c>
      <c r="BX46" s="221">
        <v>0</v>
      </c>
      <c r="BY46" s="221">
        <v>0</v>
      </c>
      <c r="BZ46" s="221">
        <v>0</v>
      </c>
      <c r="CA46" s="221">
        <v>0</v>
      </c>
      <c r="CB46" s="221">
        <v>0</v>
      </c>
      <c r="CC46" s="221">
        <v>0</v>
      </c>
      <c r="CD46" s="221">
        <v>0</v>
      </c>
      <c r="CE46" s="221">
        <v>0</v>
      </c>
      <c r="CF46" s="221">
        <v>0</v>
      </c>
      <c r="CG46" s="221">
        <v>0</v>
      </c>
      <c r="CH46" s="221">
        <v>0</v>
      </c>
      <c r="CI46" s="221">
        <v>0</v>
      </c>
      <c r="CJ46" s="221">
        <v>0</v>
      </c>
      <c r="CK46" s="221">
        <v>0</v>
      </c>
      <c r="CL46" s="221">
        <v>0</v>
      </c>
      <c r="CM46" s="221">
        <v>0</v>
      </c>
      <c r="CN46" s="221">
        <v>0</v>
      </c>
      <c r="CO46" s="221">
        <v>0</v>
      </c>
      <c r="CP46" s="221">
        <v>0</v>
      </c>
      <c r="CQ46" s="221">
        <v>0</v>
      </c>
      <c r="CR46" s="221">
        <v>0</v>
      </c>
      <c r="CS46" s="221">
        <v>0</v>
      </c>
      <c r="CT46" s="221">
        <v>0</v>
      </c>
      <c r="CU46" s="221">
        <v>0</v>
      </c>
      <c r="CV46" s="221">
        <v>0</v>
      </c>
      <c r="CW46" s="221">
        <v>0</v>
      </c>
      <c r="CX46" s="221">
        <v>0</v>
      </c>
      <c r="CY46" s="221">
        <v>0</v>
      </c>
      <c r="CZ46" s="221">
        <v>0</v>
      </c>
      <c r="DA46" s="221">
        <v>0</v>
      </c>
      <c r="DB46" s="221">
        <v>0</v>
      </c>
      <c r="DC46" s="221">
        <v>0</v>
      </c>
      <c r="DD46" s="221">
        <v>0</v>
      </c>
      <c r="DE46" s="221">
        <v>0</v>
      </c>
      <c r="DF46" s="221">
        <v>0</v>
      </c>
      <c r="DG46" s="221">
        <v>0</v>
      </c>
      <c r="DH46" s="221">
        <v>0</v>
      </c>
      <c r="DI46" s="221">
        <v>0</v>
      </c>
      <c r="DJ46" s="221">
        <v>0</v>
      </c>
      <c r="DK46" s="221">
        <v>0</v>
      </c>
      <c r="DL46" s="221">
        <v>0</v>
      </c>
      <c r="DM46" s="221">
        <v>0</v>
      </c>
      <c r="DN46" s="221">
        <v>0</v>
      </c>
      <c r="DO46" s="221">
        <v>0</v>
      </c>
      <c r="DP46" s="221">
        <v>0</v>
      </c>
      <c r="DQ46" s="221">
        <v>0</v>
      </c>
      <c r="DR46" s="221">
        <v>0</v>
      </c>
      <c r="DS46" s="221">
        <v>0</v>
      </c>
      <c r="DT46" s="221">
        <v>0</v>
      </c>
      <c r="DU46" s="221">
        <v>0</v>
      </c>
      <c r="DV46" s="221">
        <v>0</v>
      </c>
      <c r="DW46" s="221">
        <v>0</v>
      </c>
      <c r="DX46" s="221">
        <v>0</v>
      </c>
      <c r="DY46" s="221">
        <v>0</v>
      </c>
      <c r="DZ46" s="221">
        <v>0</v>
      </c>
      <c r="EA46" s="221">
        <v>0</v>
      </c>
      <c r="EB46" s="221">
        <v>0</v>
      </c>
      <c r="EC46" s="221">
        <v>0</v>
      </c>
      <c r="ED46" s="221">
        <v>0</v>
      </c>
      <c r="EE46" s="221">
        <v>0</v>
      </c>
    </row>
    <row r="47" spans="1:135" ht="15.6" hidden="1" x14ac:dyDescent="0.25">
      <c r="A47" s="220">
        <f t="shared" si="3"/>
        <v>44</v>
      </c>
      <c r="B47" s="22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</row>
    <row r="48" spans="1:135" ht="15.6" hidden="1" x14ac:dyDescent="0.25">
      <c r="A48" s="220">
        <f t="shared" si="3"/>
        <v>45</v>
      </c>
      <c r="B48" s="32" t="s">
        <v>102</v>
      </c>
      <c r="C48" s="26">
        <v>412442.7053859203</v>
      </c>
      <c r="D48" s="26">
        <v>210879.99619834032</v>
      </c>
      <c r="E48" s="26">
        <v>-54686.220629457996</v>
      </c>
      <c r="F48" s="26">
        <v>-57651.379031795164</v>
      </c>
      <c r="G48" s="26">
        <v>30491.412578600866</v>
      </c>
      <c r="H48" s="26">
        <v>14851.688763995684</v>
      </c>
      <c r="I48" s="26">
        <v>66634.459760943428</v>
      </c>
      <c r="J48" s="26">
        <v>56429.367714388762</v>
      </c>
      <c r="K48" s="26">
        <v>-33505</v>
      </c>
      <c r="L48" s="26">
        <v>63548.842166777838</v>
      </c>
      <c r="M48" s="26">
        <v>162777.06</v>
      </c>
      <c r="N48" s="26">
        <v>213752</v>
      </c>
      <c r="O48" s="26">
        <v>273605.56458241702</v>
      </c>
      <c r="P48" s="26">
        <v>156285</v>
      </c>
      <c r="Q48" s="26">
        <v>-95009</v>
      </c>
      <c r="R48" s="26">
        <v>-89351</v>
      </c>
      <c r="S48" s="26">
        <v>-93323</v>
      </c>
      <c r="T48" s="26">
        <v>-191517</v>
      </c>
      <c r="U48" s="26">
        <v>-107210</v>
      </c>
      <c r="V48" s="26">
        <v>-109037</v>
      </c>
      <c r="W48" s="26">
        <v>34024</v>
      </c>
      <c r="X48" s="26">
        <v>98838</v>
      </c>
      <c r="Y48" s="26">
        <v>230179</v>
      </c>
      <c r="Z48" s="26">
        <v>245388</v>
      </c>
      <c r="AA48" s="26">
        <v>280575</v>
      </c>
      <c r="AB48" s="26">
        <v>21997</v>
      </c>
      <c r="AC48" s="26">
        <v>-145771</v>
      </c>
      <c r="AD48" s="26">
        <v>-163323</v>
      </c>
      <c r="AE48" s="26">
        <v>-22117</v>
      </c>
      <c r="AF48" s="26">
        <v>-113318</v>
      </c>
      <c r="AG48" s="26">
        <v>-91742</v>
      </c>
      <c r="AH48" s="26">
        <v>-99205</v>
      </c>
      <c r="AI48" s="26">
        <v>37001</v>
      </c>
      <c r="AJ48" s="26">
        <v>140897</v>
      </c>
      <c r="AK48" s="26">
        <v>257768</v>
      </c>
      <c r="AL48" s="26">
        <v>258332</v>
      </c>
      <c r="AM48" s="26">
        <v>295395</v>
      </c>
      <c r="AN48" s="26">
        <v>36948</v>
      </c>
      <c r="AO48" s="26">
        <v>-90707</v>
      </c>
      <c r="AP48" s="26">
        <v>-146158</v>
      </c>
      <c r="AQ48" s="26">
        <v>4144</v>
      </c>
      <c r="AR48" s="26">
        <v>-107988</v>
      </c>
      <c r="AS48" s="26">
        <v>-103114</v>
      </c>
      <c r="AT48" s="26">
        <v>-109932</v>
      </c>
      <c r="AU48" s="26">
        <v>88103</v>
      </c>
      <c r="AV48" s="26">
        <v>129418</v>
      </c>
      <c r="AW48" s="26">
        <v>250151</v>
      </c>
      <c r="AX48" s="26">
        <v>297603</v>
      </c>
      <c r="AY48" s="26">
        <v>165483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0</v>
      </c>
      <c r="DJ48" s="26">
        <v>0</v>
      </c>
      <c r="DK48" s="26">
        <v>0</v>
      </c>
      <c r="DL48" s="26">
        <v>0</v>
      </c>
      <c r="DM48" s="26">
        <v>0</v>
      </c>
      <c r="DN48" s="26">
        <v>0</v>
      </c>
      <c r="DO48" s="26">
        <v>0</v>
      </c>
      <c r="DP48" s="26">
        <v>0</v>
      </c>
      <c r="DQ48" s="26">
        <v>0</v>
      </c>
      <c r="DR48" s="26">
        <v>0</v>
      </c>
      <c r="DS48" s="26">
        <v>0</v>
      </c>
      <c r="DT48" s="26">
        <v>0</v>
      </c>
      <c r="DU48" s="26">
        <v>0</v>
      </c>
      <c r="DV48" s="26">
        <v>0</v>
      </c>
      <c r="DW48" s="26">
        <v>0</v>
      </c>
      <c r="DX48" s="26">
        <v>0</v>
      </c>
      <c r="DY48" s="26">
        <v>0</v>
      </c>
      <c r="DZ48" s="26">
        <v>0</v>
      </c>
      <c r="EA48" s="26">
        <v>0</v>
      </c>
      <c r="EB48" s="26">
        <v>0</v>
      </c>
      <c r="EC48" s="26">
        <v>0</v>
      </c>
      <c r="ED48" s="26">
        <v>0</v>
      </c>
      <c r="EE48" s="26">
        <v>0</v>
      </c>
    </row>
    <row r="49" spans="2:135" hidden="1" x14ac:dyDescent="0.25">
      <c r="B49" s="22"/>
      <c r="BS49" s="234"/>
      <c r="BT49" s="234"/>
      <c r="BU49" s="234"/>
      <c r="BV49" s="234"/>
      <c r="BW49" s="234"/>
      <c r="BX49" s="234"/>
      <c r="BY49" s="234"/>
      <c r="BZ49" s="234"/>
      <c r="CA49" s="234"/>
      <c r="CB49" s="234"/>
      <c r="CC49" s="234"/>
      <c r="CD49" s="234"/>
      <c r="CE49" s="234"/>
      <c r="CF49" s="234"/>
      <c r="CG49" s="234"/>
      <c r="CH49" s="234"/>
      <c r="CI49" s="234"/>
      <c r="CJ49" s="234"/>
      <c r="CK49" s="234"/>
      <c r="CL49" s="234"/>
      <c r="CM49" s="234"/>
      <c r="CN49" s="234"/>
      <c r="CO49" s="234"/>
      <c r="CP49" s="234"/>
      <c r="CQ49" s="234"/>
      <c r="CR49" s="234"/>
      <c r="CS49" s="234"/>
      <c r="CT49" s="234"/>
      <c r="CU49" s="234"/>
      <c r="CV49" s="234"/>
      <c r="CW49" s="234"/>
      <c r="CX49" s="234"/>
      <c r="CY49" s="234"/>
      <c r="CZ49" s="234"/>
      <c r="DA49" s="234"/>
      <c r="DB49" s="234"/>
      <c r="DC49" s="234"/>
      <c r="DD49" s="234"/>
      <c r="DE49" s="234"/>
      <c r="DF49" s="234"/>
      <c r="DG49" s="234"/>
      <c r="DH49" s="234"/>
      <c r="DI49" s="234"/>
      <c r="DJ49" s="234"/>
      <c r="DK49" s="234"/>
      <c r="DL49" s="234"/>
      <c r="DM49" s="234"/>
      <c r="DN49" s="234"/>
      <c r="DO49" s="234"/>
      <c r="DP49" s="234"/>
      <c r="DQ49" s="234"/>
      <c r="DR49" s="234"/>
      <c r="DS49" s="234"/>
      <c r="DT49" s="234"/>
      <c r="DU49" s="234"/>
      <c r="DV49" s="234"/>
      <c r="DW49" s="234"/>
      <c r="DX49" s="234"/>
      <c r="DY49" s="234"/>
      <c r="DZ49" s="234"/>
      <c r="EA49" s="234"/>
      <c r="EB49" s="234"/>
      <c r="EC49" s="234"/>
      <c r="ED49" s="234"/>
      <c r="EE49" s="234"/>
    </row>
    <row r="50" spans="2:135" hidden="1" x14ac:dyDescent="0.25">
      <c r="B50" s="22"/>
      <c r="BS50" s="245"/>
      <c r="BT50" s="245"/>
      <c r="BU50" s="245"/>
      <c r="BV50" s="245"/>
      <c r="BW50" s="245"/>
      <c r="BX50" s="245"/>
      <c r="BY50" s="245"/>
      <c r="BZ50" s="245"/>
      <c r="CA50" s="245"/>
      <c r="CB50" s="245"/>
      <c r="CC50" s="245"/>
      <c r="CD50" s="245"/>
      <c r="CE50" s="245"/>
      <c r="CF50" s="245"/>
      <c r="CG50" s="245"/>
      <c r="CH50" s="245"/>
      <c r="CI50" s="245"/>
      <c r="CJ50" s="245"/>
      <c r="CK50" s="245"/>
      <c r="CL50" s="245"/>
      <c r="CM50" s="245"/>
      <c r="CN50" s="245"/>
      <c r="CO50" s="245"/>
      <c r="CP50" s="245"/>
      <c r="CQ50" s="245"/>
      <c r="CR50" s="245"/>
      <c r="CS50" s="245"/>
      <c r="CT50" s="245"/>
      <c r="CU50" s="245"/>
      <c r="CV50" s="245"/>
      <c r="CW50" s="245"/>
      <c r="CX50" s="245"/>
      <c r="CY50" s="245"/>
      <c r="CZ50" s="245"/>
      <c r="DA50" s="245"/>
      <c r="DB50" s="245"/>
      <c r="DC50" s="245"/>
      <c r="DD50" s="245"/>
      <c r="DE50" s="245"/>
      <c r="DF50" s="245"/>
      <c r="DG50" s="245"/>
      <c r="DH50" s="245"/>
      <c r="DI50" s="245"/>
      <c r="DJ50" s="245"/>
      <c r="DK50" s="245"/>
      <c r="DL50" s="245"/>
      <c r="DM50" s="245"/>
      <c r="DN50" s="245"/>
      <c r="DO50" s="245"/>
      <c r="DP50" s="245"/>
      <c r="DQ50" s="245"/>
      <c r="DR50" s="245"/>
      <c r="DS50" s="245"/>
      <c r="DT50" s="245"/>
      <c r="DU50" s="245"/>
      <c r="DV50" s="245"/>
      <c r="DW50" s="245"/>
      <c r="DX50" s="245"/>
      <c r="DY50" s="246"/>
      <c r="DZ50" s="245"/>
      <c r="EA50" s="246"/>
      <c r="EB50" s="245"/>
      <c r="EC50" s="246"/>
      <c r="ED50" s="245"/>
      <c r="EE50" s="246"/>
    </row>
    <row r="51" spans="2:135" hidden="1" x14ac:dyDescent="0.25">
      <c r="B51" s="22"/>
      <c r="BO51" s="245"/>
      <c r="BP51" s="245"/>
      <c r="BQ51" s="245"/>
      <c r="BR51" s="2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</row>
    <row r="52" spans="2:135" hidden="1" x14ac:dyDescent="0.25">
      <c r="B52" s="22"/>
      <c r="BO52" s="247"/>
    </row>
    <row r="53" spans="2:135" hidden="1" x14ac:dyDescent="0.25">
      <c r="B53" s="22" t="s">
        <v>120</v>
      </c>
      <c r="BO53" s="247"/>
      <c r="CL53" s="232">
        <f>CL23*0.004</f>
        <v>810245.60037107184</v>
      </c>
      <c r="CM53" s="232">
        <f>CM23*0.004</f>
        <v>857461.53365066985</v>
      </c>
      <c r="CN53" s="232">
        <f>CN23*0.004</f>
        <v>887178.33261815249</v>
      </c>
      <c r="CO53" s="232">
        <f t="shared" ref="CO53:CU53" si="43">CO23*0.004</f>
        <v>959453.13348037226</v>
      </c>
      <c r="CP53" s="232">
        <f t="shared" si="43"/>
        <v>1013368.4848548539</v>
      </c>
      <c r="CQ53" s="232">
        <f t="shared" si="43"/>
        <v>1018709.2268694888</v>
      </c>
      <c r="CR53" s="232">
        <f t="shared" si="43"/>
        <v>1058469.8263125538</v>
      </c>
      <c r="CS53" s="232">
        <f t="shared" si="43"/>
        <v>982401.42954550474</v>
      </c>
      <c r="CT53" s="232">
        <f t="shared" si="43"/>
        <v>882677.63367600704</v>
      </c>
      <c r="CU53" s="232">
        <f t="shared" si="43"/>
        <v>808633.64682415104</v>
      </c>
    </row>
    <row r="54" spans="2:135" hidden="1" x14ac:dyDescent="0.25">
      <c r="B54" s="22" t="s">
        <v>121</v>
      </c>
      <c r="BO54" s="247"/>
      <c r="CJ54" s="248"/>
      <c r="CK54" s="248"/>
      <c r="CL54" s="248">
        <f>(CL53-CL24)+CL17</f>
        <v>1311729.1825454496</v>
      </c>
      <c r="CM54" s="248">
        <f>(CM53-CM24)+CM17</f>
        <v>431823.71522545861</v>
      </c>
      <c r="CN54" s="248">
        <f>(CN53-CN24)+CN17</f>
        <v>327101.11285975948</v>
      </c>
      <c r="CO54" s="248">
        <f t="shared" ref="CO54:CU54" si="44">(CO53-CO24)+CO17</f>
        <v>3473603.1767971301</v>
      </c>
      <c r="CP54" s="248">
        <f t="shared" si="44"/>
        <v>1273901.0896014969</v>
      </c>
      <c r="CQ54" s="248">
        <f t="shared" si="44"/>
        <v>1496840.9879268794</v>
      </c>
      <c r="CR54" s="248">
        <f t="shared" si="44"/>
        <v>1927134.0323656034</v>
      </c>
      <c r="CS54" s="248">
        <f t="shared" si="44"/>
        <v>1348422.9891709629</v>
      </c>
      <c r="CT54" s="248">
        <f t="shared" si="44"/>
        <v>1223802.4252041981</v>
      </c>
      <c r="CU54" s="248">
        <f t="shared" si="44"/>
        <v>1008904.3754034883</v>
      </c>
    </row>
    <row r="55" spans="2:135" hidden="1" x14ac:dyDescent="0.25">
      <c r="B55" s="22" t="s">
        <v>122</v>
      </c>
      <c r="BO55" s="247"/>
      <c r="CJ55" s="249">
        <f>CJ17</f>
        <v>243650</v>
      </c>
      <c r="CK55" s="249">
        <f>CK17</f>
        <v>208296</v>
      </c>
      <c r="CL55" s="249">
        <f>CL17</f>
        <v>807778</v>
      </c>
      <c r="CM55" s="249">
        <f>CM17</f>
        <v>-147832</v>
      </c>
      <c r="CN55" s="248">
        <f>CN19-1000</f>
        <v>220552.99388321111</v>
      </c>
      <c r="CO55" s="248">
        <f>CO19-1000</f>
        <v>241462.32215194701</v>
      </c>
      <c r="CP55" s="248">
        <f>CP19+500000</f>
        <v>708857.77622472844</v>
      </c>
      <c r="CQ55" s="248">
        <f>CQ19+500000</f>
        <v>746593.22327834903</v>
      </c>
      <c r="CR55" s="248">
        <f>CR19+500000+26000</f>
        <v>896306.61660292628</v>
      </c>
      <c r="CS55" s="248">
        <f>CS19-12000</f>
        <v>407038.55291213235</v>
      </c>
      <c r="CT55" s="248">
        <f>CT19-49000</f>
        <v>297466.54065896623</v>
      </c>
      <c r="CU55" s="248">
        <f>CU19-177000</f>
        <v>279101.61029971624</v>
      </c>
    </row>
    <row r="56" spans="2:135" hidden="1" x14ac:dyDescent="0.25">
      <c r="B56" s="22"/>
      <c r="BO56" s="247"/>
      <c r="CJ56" s="248"/>
      <c r="CK56" s="248"/>
      <c r="CL56" s="248"/>
      <c r="CM56" s="248"/>
      <c r="CN56" s="248"/>
      <c r="CO56" s="248"/>
      <c r="CP56" s="248"/>
      <c r="CQ56" s="248"/>
      <c r="CR56" s="248"/>
      <c r="CS56" s="248"/>
      <c r="CT56" s="248"/>
      <c r="CU56" s="248"/>
    </row>
    <row r="57" spans="2:135" hidden="1" x14ac:dyDescent="0.25">
      <c r="B57" s="22" t="s">
        <v>126</v>
      </c>
      <c r="BO57" s="247"/>
      <c r="CJ57" s="250">
        <f>243650/1000</f>
        <v>243.65</v>
      </c>
      <c r="CK57" s="250">
        <f>-186128/1000</f>
        <v>-186.12799999999999</v>
      </c>
      <c r="CL57" s="250">
        <v>1202</v>
      </c>
      <c r="CM57" s="250">
        <f>-147832/1000</f>
        <v>-147.83199999999999</v>
      </c>
      <c r="CN57" s="249">
        <v>-275.58699999999999</v>
      </c>
      <c r="CO57" s="249">
        <v>2778.41183</v>
      </c>
      <c r="CP57" s="249">
        <v>491.88922891999965</v>
      </c>
      <c r="CQ57" s="248">
        <v>769</v>
      </c>
      <c r="CR57" s="248">
        <v>777</v>
      </c>
      <c r="CS57" s="248">
        <v>717</v>
      </c>
      <c r="CT57" s="248">
        <v>604</v>
      </c>
      <c r="CU57" s="248">
        <v>577</v>
      </c>
      <c r="CV57" s="227">
        <f>SUM(CJ57:CU57)</f>
        <v>7550.4040589199994</v>
      </c>
    </row>
    <row r="58" spans="2:135" hidden="1" x14ac:dyDescent="0.25">
      <c r="B58" s="22"/>
      <c r="BO58" s="247"/>
      <c r="CN58" s="248"/>
      <c r="CO58" s="248"/>
      <c r="CP58" s="248"/>
      <c r="CQ58" s="248"/>
      <c r="CR58" s="248"/>
      <c r="CS58" s="248"/>
      <c r="CT58" s="248"/>
      <c r="CU58" s="248"/>
      <c r="DU58" s="251"/>
      <c r="DV58" s="251"/>
      <c r="DW58" s="251"/>
      <c r="DX58" s="251" t="s">
        <v>127</v>
      </c>
      <c r="DY58" s="118"/>
      <c r="DZ58" s="118"/>
      <c r="EA58" s="118"/>
      <c r="EB58" s="118"/>
      <c r="EC58" s="118"/>
      <c r="ED58" s="118"/>
      <c r="EE58" s="118"/>
    </row>
    <row r="59" spans="2:135" hidden="1" x14ac:dyDescent="0.25">
      <c r="BO59" s="247"/>
      <c r="CJ59" s="248"/>
      <c r="CK59" s="248"/>
      <c r="CL59" s="248"/>
      <c r="CM59" s="248"/>
      <c r="CN59" s="248"/>
      <c r="CO59" s="248"/>
      <c r="CP59" s="248"/>
      <c r="CQ59" s="248"/>
      <c r="CR59" s="248"/>
      <c r="CS59" s="248"/>
      <c r="CT59" s="248"/>
      <c r="CU59" s="248"/>
    </row>
    <row r="60" spans="2:135" hidden="1" x14ac:dyDescent="0.25">
      <c r="B60" s="22"/>
      <c r="BO60" s="247"/>
      <c r="CN60" s="248"/>
      <c r="CO60" s="248"/>
    </row>
    <row r="61" spans="2:135" hidden="1" x14ac:dyDescent="0.25">
      <c r="B61" s="22"/>
      <c r="BN61" s="252"/>
      <c r="CR61" s="248"/>
    </row>
    <row r="62" spans="2:135" hidden="1" x14ac:dyDescent="0.25">
      <c r="B62" s="22"/>
      <c r="CO62" s="248"/>
    </row>
    <row r="63" spans="2:135" hidden="1" x14ac:dyDescent="0.25">
      <c r="B63" s="22"/>
      <c r="CR63" s="248"/>
      <c r="CS63" s="248"/>
      <c r="CT63" s="248"/>
      <c r="CU63" s="248"/>
    </row>
    <row r="64" spans="2:135" hidden="1" x14ac:dyDescent="0.25">
      <c r="B64" s="22"/>
    </row>
    <row r="65" spans="2:88" hidden="1" x14ac:dyDescent="0.25">
      <c r="B65" s="22"/>
    </row>
    <row r="66" spans="2:88" hidden="1" x14ac:dyDescent="0.25">
      <c r="B66" s="22"/>
    </row>
    <row r="67" spans="2:88" hidden="1" x14ac:dyDescent="0.25">
      <c r="B67" s="22"/>
    </row>
    <row r="68" spans="2:88" hidden="1" x14ac:dyDescent="0.25">
      <c r="B68" s="22"/>
    </row>
    <row r="69" spans="2:88" hidden="1" x14ac:dyDescent="0.25">
      <c r="B69" s="46" t="s">
        <v>123</v>
      </c>
    </row>
    <row r="70" spans="2:88" hidden="1" x14ac:dyDescent="0.25">
      <c r="B70" s="22"/>
    </row>
    <row r="71" spans="2:88" hidden="1" x14ac:dyDescent="0.25">
      <c r="B71" s="47" t="s">
        <v>124</v>
      </c>
      <c r="BO71" s="248"/>
      <c r="BP71" s="248"/>
      <c r="BQ71" s="248"/>
      <c r="BR71" s="248"/>
      <c r="BS71" s="248"/>
      <c r="BT71" s="248"/>
      <c r="BU71" s="248"/>
      <c r="BV71" s="248"/>
      <c r="BW71" s="248"/>
      <c r="BX71" s="248"/>
      <c r="BY71" s="248"/>
      <c r="BZ71" s="248"/>
    </row>
    <row r="72" spans="2:88" hidden="1" x14ac:dyDescent="0.25">
      <c r="B72" s="47" t="s">
        <v>125</v>
      </c>
      <c r="BO72" s="227"/>
      <c r="BP72" s="227"/>
      <c r="BQ72" s="227"/>
      <c r="BR72" s="227"/>
      <c r="BS72" s="227"/>
      <c r="BT72" s="227"/>
      <c r="BU72" s="227"/>
      <c r="BV72" s="227"/>
      <c r="BW72" s="227"/>
      <c r="BX72" s="227"/>
      <c r="BY72" s="227"/>
      <c r="BZ72" s="227"/>
    </row>
    <row r="73" spans="2:88" hidden="1" x14ac:dyDescent="0.25">
      <c r="B73" s="22"/>
    </row>
    <row r="74" spans="2:88" hidden="1" x14ac:dyDescent="0.25">
      <c r="B74" s="22"/>
    </row>
    <row r="75" spans="2:88" x14ac:dyDescent="0.25">
      <c r="B75" s="22"/>
    </row>
    <row r="76" spans="2:88" x14ac:dyDescent="0.25">
      <c r="B76" s="22"/>
    </row>
    <row r="77" spans="2:88" x14ac:dyDescent="0.25">
      <c r="B77" s="22"/>
    </row>
    <row r="78" spans="2:88" x14ac:dyDescent="0.25">
      <c r="B78" s="22"/>
    </row>
    <row r="79" spans="2:88" x14ac:dyDescent="0.25">
      <c r="B79" s="22"/>
    </row>
    <row r="80" spans="2:88" x14ac:dyDescent="0.25">
      <c r="B80" s="22"/>
      <c r="BO80" s="248"/>
      <c r="BP80" s="248"/>
      <c r="BQ80" s="248"/>
      <c r="BR80" s="248"/>
      <c r="BS80" s="248"/>
      <c r="BT80" s="248"/>
      <c r="BU80" s="248"/>
      <c r="BV80" s="248"/>
      <c r="BW80" s="248"/>
      <c r="CI80" s="248"/>
      <c r="CJ80" s="248"/>
    </row>
    <row r="81" spans="2:2" x14ac:dyDescent="0.25">
      <c r="B81" s="22"/>
    </row>
  </sheetData>
  <printOptions horizontalCentered="1"/>
  <pageMargins left="0.25" right="0.25" top="0.75" bottom="0.75" header="0.3" footer="0.3"/>
  <pageSetup orientation="landscape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67C6-178B-44A3-9BA5-787B590A2145}">
  <sheetPr codeName="Sheet6">
    <tabColor theme="4"/>
    <pageSetUpPr fitToPage="1"/>
  </sheetPr>
  <dimension ref="A1:AA642"/>
  <sheetViews>
    <sheetView view="pageBreakPreview" topLeftCell="N114" zoomScale="70" zoomScaleNormal="78" zoomScaleSheetLayoutView="70" workbookViewId="0">
      <selection activeCell="O101" sqref="O101"/>
    </sheetView>
  </sheetViews>
  <sheetFormatPr defaultColWidth="8.6640625" defaultRowHeight="15" customHeight="1" outlineLevelRow="1" outlineLevelCol="1" x14ac:dyDescent="0.2"/>
  <cols>
    <col min="1" max="1" width="15.109375" style="190" hidden="1" customWidth="1" outlineLevel="1"/>
    <col min="2" max="2" width="19.6640625" style="190" hidden="1" customWidth="1" outlineLevel="1"/>
    <col min="3" max="4" width="15.109375" style="190" hidden="1" customWidth="1" outlineLevel="1"/>
    <col min="5" max="5" width="41.6640625" style="190" hidden="1" customWidth="1" outlineLevel="1"/>
    <col min="6" max="7" width="16.33203125" style="190" hidden="1" customWidth="1" outlineLevel="1"/>
    <col min="8" max="8" width="5.5546875" style="190" hidden="1" customWidth="1" outlineLevel="1" collapsed="1"/>
    <col min="9" max="10" width="5.5546875" style="190" hidden="1" customWidth="1" outlineLevel="1"/>
    <col min="11" max="11" width="9.109375" style="190" hidden="1" customWidth="1" outlineLevel="1"/>
    <col min="12" max="12" width="2" style="192" customWidth="1" collapsed="1"/>
    <col min="13" max="13" width="24.5546875" style="192" customWidth="1"/>
    <col min="14" max="14" width="48.6640625" style="192" customWidth="1"/>
    <col min="15" max="27" width="19.6640625" style="192" customWidth="1"/>
    <col min="28" max="16384" width="8.6640625" style="192"/>
  </cols>
  <sheetData>
    <row r="1" spans="1:27" s="129" customFormat="1" ht="15" hidden="1" customHeight="1" outlineLevel="1" x14ac:dyDescent="0.25">
      <c r="A1" s="127" t="s">
        <v>128</v>
      </c>
      <c r="B1" s="128" t="str">
        <f>_xll.EPMReportID(B7)</f>
        <v>000</v>
      </c>
      <c r="D1" s="130" t="s">
        <v>129</v>
      </c>
      <c r="E1" s="129" t="s">
        <v>130</v>
      </c>
      <c r="J1" s="129">
        <v>2</v>
      </c>
      <c r="N1" s="131">
        <v>2</v>
      </c>
      <c r="P1" s="132" t="s">
        <v>131</v>
      </c>
      <c r="Q1" s="128" t="str">
        <f>IF(R1=1,"TRUE","FALSE")</f>
        <v>TRUE</v>
      </c>
      <c r="R1" s="128">
        <f>IF(N26=P1,1,0)</f>
        <v>1</v>
      </c>
    </row>
    <row r="2" spans="1:27" s="129" customFormat="1" ht="15" hidden="1" customHeight="1" outlineLevel="1" x14ac:dyDescent="0.25">
      <c r="A2" s="127" t="s">
        <v>132</v>
      </c>
      <c r="B2" s="133" t="s">
        <v>133</v>
      </c>
      <c r="D2" s="134" t="s">
        <v>134</v>
      </c>
      <c r="E2" s="129" t="s">
        <v>130</v>
      </c>
      <c r="N2" s="131"/>
      <c r="P2" s="132" t="s">
        <v>135</v>
      </c>
      <c r="Q2" s="129" t="str">
        <f>_xll.EPMReportOptions("000",IF(R1=1,"KeepEmptyRows =RemoveEmptyandZero","KeepEmptyRows =True"))</f>
        <v>EPMReportOptions on report 000</v>
      </c>
    </row>
    <row r="3" spans="1:27" s="129" customFormat="1" ht="15" hidden="1" customHeight="1" outlineLevel="1" x14ac:dyDescent="0.25">
      <c r="A3" s="127" t="s">
        <v>136</v>
      </c>
      <c r="B3" s="135" t="s">
        <v>137</v>
      </c>
      <c r="D3" s="136" t="s">
        <v>138</v>
      </c>
      <c r="N3" s="137"/>
    </row>
    <row r="4" spans="1:27" s="129" customFormat="1" ht="15" hidden="1" customHeight="1" outlineLevel="1" x14ac:dyDescent="0.25">
      <c r="D4" s="138" t="s">
        <v>139</v>
      </c>
      <c r="E4" s="139" t="s">
        <v>140</v>
      </c>
      <c r="G4" s="140" t="str">
        <f>_xll.EPMMemberProperty(,E4,"CALC")</f>
        <v>#Error, no current connection.</v>
      </c>
      <c r="H4" s="140" t="e">
        <f>VALUE(_xll.EPMMemberProperty(,E4,"HLEVEL"))</f>
        <v>#VALUE!</v>
      </c>
      <c r="I4" s="141"/>
      <c r="J4" s="141"/>
      <c r="K4" s="141"/>
      <c r="M4" s="142" t="e">
        <f>REPT(" ",$H4)&amp;_xll.EPMMemberDesc($E4)</f>
        <v>#VALUE!</v>
      </c>
      <c r="N4" s="142" t="e">
        <f>REPT(" ",$H4)&amp;($E4)</f>
        <v>#VALUE!</v>
      </c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s="129" customFormat="1" ht="15" hidden="1" customHeight="1" outlineLevel="1" x14ac:dyDescent="0.25">
      <c r="A5" s="127" t="s">
        <v>141</v>
      </c>
      <c r="B5" s="134" t="s">
        <v>142</v>
      </c>
      <c r="C5" s="144" t="s">
        <v>143</v>
      </c>
      <c r="D5" s="145"/>
    </row>
    <row r="6" spans="1:27" s="129" customFormat="1" ht="15" hidden="1" customHeight="1" outlineLevel="1" x14ac:dyDescent="0.25">
      <c r="A6" s="127" t="s">
        <v>144</v>
      </c>
      <c r="B6" s="134" t="s">
        <v>145</v>
      </c>
      <c r="C6" s="144" t="s">
        <v>146</v>
      </c>
      <c r="D6" s="146" t="s">
        <v>147</v>
      </c>
      <c r="E6" s="129" t="str">
        <f>_xll.EPMMemberProperty(,D6,"YEAR")</f>
        <v>#Error, no current connection.</v>
      </c>
      <c r="F6" s="129" t="str">
        <f>D6</f>
        <v>FORECAST</v>
      </c>
      <c r="K6" s="147" t="str">
        <f>_xll.EPMMemberDesc(L6)</f>
        <v>#Error, no current connection.</v>
      </c>
      <c r="L6" s="132" t="s">
        <v>148</v>
      </c>
      <c r="M6" s="148" t="str">
        <f>"LDEP(9,"&amp;L6&amp;"),"&amp;L6</f>
        <v>LDEP(9,REVENUES),REVENUES</v>
      </c>
      <c r="N6" s="129">
        <f>IFERROR(IF(VLOOKUP($N$25,$D$6:$D$7,1,FALSE)&lt;&gt;"",1,0),0)</f>
        <v>1</v>
      </c>
      <c r="O6" s="129" t="str">
        <f>_xll.EPMMemberProperty(,O16,"CURRENTMONTH")&amp;$N$6</f>
        <v>#Error, no current connection.1</v>
      </c>
      <c r="P6" s="129" t="str">
        <f>_xll.EPMMemberProperty(,P16,"CURRENTMONTH")&amp;$N$6</f>
        <v>#Error, no current connection.1</v>
      </c>
      <c r="Q6" s="129" t="str">
        <f>_xll.EPMMemberProperty(,Q16,"CURRENTMONTH")&amp;$N$6</f>
        <v>#Error, no current connection.1</v>
      </c>
      <c r="R6" s="129" t="str">
        <f>_xll.EPMMemberProperty(,R16,"CURRENTMONTH")&amp;$N$6</f>
        <v>#Error, no current connection.1</v>
      </c>
      <c r="S6" s="129" t="str">
        <f>_xll.EPMMemberProperty(,S16,"CURRENTMONTH")&amp;$N$6</f>
        <v>#Error, no current connection.1</v>
      </c>
      <c r="T6" s="129" t="str">
        <f>_xll.EPMMemberProperty(,T16,"CURRENTMONTH")&amp;$N$6</f>
        <v>#Error, no current connection.1</v>
      </c>
      <c r="U6" s="129" t="str">
        <f>_xll.EPMMemberProperty(,U16,"CURRENTMONTH")&amp;$N$6</f>
        <v>#Error, no current connection.1</v>
      </c>
      <c r="V6" s="129" t="str">
        <f>_xll.EPMMemberProperty(,V16,"CURRENTMONTH")&amp;$N$6</f>
        <v>#Error, no current connection.1</v>
      </c>
      <c r="W6" s="129" t="str">
        <f>_xll.EPMMemberProperty(,W16,"CURRENTMONTH")&amp;$N$6</f>
        <v>#Error, no current connection.1</v>
      </c>
      <c r="X6" s="129" t="str">
        <f>_xll.EPMMemberProperty(,X16,"CURRENTMONTH")&amp;$N$6</f>
        <v>#Error, no current connection.1</v>
      </c>
      <c r="Y6" s="129" t="str">
        <f>_xll.EPMMemberProperty(,Y16,"CURRENTMONTH")&amp;$N$6</f>
        <v>#Error, no current connection.1</v>
      </c>
      <c r="Z6" s="129" t="str">
        <f>_xll.EPMMemberProperty(,Z16,"CURRENTMONTH")&amp;$N$6</f>
        <v>#Error, no current connection.1</v>
      </c>
    </row>
    <row r="7" spans="1:27" s="129" customFormat="1" ht="15" hidden="1" customHeight="1" outlineLevel="1" x14ac:dyDescent="0.25">
      <c r="A7" s="127" t="s">
        <v>149</v>
      </c>
      <c r="B7" s="149" t="str">
        <f xml:space="preserve"> _xll.EPMOlapMemberO(B16,"[COSTCENTER].[PARENTH1].[1002]","1002","","000")</f>
        <v>1002</v>
      </c>
      <c r="C7" s="144" t="s">
        <v>150</v>
      </c>
      <c r="D7" s="146" t="s">
        <v>151</v>
      </c>
      <c r="E7" s="129" t="str">
        <f>_xll.EPMMemberProperty(,D7,"YEAR")</f>
        <v>#Error, no current connection.</v>
      </c>
      <c r="F7" s="129" t="str">
        <f>D7</f>
        <v>WKG_BUDGET</v>
      </c>
      <c r="K7" s="147" t="str">
        <f>_xll.EPMMemberDesc(L7)</f>
        <v>#Error, no current connection.</v>
      </c>
      <c r="L7" s="132" t="s">
        <v>152</v>
      </c>
      <c r="M7" s="148" t="str">
        <f>"LDEP(99,"&amp;L7&amp;"),"&amp;L7</f>
        <v>LDEP(99,ELECTRIC),ELECTRIC</v>
      </c>
    </row>
    <row r="8" spans="1:27" s="129" customFormat="1" ht="15" hidden="1" customHeight="1" outlineLevel="1" x14ac:dyDescent="0.25">
      <c r="A8" s="127" t="s">
        <v>153</v>
      </c>
      <c r="B8" s="134" t="s">
        <v>145</v>
      </c>
      <c r="C8" s="144" t="s">
        <v>146</v>
      </c>
      <c r="D8" s="145"/>
      <c r="E8" s="129" t="s">
        <v>154</v>
      </c>
      <c r="F8" s="129" t="str">
        <f>+F6</f>
        <v>FORECAST</v>
      </c>
      <c r="G8" s="129" t="s">
        <v>155</v>
      </c>
      <c r="H8" s="129" t="str">
        <f>_xll.EPMSelectMember("","[I_ENTITY].[PARENTH1].[IE_NA]","","",FALSE)</f>
        <v>#Error, no current connection.</v>
      </c>
      <c r="K8" s="147" t="str">
        <f>_xll.EPMMemberDesc(L8)</f>
        <v>#Error, no current connection.</v>
      </c>
      <c r="L8" s="132" t="s">
        <v>156</v>
      </c>
      <c r="M8" s="148" t="str">
        <f>"LDEP(99,"&amp;L8&amp;"),"&amp;L8</f>
        <v>LDEP(99,GAS),GAS</v>
      </c>
      <c r="O8" s="150" t="s">
        <v>157</v>
      </c>
    </row>
    <row r="9" spans="1:27" s="129" customFormat="1" ht="15" hidden="1" customHeight="1" outlineLevel="1" x14ac:dyDescent="0.25">
      <c r="A9" s="127" t="s">
        <v>158</v>
      </c>
      <c r="B9" s="149" t="str">
        <f xml:space="preserve"> _xll.EPMOlapMemberO(B17,"[ENTITY].[PARENTH1].[E_2201]","E_2201","","000")</f>
        <v>E_2201</v>
      </c>
      <c r="C9" s="144" t="s">
        <v>150</v>
      </c>
      <c r="D9" s="145"/>
      <c r="E9" s="129" t="s">
        <v>159</v>
      </c>
      <c r="F9" s="129" t="str">
        <f>+F7</f>
        <v>WKG_BUDGET</v>
      </c>
      <c r="G9" s="129" t="s">
        <v>155</v>
      </c>
      <c r="H9" s="129" t="str">
        <f>_xll.EPMSelectMember("","[I_ENTITY].[PARENTH1].[IE_NA]","","",FALSE)</f>
        <v>#Error, no current connection.</v>
      </c>
      <c r="K9" s="147" t="str">
        <f>_xll.EPMMemberDesc(L9)</f>
        <v>#Error, no current connection.</v>
      </c>
      <c r="L9" s="132" t="s">
        <v>160</v>
      </c>
      <c r="M9" s="148" t="str">
        <f>"LDEP(99,"&amp;L9&amp;"),"&amp;L9</f>
        <v>LDEP(99,UNREGULATED),UNREGULATED</v>
      </c>
      <c r="O9" s="151" t="s">
        <v>161</v>
      </c>
    </row>
    <row r="10" spans="1:27" s="129" customFormat="1" ht="15" hidden="1" customHeight="1" outlineLevel="1" x14ac:dyDescent="0.25">
      <c r="A10" s="127" t="s">
        <v>162</v>
      </c>
      <c r="B10" s="149" t="str">
        <f xml:space="preserve"> _xll.EPMOlapMemberO("[FLOW].[PARENTH1].[NO_FLOW]","","NO_FLOW","","000")</f>
        <v>NO_FLOW</v>
      </c>
      <c r="C10" s="144" t="s">
        <v>163</v>
      </c>
      <c r="D10" s="152" t="str">
        <f>IFERROR(VLOOKUP(LEFT($N$24,4),$E$6:$F$7,2,FALSE),"ACTUAL")</f>
        <v>ACTUAL</v>
      </c>
      <c r="E10" s="129" t="s">
        <v>164</v>
      </c>
      <c r="F10" s="129" t="str">
        <f>+F8</f>
        <v>FORECAST</v>
      </c>
      <c r="G10" s="129" t="s">
        <v>165</v>
      </c>
      <c r="H10" s="129" t="str">
        <f>_xll.EPMSelectMember("","[I_ENTITY].[PARENTH1].[IE_NA]","","",FALSE)</f>
        <v>#Error, no current connection.</v>
      </c>
      <c r="K10" s="147" t="str">
        <f>_xll.EPMMemberDesc(L10)</f>
        <v>#Error, no current connection.</v>
      </c>
      <c r="L10" s="132" t="s">
        <v>166</v>
      </c>
      <c r="M10" s="148" t="str">
        <f>"LDEP(99,"&amp;L10&amp;"),"&amp;L10</f>
        <v>LDEP(99,SVC_CO_REV),SVC_CO_REV</v>
      </c>
      <c r="O10" s="151" t="s">
        <v>144</v>
      </c>
    </row>
    <row r="11" spans="1:27" s="129" customFormat="1" ht="15" hidden="1" customHeight="1" outlineLevel="1" x14ac:dyDescent="0.25">
      <c r="A11" s="127" t="s">
        <v>167</v>
      </c>
      <c r="B11" s="153"/>
      <c r="C11" s="144" t="s">
        <v>163</v>
      </c>
      <c r="D11" s="145"/>
      <c r="E11" s="129" t="s">
        <v>168</v>
      </c>
      <c r="F11" s="129" t="str">
        <f>+F9</f>
        <v>WKG_BUDGET</v>
      </c>
      <c r="G11" s="129" t="s">
        <v>165</v>
      </c>
      <c r="H11" s="129" t="str">
        <f>_xll.EPMSelectMember("","[I_ENTITY].[PARENTH1].[IE_NA]","","",FALSE)</f>
        <v>#Error, no current connection.</v>
      </c>
      <c r="M11" s="154" t="s">
        <v>169</v>
      </c>
      <c r="N11" s="155" t="s">
        <v>170</v>
      </c>
      <c r="O11" s="129" t="str">
        <f>_xll.EPMSelectMember(,IFERROR(VLOOKUP(O6&amp;$N$11,$E$8:$H$11,4,FALSE),$E$12))</f>
        <v>#Error, no current connection.</v>
      </c>
      <c r="P11" s="129" t="str">
        <f>_xll.EPMSelectMember(,IFERROR(VLOOKUP(P6&amp;$N$11,$E$8:$H$11,4,FALSE),$E$12))</f>
        <v>#Error, no current connection.</v>
      </c>
      <c r="Q11" s="129" t="str">
        <f>_xll.EPMSelectMember(,IFERROR(VLOOKUP(Q6&amp;$N$11,$E$8:$H$11,4,FALSE),$E$12))</f>
        <v>#Error, no current connection.</v>
      </c>
      <c r="R11" s="129" t="str">
        <f>_xll.EPMSelectMember(,IFERROR(VLOOKUP(R6&amp;$N$11,$E$8:$H$11,4,FALSE),$E$12))</f>
        <v>#Error, no current connection.</v>
      </c>
      <c r="S11" s="129" t="str">
        <f>_xll.EPMSelectMember(,IFERROR(VLOOKUP(S6&amp;$N$11,$E$8:$H$11,4,FALSE),$E$12))</f>
        <v>#Error, no current connection.</v>
      </c>
      <c r="T11" s="129" t="str">
        <f>_xll.EPMSelectMember(,IFERROR(VLOOKUP(T6&amp;$N$11,$E$8:$H$11,4,FALSE),$E$12))</f>
        <v>#Error, no current connection.</v>
      </c>
      <c r="U11" s="129" t="str">
        <f>_xll.EPMSelectMember(,IFERROR(VLOOKUP(U6&amp;$N$11,$E$8:$H$11,4,FALSE),$E$12))</f>
        <v>#Error, no current connection.</v>
      </c>
      <c r="V11" s="129" t="str">
        <f>_xll.EPMSelectMember(,IFERROR(VLOOKUP(V6&amp;$N$11,$E$8:$H$11,4,FALSE),$E$12))</f>
        <v>#Error, no current connection.</v>
      </c>
      <c r="W11" s="129" t="str">
        <f>_xll.EPMSelectMember(,IFERROR(VLOOKUP(W6&amp;$N$11,$E$8:$H$11,4,FALSE),$E$12))</f>
        <v>#Error, no current connection.</v>
      </c>
      <c r="X11" s="129" t="str">
        <f>_xll.EPMSelectMember(,IFERROR(VLOOKUP(X6&amp;$N$11,$E$8:$H$11,4,FALSE),$E$12))</f>
        <v>#Error, no current connection.</v>
      </c>
      <c r="Y11" s="129" t="str">
        <f>_xll.EPMSelectMember(,IFERROR(VLOOKUP(Y6&amp;$N$11,$E$8:$H$11,4,FALSE),$E$12))</f>
        <v>#Error, no current connection.</v>
      </c>
      <c r="Z11" s="129" t="str">
        <f>_xll.EPMSelectMember(,IFERROR(VLOOKUP(Z6&amp;$N$11,$E$8:$H$11,4,FALSE),$E$12))</f>
        <v>#Error, no current connection.</v>
      </c>
    </row>
    <row r="12" spans="1:27" s="129" customFormat="1" ht="15" hidden="1" customHeight="1" outlineLevel="1" x14ac:dyDescent="0.25">
      <c r="A12" s="127" t="s">
        <v>171</v>
      </c>
      <c r="B12" s="149" t="str">
        <f xml:space="preserve"> _xll.EPMOlapMemberO("[RPTCURRENCY].[].[LC]","","LC","","000")</f>
        <v>LC</v>
      </c>
      <c r="C12" s="144" t="s">
        <v>163</v>
      </c>
      <c r="D12" s="145"/>
      <c r="E12" s="129" t="str">
        <f>_xll.EPMSelectMember("","[I_ENTITY].[PARENTH1].[ALL_IE_ENTITIES]","","",FALSE)</f>
        <v>#Error, no current connection.</v>
      </c>
      <c r="O12" s="156" t="s">
        <v>172</v>
      </c>
      <c r="P12" s="156" t="s">
        <v>173</v>
      </c>
      <c r="Q12" s="156" t="s">
        <v>174</v>
      </c>
      <c r="R12" s="156" t="s">
        <v>175</v>
      </c>
      <c r="S12" s="156" t="s">
        <v>176</v>
      </c>
      <c r="T12" s="156" t="s">
        <v>177</v>
      </c>
      <c r="U12" s="156" t="s">
        <v>178</v>
      </c>
      <c r="V12" s="156" t="s">
        <v>179</v>
      </c>
      <c r="W12" s="156" t="s">
        <v>180</v>
      </c>
      <c r="X12" s="156" t="s">
        <v>181</v>
      </c>
      <c r="Y12" s="156" t="s">
        <v>182</v>
      </c>
      <c r="Z12" s="156" t="s">
        <v>183</v>
      </c>
      <c r="AA12" s="156" t="s">
        <v>184</v>
      </c>
    </row>
    <row r="13" spans="1:27" s="129" customFormat="1" ht="15" hidden="1" customHeight="1" outlineLevel="1" x14ac:dyDescent="0.25">
      <c r="A13" s="127" t="s">
        <v>161</v>
      </c>
      <c r="B13" s="134" t="s">
        <v>145</v>
      </c>
      <c r="C13" s="144" t="s">
        <v>146</v>
      </c>
      <c r="D13" s="145"/>
      <c r="M13" s="157" t="s">
        <v>185</v>
      </c>
      <c r="N13" s="157" t="s">
        <v>186</v>
      </c>
      <c r="O13" s="158" t="str">
        <f t="shared" ref="O13:AA13" si="0">LEFT($N$24,5)&amp;O12</f>
        <v>2025.JAN</v>
      </c>
      <c r="P13" s="158" t="str">
        <f t="shared" si="0"/>
        <v>2025.FEB</v>
      </c>
      <c r="Q13" s="158" t="str">
        <f t="shared" si="0"/>
        <v>2025.MAR</v>
      </c>
      <c r="R13" s="158" t="str">
        <f t="shared" si="0"/>
        <v>2025.APR</v>
      </c>
      <c r="S13" s="158" t="str">
        <f t="shared" si="0"/>
        <v>2025.MAY</v>
      </c>
      <c r="T13" s="158" t="str">
        <f t="shared" si="0"/>
        <v>2025.JUN</v>
      </c>
      <c r="U13" s="158" t="str">
        <f t="shared" si="0"/>
        <v>2025.JUL</v>
      </c>
      <c r="V13" s="158" t="str">
        <f t="shared" si="0"/>
        <v>2025.AUG</v>
      </c>
      <c r="W13" s="158" t="str">
        <f t="shared" si="0"/>
        <v>2025.SEP</v>
      </c>
      <c r="X13" s="158" t="str">
        <f t="shared" si="0"/>
        <v>2025.OCT</v>
      </c>
      <c r="Y13" s="158" t="str">
        <f t="shared" si="0"/>
        <v>2025.NOV</v>
      </c>
      <c r="Z13" s="158" t="str">
        <f t="shared" si="0"/>
        <v>2025.DEC</v>
      </c>
      <c r="AA13" s="158" t="str">
        <f t="shared" si="0"/>
        <v>2025.TOTAL</v>
      </c>
    </row>
    <row r="14" spans="1:27" s="129" customFormat="1" ht="15" hidden="1" customHeight="1" outlineLevel="1" x14ac:dyDescent="0.25">
      <c r="A14" s="159" t="s">
        <v>187</v>
      </c>
      <c r="B14" s="149" t="str">
        <f xml:space="preserve"> _xll.EPMOlapMemberO("[MEASURES].[].[PERIODIC]","","PERIODIC","","000")</f>
        <v>PERIODIC</v>
      </c>
      <c r="C14" s="144" t="s">
        <v>163</v>
      </c>
      <c r="D14" s="145"/>
      <c r="E14" s="160" t="s">
        <v>188</v>
      </c>
      <c r="F14" s="155" t="s">
        <v>189</v>
      </c>
      <c r="G14" s="161" t="str">
        <f>_xll.EPMMemberDesc(F14)</f>
        <v>#Error, no current connection.</v>
      </c>
      <c r="M14" s="157" t="s">
        <v>190</v>
      </c>
      <c r="N14" s="157" t="s">
        <v>191</v>
      </c>
      <c r="O14" s="162" t="str">
        <f t="shared" ref="O14:AA14" si="1">$N$25</f>
        <v>WKG_BUDGET</v>
      </c>
      <c r="P14" s="162" t="str">
        <f t="shared" si="1"/>
        <v>WKG_BUDGET</v>
      </c>
      <c r="Q14" s="162" t="str">
        <f t="shared" si="1"/>
        <v>WKG_BUDGET</v>
      </c>
      <c r="R14" s="162" t="str">
        <f t="shared" si="1"/>
        <v>WKG_BUDGET</v>
      </c>
      <c r="S14" s="162" t="str">
        <f t="shared" si="1"/>
        <v>WKG_BUDGET</v>
      </c>
      <c r="T14" s="162" t="str">
        <f t="shared" si="1"/>
        <v>WKG_BUDGET</v>
      </c>
      <c r="U14" s="162" t="str">
        <f t="shared" si="1"/>
        <v>WKG_BUDGET</v>
      </c>
      <c r="V14" s="162" t="str">
        <f t="shared" si="1"/>
        <v>WKG_BUDGET</v>
      </c>
      <c r="W14" s="162" t="str">
        <f t="shared" si="1"/>
        <v>WKG_BUDGET</v>
      </c>
      <c r="X14" s="162" t="str">
        <f t="shared" si="1"/>
        <v>WKG_BUDGET</v>
      </c>
      <c r="Y14" s="162" t="str">
        <f t="shared" si="1"/>
        <v>WKG_BUDGET</v>
      </c>
      <c r="Z14" s="162" t="str">
        <f t="shared" si="1"/>
        <v>WKG_BUDGET</v>
      </c>
      <c r="AA14" s="162" t="str">
        <f t="shared" si="1"/>
        <v>WKG_BUDGET</v>
      </c>
    </row>
    <row r="15" spans="1:27" s="129" customFormat="1" ht="15" hidden="1" customHeight="1" outlineLevel="1" x14ac:dyDescent="0.25">
      <c r="A15" s="163" t="s">
        <v>192</v>
      </c>
      <c r="B15" s="164"/>
      <c r="O15" s="165" t="str">
        <f>_xll.EPMSelectMember(,IFERROR(VLOOKUP(O6&amp;$N$11,$E$8:$G$11,3,FALSE),VLOOKUP($N$11,$B$22:$C$23,2,FALSE)))</f>
        <v>#Error, no current connection.</v>
      </c>
      <c r="P15" s="165" t="str">
        <f>_xll.EPMSelectMember(,IFERROR(VLOOKUP(P6&amp;$N$11,$E$8:$G$11,3,FALSE),VLOOKUP($N$11,$B$22:$C$23,2,FALSE)))</f>
        <v>#Error, no current connection.</v>
      </c>
      <c r="Q15" s="165" t="str">
        <f>_xll.EPMSelectMember(,IFERROR(VLOOKUP(Q6&amp;$N$11,$E$8:$G$11,3,FALSE),VLOOKUP($N$11,$B$22:$C$23,2,FALSE)))</f>
        <v>#Error, no current connection.</v>
      </c>
      <c r="R15" s="165" t="str">
        <f>_xll.EPMSelectMember(,IFERROR(VLOOKUP(R6&amp;$N$11,$E$8:$G$11,3,FALSE),VLOOKUP($N$11,$B$22:$C$23,2,FALSE)))</f>
        <v>#Error, no current connection.</v>
      </c>
      <c r="S15" s="165" t="str">
        <f>_xll.EPMSelectMember(,IFERROR(VLOOKUP(S6&amp;$N$11,$E$8:$G$11,3,FALSE),VLOOKUP($N$11,$B$22:$C$23,2,FALSE)))</f>
        <v>#Error, no current connection.</v>
      </c>
      <c r="T15" s="165" t="str">
        <f>_xll.EPMSelectMember(,IFERROR(VLOOKUP(T6&amp;$N$11,$E$8:$G$11,3,FALSE),VLOOKUP($N$11,$B$22:$C$23,2,FALSE)))</f>
        <v>#Error, no current connection.</v>
      </c>
      <c r="U15" s="165" t="str">
        <f>_xll.EPMSelectMember(,IFERROR(VLOOKUP(U6&amp;$N$11,$E$8:$G$11,3,FALSE),VLOOKUP($N$11,$B$22:$C$23,2,FALSE)))</f>
        <v>#Error, no current connection.</v>
      </c>
      <c r="V15" s="165" t="str">
        <f>_xll.EPMSelectMember(,IFERROR(VLOOKUP(V6&amp;$N$11,$E$8:$G$11,3,FALSE),VLOOKUP($N$11,$B$22:$C$23,2,FALSE)))</f>
        <v>#Error, no current connection.</v>
      </c>
      <c r="W15" s="165" t="str">
        <f>_xll.EPMSelectMember(,IFERROR(VLOOKUP(W6&amp;$N$11,$E$8:$G$11,3,FALSE),VLOOKUP($N$11,$B$22:$C$23,2,FALSE)))</f>
        <v>#Error, no current connection.</v>
      </c>
      <c r="X15" s="165" t="str">
        <f>_xll.EPMSelectMember(,IFERROR(VLOOKUP(X6&amp;$N$11,$E$8:$G$11,3,FALSE),VLOOKUP($N$11,$B$22:$C$23,2,FALSE)))</f>
        <v>#Error, no current connection.</v>
      </c>
      <c r="Y15" s="165" t="str">
        <f>_xll.EPMSelectMember(,IFERROR(VLOOKUP(Y6&amp;$N$11,$E$8:$G$11,3,FALSE),VLOOKUP($N$11,$B$22:$C$23,2,FALSE)))</f>
        <v>#Error, no current connection.</v>
      </c>
      <c r="Z15" s="165" t="str">
        <f>_xll.EPMSelectMember(,IFERROR(VLOOKUP(Z6&amp;$N$11,$E$8:$G$11,3,FALSE),VLOOKUP($N$11,$B$22:$C$23,2,FALSE)))</f>
        <v>#Error, no current connection.</v>
      </c>
      <c r="AA15" s="165"/>
    </row>
    <row r="16" spans="1:27" s="129" customFormat="1" ht="15" hidden="1" customHeight="1" outlineLevel="1" x14ac:dyDescent="0.25">
      <c r="A16" s="127" t="s">
        <v>149</v>
      </c>
      <c r="B16" s="166" t="str">
        <f>N22</f>
        <v>1002</v>
      </c>
      <c r="C16" s="145" t="s">
        <v>193</v>
      </c>
      <c r="D16" s="129" t="str">
        <f>_xll.EPMMemberProperty(,_xll.EPMContextMember(,"COSTCENTER"),"TYPE")</f>
        <v>#Error, no current connection.</v>
      </c>
      <c r="E16" s="167" t="s">
        <v>148</v>
      </c>
      <c r="N16" s="168" t="str">
        <f xml:space="preserve"> _xll.EPMOlapMemberO("[Blank Member]","","","","000")</f>
        <v/>
      </c>
      <c r="O16" s="168" t="str">
        <f xml:space="preserve"> _xll.EPMOlapMemberO(O13,"[TIME].[PARENTH1].[2020.JAN]","2020 JAN","","000")</f>
        <v>2025.JAN</v>
      </c>
      <c r="P16" s="168" t="str">
        <f xml:space="preserve"> _xll.EPMOlapMemberO(P13,"[TIME].[PARENTH1].[2020.FEB]","2020 FEB","","000")</f>
        <v>2025.FEB</v>
      </c>
      <c r="Q16" s="168" t="str">
        <f xml:space="preserve"> _xll.EPMOlapMemberO(Q13,"[TIME].[PARENTH1].[2020.MAR]","2020 MAR","","000")</f>
        <v>2025.MAR</v>
      </c>
      <c r="R16" s="168" t="str">
        <f xml:space="preserve"> _xll.EPMOlapMemberO(R13,"[TIME].[PARENTH1].[2020.APR]","2020 APR","","000")</f>
        <v>2025.APR</v>
      </c>
      <c r="S16" s="168" t="str">
        <f xml:space="preserve"> _xll.EPMOlapMemberO(S13,"[TIME].[PARENTH1].[2020.MAY]","2020 MAY","","000")</f>
        <v>2025.MAY</v>
      </c>
      <c r="T16" s="168" t="str">
        <f xml:space="preserve"> _xll.EPMOlapMemberO(T13,"[TIME].[PARENTH1].[2020.JUN]","2020 JUN","","000")</f>
        <v>2025.JUN</v>
      </c>
      <c r="U16" s="168" t="str">
        <f xml:space="preserve"> _xll.EPMOlapMemberO(U13,"[TIME].[PARENTH1].[2020.JUL]","2020 JUL","","000")</f>
        <v>2025.JUL</v>
      </c>
      <c r="V16" s="168" t="str">
        <f xml:space="preserve"> _xll.EPMOlapMemberO(V13,"[TIME].[PARENTH1].[2020.AUG]","2020 AUG","","000")</f>
        <v>2025.AUG</v>
      </c>
      <c r="W16" s="168" t="str">
        <f xml:space="preserve"> _xll.EPMOlapMemberO(W13,"[TIME].[PARENTH1].[2020.SEP]","2020 SEP","","000")</f>
        <v>2025.SEP</v>
      </c>
      <c r="X16" s="168" t="str">
        <f xml:space="preserve"> _xll.EPMOlapMemberO(X13,"[TIME].[PARENTH1].[2020.OCT]","2020 OCT","","000")</f>
        <v>2025.OCT</v>
      </c>
      <c r="Y16" s="168" t="str">
        <f xml:space="preserve"> _xll.EPMOlapMemberO(Y13,"[TIME].[PARENTH1].[2020.NOV]","2020 NOV","","000")</f>
        <v>2025.NOV</v>
      </c>
      <c r="Z16" s="168" t="str">
        <f xml:space="preserve"> _xll.EPMOlapMemberO(Z13,"[TIME].[PARENTH1].[2020.DEC]","2020 DEC","","000")</f>
        <v>2025.DEC</v>
      </c>
      <c r="AA16" s="168" t="str">
        <f xml:space="preserve"> _xll.EPMOlapMemberO(Z13,"[TIME].[PARENTH1].[2020.DEC]","2020 DEC","","000")</f>
        <v>2025.DEC</v>
      </c>
    </row>
    <row r="17" spans="1:27" s="129" customFormat="1" ht="15" hidden="1" customHeight="1" outlineLevel="1" x14ac:dyDescent="0.25">
      <c r="A17" s="169" t="s">
        <v>158</v>
      </c>
      <c r="B17" s="166" t="str">
        <f>N23</f>
        <v>E_2201</v>
      </c>
      <c r="C17" s="145" t="s">
        <v>193</v>
      </c>
      <c r="D17" s="129" t="str">
        <f>_xll.EPMSelectMember(,IF(D16="PC",_xll.EPMContextMember(,"COSTCENTER"),"1002"))</f>
        <v>#Error, no current connection.</v>
      </c>
      <c r="E17" s="167" t="s">
        <v>194</v>
      </c>
      <c r="N17" s="168" t="str">
        <f xml:space="preserve"> _xll.EPMOlapMemberO("[Blank Member]","","","","000")</f>
        <v/>
      </c>
      <c r="O17" s="168" t="str">
        <f xml:space="preserve"> _xll.EPMOlapMemberO(O14,"[CATEGORY].[PARENTH1].[FORECAST]","FORECAST","","000")</f>
        <v>WKG_BUDGET</v>
      </c>
      <c r="P17" s="168" t="str">
        <f xml:space="preserve"> _xll.EPMOlapMemberO(P14,"[CATEGORY].[PARENTH1].[FORECAST]","FORECAST","","000")</f>
        <v>WKG_BUDGET</v>
      </c>
      <c r="Q17" s="168" t="str">
        <f xml:space="preserve"> _xll.EPMOlapMemberO(Q14,"[CATEGORY].[PARENTH1].[FORECAST]","FORECAST","","000")</f>
        <v>WKG_BUDGET</v>
      </c>
      <c r="R17" s="168" t="str">
        <f xml:space="preserve"> _xll.EPMOlapMemberO(R14,"[CATEGORY].[PARENTH1].[FORECAST]","FORECAST","","000")</f>
        <v>WKG_BUDGET</v>
      </c>
      <c r="S17" s="168" t="str">
        <f xml:space="preserve"> _xll.EPMOlapMemberO(S14,"[CATEGORY].[PARENTH1].[FORECAST]","FORECAST","","000")</f>
        <v>WKG_BUDGET</v>
      </c>
      <c r="T17" s="168" t="str">
        <f xml:space="preserve"> _xll.EPMOlapMemberO(T14,"[CATEGORY].[PARENTH1].[FORECAST]","FORECAST","","000")</f>
        <v>WKG_BUDGET</v>
      </c>
      <c r="U17" s="168" t="str">
        <f xml:space="preserve"> _xll.EPMOlapMemberO(U14,"[CATEGORY].[PARENTH1].[FORECAST]","FORECAST","","000")</f>
        <v>WKG_BUDGET</v>
      </c>
      <c r="V17" s="168" t="str">
        <f xml:space="preserve"> _xll.EPMOlapMemberO(V14,"[CATEGORY].[PARENTH1].[FORECAST]","FORECAST","","000")</f>
        <v>WKG_BUDGET</v>
      </c>
      <c r="W17" s="168" t="str">
        <f xml:space="preserve"> _xll.EPMOlapMemberO(W14,"[CATEGORY].[PARENTH1].[FORECAST]","FORECAST","","000")</f>
        <v>WKG_BUDGET</v>
      </c>
      <c r="X17" s="168" t="str">
        <f xml:space="preserve"> _xll.EPMOlapMemberO(X14,"[CATEGORY].[PARENTH1].[FORECAST]","FORECAST","","000")</f>
        <v>WKG_BUDGET</v>
      </c>
      <c r="Y17" s="168" t="str">
        <f xml:space="preserve"> _xll.EPMOlapMemberO(Y14,"[CATEGORY].[PARENTH1].[FORECAST]","FORECAST","","000")</f>
        <v>WKG_BUDGET</v>
      </c>
      <c r="Z17" s="168" t="str">
        <f xml:space="preserve"> _xll.EPMOlapMemberO(Z14,"[CATEGORY].[PARENTH1].[FORECAST]","FORECAST","","000")</f>
        <v>WKG_BUDGET</v>
      </c>
      <c r="AA17" s="168" t="str">
        <f xml:space="preserve"> _xll.EPMOlapMemberO(Z14,"[CATEGORY].[PARENTH1].[FORECAST]","FORECAST","","000")</f>
        <v>WKG_BUDGET</v>
      </c>
    </row>
    <row r="18" spans="1:27" s="129" customFormat="1" ht="15" hidden="1" customHeight="1" outlineLevel="1" x14ac:dyDescent="0.25">
      <c r="A18" s="138" t="s">
        <v>195</v>
      </c>
      <c r="B18" s="170" t="e">
        <f>_xll.EPMDimensionOverride($B$1,$A$5,VLOOKUP($N$21,$K$6:$M$10,3,FALSE))</f>
        <v>#VALUE!</v>
      </c>
      <c r="D18" s="147"/>
      <c r="E18" s="167" t="s">
        <v>156</v>
      </c>
      <c r="N18" s="168" t="str">
        <f xml:space="preserve"> _xll.EPMOlapMemberO("[Blank Member]","","","","000")</f>
        <v/>
      </c>
      <c r="O18" s="168" t="str">
        <f xml:space="preserve"> _xll.EPMOlapMemberO(O15,"[DATASOURCE].[PARENTH1].[TOTAL_REST_FI]","TOTAL_REST_FI","","000")</f>
        <v>#Error, no current connection.</v>
      </c>
      <c r="P18" s="168" t="str">
        <f xml:space="preserve"> _xll.EPMOlapMemberO(P15,"[DATASOURCE].[PARENTH1].[TOTAL_REST_FI]","TOTAL_REST_FI","","000")</f>
        <v>#Error, no current connection.</v>
      </c>
      <c r="Q18" s="168" t="str">
        <f xml:space="preserve"> _xll.EPMOlapMemberO(Q15,"[DATASOURCE].[PARENTH1].[TOTAL_REST_FI]","TOTAL_REST_FI","","000")</f>
        <v>#Error, no current connection.</v>
      </c>
      <c r="R18" s="168" t="str">
        <f xml:space="preserve"> _xll.EPMOlapMemberO(R15,"[DATASOURCE].[PARENTH1].[TOTAL_REST_FI]","TOTAL_REST_FI","","000")</f>
        <v>#Error, no current connection.</v>
      </c>
      <c r="S18" s="168" t="str">
        <f xml:space="preserve"> _xll.EPMOlapMemberO(S15,"[DATASOURCE].[PARENTH1].[TOTAL_REST_FI]","TOTAL_REST_FI","","000")</f>
        <v>#Error, no current connection.</v>
      </c>
      <c r="T18" s="168" t="str">
        <f xml:space="preserve"> _xll.EPMOlapMemberO(T15,"[DATASOURCE].[PARENTH1].[TOTAL_REST_FI]","TOTAL_REST_FI","","000")</f>
        <v>#Error, no current connection.</v>
      </c>
      <c r="U18" s="168" t="str">
        <f xml:space="preserve"> _xll.EPMOlapMemberO(U15,"[DATASOURCE].[PARENTH1].[TOTAL_REST_FI]","TOTAL_REST_FI","","000")</f>
        <v>#Error, no current connection.</v>
      </c>
      <c r="V18" s="168" t="str">
        <f xml:space="preserve"> _xll.EPMOlapMemberO(V15,"[DATASOURCE].[PARENTH1].[INPUT]","INPUT","","000")</f>
        <v>#Error, no current connection.</v>
      </c>
      <c r="W18" s="168" t="str">
        <f xml:space="preserve"> _xll.EPMOlapMemberO(W15,"[DATASOURCE].[PARENTH1].[INPUT]","INPUT","","000")</f>
        <v>#Error, no current connection.</v>
      </c>
      <c r="X18" s="168" t="str">
        <f xml:space="preserve"> _xll.EPMOlapMemberO(X15,"[DATASOURCE].[PARENTH1].[INPUT]","INPUT","","000")</f>
        <v>#Error, no current connection.</v>
      </c>
      <c r="Y18" s="168" t="str">
        <f xml:space="preserve"> _xll.EPMOlapMemberO(Y15,"[DATASOURCE].[PARENTH1].[INPUT]","INPUT","","000")</f>
        <v>#Error, no current connection.</v>
      </c>
      <c r="Z18" s="168" t="str">
        <f xml:space="preserve"> _xll.EPMOlapMemberO(Z15,"[DATASOURCE].[PARENTH1].[INPUT]","INPUT","","000")</f>
        <v>#Error, no current connection.</v>
      </c>
      <c r="AA18" s="168" t="str">
        <f xml:space="preserve"> _xll.EPMOlapMemberO(Z15,"[DATASOURCE].[PARENTH1].[INPUT]","INPUT","","000")</f>
        <v>#Error, no current connection.</v>
      </c>
    </row>
    <row r="19" spans="1:27" s="129" customFormat="1" ht="9.9" hidden="1" customHeight="1" outlineLevel="1" x14ac:dyDescent="0.25">
      <c r="E19" s="167" t="s">
        <v>160</v>
      </c>
      <c r="N19" s="168" t="str">
        <f xml:space="preserve"> _xll.FPMXLClient.TechnicalCategory.EPMLocalMember("ACCOUNT_DESC","000","000")</f>
        <v>ACCOUNT_DESC</v>
      </c>
      <c r="O19" s="168" t="str">
        <f xml:space="preserve"> _xll.EPMOlapMemberO(O11,"[I_ENTITY].[PARENTH1].[ALL_IE_ENTITIES]","ALL_IE_ENTITIES","","000")</f>
        <v>#Error, no current connection.</v>
      </c>
      <c r="P19" s="168" t="str">
        <f xml:space="preserve"> _xll.EPMOlapMemberO(P11,"[I_ENTITY].[PARENTH1].[ALL_IE_ENTITIES]","ALL_IE_ENTITIES","","000")</f>
        <v>#Error, no current connection.</v>
      </c>
      <c r="Q19" s="168" t="str">
        <f xml:space="preserve"> _xll.EPMOlapMemberO(Q11,"[I_ENTITY].[PARENTH1].[ALL_IE_ENTITIES]","ALL_IE_ENTITIES","","000")</f>
        <v>#Error, no current connection.</v>
      </c>
      <c r="R19" s="168" t="str">
        <f xml:space="preserve"> _xll.EPMOlapMemberO(R11,"[I_ENTITY].[PARENTH1].[ALL_IE_ENTITIES]","ALL_IE_ENTITIES","","000")</f>
        <v>#Error, no current connection.</v>
      </c>
      <c r="S19" s="168" t="str">
        <f xml:space="preserve"> _xll.EPMOlapMemberO(S11,"[I_ENTITY].[PARENTH1].[ALL_IE_ENTITIES]","ALL_IE_ENTITIES","","000")</f>
        <v>#Error, no current connection.</v>
      </c>
      <c r="T19" s="168" t="str">
        <f xml:space="preserve"> _xll.EPMOlapMemberO(T11,"[I_ENTITY].[PARENTH1].[ALL_IE_ENTITIES]","ALL_IE_ENTITIES","","000")</f>
        <v>#Error, no current connection.</v>
      </c>
      <c r="U19" s="168" t="str">
        <f xml:space="preserve"> _xll.EPMOlapMemberO(U11,"[I_ENTITY].[PARENTH1].[ALL_IE_ENTITIES]","ALL_IE_ENTITIES","","000")</f>
        <v>#Error, no current connection.</v>
      </c>
      <c r="V19" s="168" t="str">
        <f xml:space="preserve"> _xll.EPMOlapMemberO(V11,"[I_ENTITY].[PARENTH1].[IE_NA]","IE_NA","","000")</f>
        <v>#Error, no current connection.</v>
      </c>
      <c r="W19" s="168" t="str">
        <f xml:space="preserve"> _xll.EPMOlapMemberO(W11,"[I_ENTITY].[PARENTH1].[IE_NA]","IE_NA","","000")</f>
        <v>#Error, no current connection.</v>
      </c>
      <c r="X19" s="168" t="str">
        <f xml:space="preserve"> _xll.EPMOlapMemberO(X11,"[I_ENTITY].[PARENTH1].[IE_NA]","IE_NA","","000")</f>
        <v>#Error, no current connection.</v>
      </c>
      <c r="Y19" s="168" t="str">
        <f xml:space="preserve"> _xll.EPMOlapMemberO(Y11,"[I_ENTITY].[PARENTH1].[IE_NA]","IE_NA","","000")</f>
        <v>#Error, no current connection.</v>
      </c>
      <c r="Z19" s="168" t="str">
        <f xml:space="preserve"> _xll.EPMOlapMemberO(Z11,"[I_ENTITY].[PARENTH1].[IE_NA]","IE_NA","","000")</f>
        <v>#Error, no current connection.</v>
      </c>
      <c r="AA19" s="168" t="str">
        <f xml:space="preserve"> _xll.FPMXLClient.TechnicalCategory.EPMLocalMember("TOTAL_MONTHS","002","000")</f>
        <v>TOTAL_MONTHS</v>
      </c>
    </row>
    <row r="20" spans="1:27" s="171" customFormat="1" ht="15" customHeight="1" collapsed="1" thickBot="1" x14ac:dyDescent="0.3">
      <c r="A20" s="129"/>
      <c r="B20" s="129"/>
      <c r="C20" s="129"/>
      <c r="D20" s="129"/>
      <c r="E20" s="167" t="s">
        <v>166</v>
      </c>
      <c r="F20" s="129"/>
      <c r="G20" s="129"/>
      <c r="H20" s="129"/>
      <c r="I20" s="129"/>
      <c r="J20" s="129"/>
      <c r="K20" s="129"/>
    </row>
    <row r="21" spans="1:27" s="171" customFormat="1" ht="15" customHeight="1" thickBot="1" x14ac:dyDescent="0.3">
      <c r="A21" s="172" t="str">
        <f>IF(_xll.EPMMemberProperty(,N22,"company")="",_xll.EPMContextMember(,"entity"),_xll.EPMMemberProperty(,N22,"company"))</f>
        <v>#Error, no current connection.</v>
      </c>
      <c r="B21" s="172" t="str">
        <f>_xll.EPMContextMember(,"ENTITY")</f>
        <v>#Error, no current connection.</v>
      </c>
      <c r="C21" s="173" t="str">
        <f>IFERROR(VLOOKUP(LEFT($N$24,4),$E$6:$G$7,2,FALSE),"ACTUAL")</f>
        <v>ACTUAL</v>
      </c>
      <c r="D21" s="129"/>
      <c r="E21" s="152" t="str">
        <f>_xll.EPMContextMember(,"COSTCENTER")</f>
        <v>#Error, no current connection.</v>
      </c>
      <c r="F21" s="147" t="s">
        <v>196</v>
      </c>
      <c r="G21" s="129" t="str">
        <f>_xll.EPMSelectMember("","[C_ACCOUNT].[PARENTH1].[CUSTOMERS_SKF]","","",FALSE)</f>
        <v>#Error, no current connection.</v>
      </c>
      <c r="H21" s="129"/>
      <c r="I21" s="129"/>
      <c r="J21" s="129"/>
      <c r="K21" s="129"/>
      <c r="M21" s="160" t="s">
        <v>197</v>
      </c>
      <c r="N21" s="155" t="s">
        <v>148</v>
      </c>
    </row>
    <row r="22" spans="1:27" s="171" customFormat="1" ht="15" customHeight="1" thickBot="1" x14ac:dyDescent="0.3">
      <c r="A22" s="172">
        <v>1</v>
      </c>
      <c r="B22" s="172" t="s">
        <v>170</v>
      </c>
      <c r="C22" s="172" t="str">
        <f>_xll.EPMSelectMember("","[DATASOURCE].[PARENTH1].[TOTAL_REST_FI]","","",FALSE)</f>
        <v>#Error, no current connection.</v>
      </c>
      <c r="D22" s="129"/>
      <c r="E22" s="129"/>
      <c r="F22" s="147" t="s">
        <v>198</v>
      </c>
      <c r="G22" s="129" t="str">
        <f>_xll.EPMSelectMember("","[C_ACCOUNT].[PARENTH1].[MWHS_SKF]","","",FALSE)</f>
        <v>#Error, no current connection.</v>
      </c>
      <c r="H22" s="129"/>
      <c r="I22" s="129"/>
      <c r="J22" s="129"/>
      <c r="K22" s="129"/>
      <c r="M22" s="160" t="s">
        <v>199</v>
      </c>
      <c r="N22" s="155" t="s">
        <v>200</v>
      </c>
      <c r="O22" s="161" t="s">
        <v>201</v>
      </c>
    </row>
    <row r="23" spans="1:27" s="171" customFormat="1" ht="15" customHeight="1" thickBot="1" x14ac:dyDescent="0.3">
      <c r="A23" s="172">
        <v>2</v>
      </c>
      <c r="B23" s="172" t="s">
        <v>165</v>
      </c>
      <c r="C23" s="172" t="str">
        <f>_xll.EPMSelectMember("","[DATASOURCE].[PARENTH2].[ALLOCABLE_CO]","","",FALSE)</f>
        <v>#Error, no current connection.</v>
      </c>
      <c r="D23" s="129"/>
      <c r="E23" s="129"/>
      <c r="F23" s="147" t="s">
        <v>202</v>
      </c>
      <c r="G23" s="129" t="str">
        <f>_xll.EPMSelectMember("","[C_ACCOUNT].[PARENTH1].[THERMS_SKF]","","",FALSE)</f>
        <v>#Error, no current connection.</v>
      </c>
      <c r="H23" s="129"/>
      <c r="I23" s="129"/>
      <c r="J23" s="129"/>
      <c r="K23" s="129"/>
      <c r="M23" s="160" t="s">
        <v>203</v>
      </c>
      <c r="N23" s="155" t="s">
        <v>204</v>
      </c>
      <c r="O23" s="161" t="s">
        <v>205</v>
      </c>
      <c r="T23" s="174"/>
      <c r="U23" s="175" t="s">
        <v>206</v>
      </c>
    </row>
    <row r="24" spans="1:27" s="171" customFormat="1" ht="15" customHeight="1" thickBot="1" x14ac:dyDescent="0.3">
      <c r="A24" s="172">
        <v>3</v>
      </c>
      <c r="B24" s="172" t="s">
        <v>207</v>
      </c>
      <c r="C24" s="172" t="str">
        <f>_xll.EPMSelectMember("","[DATASOURCE].[PARENTH2].[TOTAL_CO]","","",FALSE)</f>
        <v>#Error, no current connection.</v>
      </c>
      <c r="D24" s="129"/>
      <c r="E24" s="129"/>
      <c r="F24" s="129"/>
      <c r="G24" s="129"/>
      <c r="H24" s="129"/>
      <c r="I24" s="129"/>
      <c r="J24" s="129"/>
      <c r="K24" s="129"/>
      <c r="M24" s="160" t="s">
        <v>208</v>
      </c>
      <c r="N24" s="155" t="s">
        <v>209</v>
      </c>
      <c r="O24" s="161" t="s">
        <v>210</v>
      </c>
      <c r="T24" s="176"/>
      <c r="U24" s="175" t="s">
        <v>211</v>
      </c>
    </row>
    <row r="25" spans="1:27" s="171" customFormat="1" ht="15" customHeight="1" thickBot="1" x14ac:dyDescent="0.3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M25" s="160" t="s">
        <v>212</v>
      </c>
      <c r="N25" s="155" t="s">
        <v>151</v>
      </c>
      <c r="O25" s="161" t="s">
        <v>213</v>
      </c>
      <c r="P25" s="177"/>
    </row>
    <row r="26" spans="1:27" s="171" customFormat="1" ht="15" customHeight="1" thickBot="1" x14ac:dyDescent="0.3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N26" s="155" t="s">
        <v>131</v>
      </c>
    </row>
    <row r="27" spans="1:27" s="171" customFormat="1" ht="15" customHeight="1" thickBot="1" x14ac:dyDescent="0.3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P27" s="178" t="s">
        <v>214</v>
      </c>
    </row>
    <row r="28" spans="1:27" s="171" customFormat="1" ht="8.4" customHeight="1" thickBot="1" x14ac:dyDescent="0.3">
      <c r="A28" s="129"/>
      <c r="B28" s="129"/>
      <c r="C28" s="129"/>
      <c r="D28" s="150" t="s">
        <v>157</v>
      </c>
      <c r="E28" s="151" t="s">
        <v>141</v>
      </c>
      <c r="F28" s="129"/>
      <c r="G28" s="129"/>
      <c r="H28" s="129"/>
      <c r="I28" s="129"/>
      <c r="J28" s="129"/>
      <c r="K28" s="129"/>
      <c r="M28" s="179"/>
      <c r="N28" s="180"/>
    </row>
    <row r="29" spans="1:27" s="171" customFormat="1" ht="29.1" customHeight="1" thickBot="1" x14ac:dyDescent="0.3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M29" s="181" t="s">
        <v>215</v>
      </c>
      <c r="N29" s="182"/>
      <c r="O29" s="177"/>
      <c r="P29" s="178" t="s">
        <v>216</v>
      </c>
    </row>
    <row r="30" spans="1:27" s="171" customFormat="1" ht="12" x14ac:dyDescent="0.25">
      <c r="A30" s="129"/>
      <c r="B30" s="129"/>
      <c r="C30" s="129"/>
      <c r="D30" s="129"/>
      <c r="E30" s="129"/>
      <c r="F30" s="129"/>
      <c r="G30" s="183" t="s">
        <v>217</v>
      </c>
      <c r="H30" s="183" t="s">
        <v>217</v>
      </c>
      <c r="I30" s="183"/>
      <c r="J30" s="183"/>
      <c r="K30" s="183"/>
      <c r="M30" s="184"/>
      <c r="N30" s="185"/>
      <c r="O30" s="186" t="s">
        <v>201</v>
      </c>
      <c r="P30" s="186" t="s">
        <v>201</v>
      </c>
      <c r="Q30" s="186" t="s">
        <v>201</v>
      </c>
      <c r="R30" s="186" t="s">
        <v>201</v>
      </c>
      <c r="S30" s="186" t="s">
        <v>201</v>
      </c>
      <c r="T30" s="186" t="s">
        <v>201</v>
      </c>
      <c r="U30" s="186" t="s">
        <v>201</v>
      </c>
      <c r="V30" s="186" t="s">
        <v>201</v>
      </c>
      <c r="W30" s="186" t="s">
        <v>201</v>
      </c>
      <c r="X30" s="186" t="s">
        <v>201</v>
      </c>
      <c r="Y30" s="186" t="s">
        <v>201</v>
      </c>
      <c r="Z30" s="186" t="s">
        <v>201</v>
      </c>
      <c r="AA30" s="186" t="s">
        <v>201</v>
      </c>
    </row>
    <row r="31" spans="1:27" s="171" customFormat="1" ht="12.6" customHeight="1" thickBot="1" x14ac:dyDescent="0.3">
      <c r="A31" s="129"/>
      <c r="B31" s="129"/>
      <c r="C31" s="129"/>
      <c r="D31" s="129"/>
      <c r="E31" s="129"/>
      <c r="F31" s="129"/>
      <c r="G31" s="183" t="s">
        <v>217</v>
      </c>
      <c r="H31" s="183" t="s">
        <v>217</v>
      </c>
      <c r="I31" s="183"/>
      <c r="J31" s="183"/>
      <c r="K31" s="183"/>
      <c r="M31" s="187" t="s">
        <v>218</v>
      </c>
      <c r="N31" s="188" t="s">
        <v>219</v>
      </c>
      <c r="O31" s="189" t="s">
        <v>220</v>
      </c>
      <c r="P31" s="189" t="s">
        <v>221</v>
      </c>
      <c r="Q31" s="189" t="s">
        <v>222</v>
      </c>
      <c r="R31" s="189" t="s">
        <v>223</v>
      </c>
      <c r="S31" s="189" t="s">
        <v>224</v>
      </c>
      <c r="T31" s="189" t="s">
        <v>225</v>
      </c>
      <c r="U31" s="189" t="s">
        <v>226</v>
      </c>
      <c r="V31" s="189" t="s">
        <v>227</v>
      </c>
      <c r="W31" s="189" t="s">
        <v>228</v>
      </c>
      <c r="X31" s="189" t="s">
        <v>229</v>
      </c>
      <c r="Y31" s="189" t="s">
        <v>230</v>
      </c>
      <c r="Z31" s="189" t="s">
        <v>231</v>
      </c>
      <c r="AA31" s="189" t="s">
        <v>213</v>
      </c>
    </row>
    <row r="32" spans="1:27" ht="9.9" customHeight="1" x14ac:dyDescent="0.2">
      <c r="G32" s="191" t="s">
        <v>217</v>
      </c>
      <c r="H32" s="191" t="s">
        <v>217</v>
      </c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</row>
    <row r="33" spans="7:27" ht="15" customHeight="1" x14ac:dyDescent="0.25">
      <c r="G33" s="191" t="s">
        <v>217</v>
      </c>
      <c r="H33" s="191" t="s">
        <v>217</v>
      </c>
      <c r="I33" s="194"/>
      <c r="J33" s="194"/>
      <c r="K33" s="194"/>
      <c r="M33" s="210" t="s">
        <v>232</v>
      </c>
      <c r="N33" s="211" t="s">
        <v>233</v>
      </c>
      <c r="O33" s="211">
        <v>198185237.20813969</v>
      </c>
      <c r="P33" s="211">
        <v>182660028.9300299</v>
      </c>
      <c r="Q33" s="211">
        <v>186381722.550486</v>
      </c>
      <c r="R33" s="211">
        <v>194881601.7032353</v>
      </c>
      <c r="S33" s="211">
        <v>219473767.73422429</v>
      </c>
      <c r="T33" s="211">
        <v>239198006.18543869</v>
      </c>
      <c r="U33" s="211">
        <v>252052434.4602966</v>
      </c>
      <c r="V33" s="211">
        <v>253954504.68880361</v>
      </c>
      <c r="W33" s="211">
        <v>238975121.00860801</v>
      </c>
      <c r="X33" s="211">
        <v>223809668.46683311</v>
      </c>
      <c r="Y33" s="211">
        <v>188278247.9804821</v>
      </c>
      <c r="Z33" s="211">
        <v>191884232.92544141</v>
      </c>
      <c r="AA33" s="211">
        <v>2569734573.8420186</v>
      </c>
    </row>
    <row r="34" spans="7:27" ht="15" customHeight="1" x14ac:dyDescent="0.25">
      <c r="G34" s="191" t="s">
        <v>217</v>
      </c>
      <c r="H34" s="191" t="s">
        <v>217</v>
      </c>
      <c r="I34" s="194"/>
      <c r="J34" s="194"/>
      <c r="K34" s="194"/>
      <c r="M34" s="210" t="s">
        <v>152</v>
      </c>
      <c r="N34" s="211" t="s">
        <v>234</v>
      </c>
      <c r="O34" s="211">
        <v>198185237.20813969</v>
      </c>
      <c r="P34" s="211">
        <v>182660028.9300299</v>
      </c>
      <c r="Q34" s="211">
        <v>186381722.550486</v>
      </c>
      <c r="R34" s="211">
        <v>194881601.7032353</v>
      </c>
      <c r="S34" s="211">
        <v>219473767.73422429</v>
      </c>
      <c r="T34" s="211">
        <v>239198006.18543869</v>
      </c>
      <c r="U34" s="211">
        <v>252052434.4602966</v>
      </c>
      <c r="V34" s="211">
        <v>253954504.68880361</v>
      </c>
      <c r="W34" s="211">
        <v>238975121.00860801</v>
      </c>
      <c r="X34" s="211">
        <v>223809668.46683311</v>
      </c>
      <c r="Y34" s="211">
        <v>188278247.9804821</v>
      </c>
      <c r="Z34" s="211">
        <v>191884232.92544141</v>
      </c>
      <c r="AA34" s="211">
        <v>2569734573.8420186</v>
      </c>
    </row>
    <row r="35" spans="7:27" ht="15" customHeight="1" x14ac:dyDescent="0.25">
      <c r="G35" s="191" t="s">
        <v>217</v>
      </c>
      <c r="H35" s="191" t="s">
        <v>217</v>
      </c>
      <c r="I35" s="194"/>
      <c r="J35" s="194"/>
      <c r="K35" s="194"/>
      <c r="M35" s="210" t="s">
        <v>235</v>
      </c>
      <c r="N35" s="211" t="s">
        <v>236</v>
      </c>
      <c r="O35" s="211">
        <v>115728817.06</v>
      </c>
      <c r="P35" s="211">
        <v>105046455.45999999</v>
      </c>
      <c r="Q35" s="211">
        <v>98373043.390000001</v>
      </c>
      <c r="R35" s="211">
        <v>104025295.09</v>
      </c>
      <c r="S35" s="211">
        <v>119974311.09</v>
      </c>
      <c r="T35" s="211">
        <v>146363501.50999999</v>
      </c>
      <c r="U35" s="211">
        <v>156457422.97</v>
      </c>
      <c r="V35" s="211">
        <v>154685548.49000001</v>
      </c>
      <c r="W35" s="211">
        <v>160250477.90000001</v>
      </c>
      <c r="X35" s="211">
        <v>137770156.31</v>
      </c>
      <c r="Y35" s="211">
        <v>111788375.09</v>
      </c>
      <c r="Z35" s="211">
        <v>105841277.28</v>
      </c>
      <c r="AA35" s="211">
        <v>1516304681.6399999</v>
      </c>
    </row>
    <row r="36" spans="7:27" ht="15" customHeight="1" x14ac:dyDescent="0.25">
      <c r="G36" s="191" t="s">
        <v>217</v>
      </c>
      <c r="H36" s="191" t="s">
        <v>217</v>
      </c>
      <c r="I36" s="194"/>
      <c r="J36" s="194"/>
      <c r="K36" s="194"/>
      <c r="M36" s="212" t="s">
        <v>237</v>
      </c>
      <c r="N36" s="213" t="s">
        <v>238</v>
      </c>
      <c r="O36" s="214">
        <v>71593312</v>
      </c>
      <c r="P36" s="214">
        <v>65243236</v>
      </c>
      <c r="Q36" s="214">
        <v>61485500</v>
      </c>
      <c r="R36" s="214">
        <v>64804711</v>
      </c>
      <c r="S36" s="214">
        <v>73531099</v>
      </c>
      <c r="T36" s="214">
        <v>88195723</v>
      </c>
      <c r="U36" s="214">
        <v>93808345</v>
      </c>
      <c r="V36" s="214">
        <v>92592355</v>
      </c>
      <c r="W36" s="214">
        <v>96094876</v>
      </c>
      <c r="X36" s="214">
        <v>83382114</v>
      </c>
      <c r="Y36" s="214">
        <v>68934813</v>
      </c>
      <c r="Z36" s="214">
        <v>66211430</v>
      </c>
      <c r="AA36" s="215">
        <v>925877514</v>
      </c>
    </row>
    <row r="37" spans="7:27" ht="15" customHeight="1" x14ac:dyDescent="0.25">
      <c r="G37" s="191" t="s">
        <v>217</v>
      </c>
      <c r="H37" s="191" t="s">
        <v>217</v>
      </c>
      <c r="I37" s="194"/>
      <c r="J37" s="194"/>
      <c r="K37" s="194"/>
      <c r="M37" s="212" t="s">
        <v>239</v>
      </c>
      <c r="N37" s="213" t="s">
        <v>240</v>
      </c>
      <c r="O37" s="214">
        <v>26248382</v>
      </c>
      <c r="P37" s="214">
        <v>23552631</v>
      </c>
      <c r="Q37" s="214">
        <v>21752127</v>
      </c>
      <c r="R37" s="214">
        <v>23224745</v>
      </c>
      <c r="S37" s="214">
        <v>27770580</v>
      </c>
      <c r="T37" s="214">
        <v>35153717</v>
      </c>
      <c r="U37" s="214">
        <v>37985183</v>
      </c>
      <c r="V37" s="214">
        <v>37631041</v>
      </c>
      <c r="W37" s="214">
        <v>38940526</v>
      </c>
      <c r="X37" s="214">
        <v>32734450</v>
      </c>
      <c r="Y37" s="214">
        <v>25471065</v>
      </c>
      <c r="Z37" s="214">
        <v>23400736</v>
      </c>
      <c r="AA37" s="215">
        <v>353865183</v>
      </c>
    </row>
    <row r="38" spans="7:27" ht="15" customHeight="1" x14ac:dyDescent="0.25">
      <c r="G38" s="191" t="s">
        <v>217</v>
      </c>
      <c r="H38" s="191" t="s">
        <v>217</v>
      </c>
      <c r="I38" s="194"/>
      <c r="J38" s="194"/>
      <c r="K38" s="194"/>
      <c r="M38" s="212" t="s">
        <v>241</v>
      </c>
      <c r="N38" s="213" t="s">
        <v>242</v>
      </c>
      <c r="O38" s="214">
        <v>162972</v>
      </c>
      <c r="P38" s="214">
        <v>148111</v>
      </c>
      <c r="Q38" s="214">
        <v>137714</v>
      </c>
      <c r="R38" s="214">
        <v>145530</v>
      </c>
      <c r="S38" s="214">
        <v>170554</v>
      </c>
      <c r="T38" s="214">
        <v>210805</v>
      </c>
      <c r="U38" s="214">
        <v>226109</v>
      </c>
      <c r="V38" s="214">
        <v>224514</v>
      </c>
      <c r="W38" s="214">
        <v>230963</v>
      </c>
      <c r="X38" s="214">
        <v>198288</v>
      </c>
      <c r="Y38" s="214">
        <v>158631</v>
      </c>
      <c r="Z38" s="214">
        <v>147410</v>
      </c>
      <c r="AA38" s="215">
        <v>2161601</v>
      </c>
    </row>
    <row r="39" spans="7:27" ht="15" customHeight="1" x14ac:dyDescent="0.25">
      <c r="G39" s="191" t="s">
        <v>217</v>
      </c>
      <c r="H39" s="191" t="s">
        <v>217</v>
      </c>
      <c r="I39" s="194"/>
      <c r="J39" s="194"/>
      <c r="K39" s="194"/>
      <c r="M39" s="212" t="s">
        <v>243</v>
      </c>
      <c r="N39" s="213" t="s">
        <v>244</v>
      </c>
      <c r="O39" s="214">
        <v>2803168</v>
      </c>
      <c r="P39" s="214">
        <v>2547692</v>
      </c>
      <c r="Q39" s="214">
        <v>2368973</v>
      </c>
      <c r="R39" s="214">
        <v>2503303</v>
      </c>
      <c r="S39" s="214">
        <v>2933445</v>
      </c>
      <c r="T39" s="214">
        <v>3625371</v>
      </c>
      <c r="U39" s="214">
        <v>3888461</v>
      </c>
      <c r="V39" s="214">
        <v>3861034</v>
      </c>
      <c r="W39" s="214">
        <v>3971918</v>
      </c>
      <c r="X39" s="214">
        <v>3410215</v>
      </c>
      <c r="Y39" s="214">
        <v>2728530</v>
      </c>
      <c r="Z39" s="214">
        <v>2535676</v>
      </c>
      <c r="AA39" s="215">
        <v>37177786</v>
      </c>
    </row>
    <row r="40" spans="7:27" ht="15" customHeight="1" x14ac:dyDescent="0.25">
      <c r="G40" s="191" t="s">
        <v>217</v>
      </c>
      <c r="H40" s="191" t="s">
        <v>217</v>
      </c>
      <c r="I40" s="194"/>
      <c r="J40" s="194"/>
      <c r="K40" s="194"/>
      <c r="M40" s="212" t="s">
        <v>245</v>
      </c>
      <c r="N40" s="213" t="s">
        <v>246</v>
      </c>
      <c r="O40" s="214">
        <v>690930</v>
      </c>
      <c r="P40" s="214">
        <v>627915</v>
      </c>
      <c r="Q40" s="214">
        <v>583884</v>
      </c>
      <c r="R40" s="214">
        <v>617004</v>
      </c>
      <c r="S40" s="214">
        <v>723040</v>
      </c>
      <c r="T40" s="214">
        <v>893645</v>
      </c>
      <c r="U40" s="214">
        <v>958513</v>
      </c>
      <c r="V40" s="214">
        <v>951763</v>
      </c>
      <c r="W40" s="214">
        <v>979098</v>
      </c>
      <c r="X40" s="214">
        <v>840603</v>
      </c>
      <c r="Y40" s="214">
        <v>672533</v>
      </c>
      <c r="Z40" s="214">
        <v>624967</v>
      </c>
      <c r="AA40" s="215">
        <v>9163895</v>
      </c>
    </row>
    <row r="41" spans="7:27" ht="15" customHeight="1" x14ac:dyDescent="0.25">
      <c r="G41" s="191" t="s">
        <v>217</v>
      </c>
      <c r="H41" s="191" t="s">
        <v>217</v>
      </c>
      <c r="I41" s="194"/>
      <c r="J41" s="194"/>
      <c r="K41" s="194"/>
      <c r="M41" s="212" t="s">
        <v>247</v>
      </c>
      <c r="N41" s="213" t="s">
        <v>248</v>
      </c>
      <c r="O41" s="214">
        <v>2279748.23</v>
      </c>
      <c r="P41" s="214">
        <v>2072203.23</v>
      </c>
      <c r="Q41" s="214">
        <v>1936647.76</v>
      </c>
      <c r="R41" s="214">
        <v>2045197.31</v>
      </c>
      <c r="S41" s="214">
        <v>2366953.81</v>
      </c>
      <c r="T41" s="214">
        <v>2901590.74</v>
      </c>
      <c r="U41" s="214">
        <v>3102421.18</v>
      </c>
      <c r="V41" s="214">
        <v>3069298.08</v>
      </c>
      <c r="W41" s="214">
        <v>3179205.68</v>
      </c>
      <c r="X41" s="214">
        <v>2734366.02</v>
      </c>
      <c r="Y41" s="214">
        <v>2213066.59</v>
      </c>
      <c r="Z41" s="214">
        <v>2085573.56</v>
      </c>
      <c r="AA41" s="215">
        <v>29986272.189999998</v>
      </c>
    </row>
    <row r="42" spans="7:27" ht="15" customHeight="1" x14ac:dyDescent="0.25">
      <c r="G42" s="191" t="s">
        <v>217</v>
      </c>
      <c r="H42" s="191" t="s">
        <v>217</v>
      </c>
      <c r="I42" s="194"/>
      <c r="J42" s="194"/>
      <c r="K42" s="194"/>
      <c r="M42" s="212" t="s">
        <v>249</v>
      </c>
      <c r="N42" s="213" t="s">
        <v>250</v>
      </c>
      <c r="O42" s="214">
        <v>2782581.21</v>
      </c>
      <c r="P42" s="214">
        <v>2520710.9</v>
      </c>
      <c r="Q42" s="214">
        <v>2357264.5699999998</v>
      </c>
      <c r="R42" s="214">
        <v>2495856.89</v>
      </c>
      <c r="S42" s="214">
        <v>2886537.87</v>
      </c>
      <c r="T42" s="214">
        <v>3532900.93</v>
      </c>
      <c r="U42" s="214">
        <v>3780227.88</v>
      </c>
      <c r="V42" s="214">
        <v>3736759.01</v>
      </c>
      <c r="W42" s="214">
        <v>3873134.35</v>
      </c>
      <c r="X42" s="214">
        <v>3322247.72</v>
      </c>
      <c r="Y42" s="214">
        <v>2685736.13</v>
      </c>
      <c r="Z42" s="214">
        <v>2540246.1</v>
      </c>
      <c r="AA42" s="215">
        <v>36514203.560000002</v>
      </c>
    </row>
    <row r="43" spans="7:27" ht="15" customHeight="1" x14ac:dyDescent="0.25">
      <c r="G43" s="191" t="s">
        <v>217</v>
      </c>
      <c r="H43" s="191" t="s">
        <v>217</v>
      </c>
      <c r="I43" s="194"/>
      <c r="J43" s="194"/>
      <c r="K43" s="194"/>
      <c r="M43" s="212" t="s">
        <v>251</v>
      </c>
      <c r="N43" s="213" t="s">
        <v>252</v>
      </c>
      <c r="O43" s="214">
        <v>5831200.6200000001</v>
      </c>
      <c r="P43" s="214">
        <v>5301750.33</v>
      </c>
      <c r="Q43" s="214">
        <v>4931563.0599999996</v>
      </c>
      <c r="R43" s="214">
        <v>5209549.8899999997</v>
      </c>
      <c r="S43" s="214">
        <v>6100352.4100000001</v>
      </c>
      <c r="T43" s="214">
        <v>7533837.8399999999</v>
      </c>
      <c r="U43" s="214">
        <v>8078881.9100000001</v>
      </c>
      <c r="V43" s="214">
        <v>8022165.4000000004</v>
      </c>
      <c r="W43" s="214">
        <v>8252085.8700000001</v>
      </c>
      <c r="X43" s="214">
        <v>7088238.5700000003</v>
      </c>
      <c r="Y43" s="214">
        <v>5676353.3700000001</v>
      </c>
      <c r="Z43" s="214">
        <v>5277369.62</v>
      </c>
      <c r="AA43" s="215">
        <v>77303348.890000001</v>
      </c>
    </row>
    <row r="44" spans="7:27" ht="15" customHeight="1" x14ac:dyDescent="0.25">
      <c r="G44" s="191" t="s">
        <v>217</v>
      </c>
      <c r="H44" s="191" t="s">
        <v>217</v>
      </c>
      <c r="I44" s="194"/>
      <c r="J44" s="194"/>
      <c r="K44" s="194"/>
      <c r="M44" s="212" t="s">
        <v>253</v>
      </c>
      <c r="N44" s="213" t="s">
        <v>254</v>
      </c>
      <c r="O44" s="214">
        <v>3336523</v>
      </c>
      <c r="P44" s="214">
        <v>3032206</v>
      </c>
      <c r="Q44" s="214">
        <v>2819370</v>
      </c>
      <c r="R44" s="214">
        <v>2979398</v>
      </c>
      <c r="S44" s="214">
        <v>3491749</v>
      </c>
      <c r="T44" s="214">
        <v>4315911</v>
      </c>
      <c r="U44" s="214">
        <v>4629281</v>
      </c>
      <c r="V44" s="214">
        <v>4596619</v>
      </c>
      <c r="W44" s="214">
        <v>4728671</v>
      </c>
      <c r="X44" s="214">
        <v>4059634</v>
      </c>
      <c r="Y44" s="214">
        <v>3247647</v>
      </c>
      <c r="Z44" s="214">
        <v>3017869</v>
      </c>
      <c r="AA44" s="215">
        <v>44254878</v>
      </c>
    </row>
    <row r="45" spans="7:27" ht="15" customHeight="1" x14ac:dyDescent="0.25">
      <c r="G45" s="191" t="s">
        <v>217</v>
      </c>
      <c r="H45" s="191" t="s">
        <v>217</v>
      </c>
      <c r="I45" s="194"/>
      <c r="J45" s="194"/>
      <c r="K45" s="194"/>
      <c r="M45" s="210" t="s">
        <v>255</v>
      </c>
      <c r="N45" s="211" t="s">
        <v>256</v>
      </c>
      <c r="O45" s="211">
        <v>52665262.740000002</v>
      </c>
      <c r="P45" s="211">
        <v>50088019.710000001</v>
      </c>
      <c r="Q45" s="211">
        <v>50548080.509999998</v>
      </c>
      <c r="R45" s="211">
        <v>53023850.810000002</v>
      </c>
      <c r="S45" s="211">
        <v>55697939.060000002</v>
      </c>
      <c r="T45" s="211">
        <v>60431040.75</v>
      </c>
      <c r="U45" s="211">
        <v>62501408.740000002</v>
      </c>
      <c r="V45" s="211">
        <v>62427286.119999997</v>
      </c>
      <c r="W45" s="211">
        <v>63184458.159999996</v>
      </c>
      <c r="X45" s="211">
        <v>59684730.280000001</v>
      </c>
      <c r="Y45" s="211">
        <v>55102316.119999997</v>
      </c>
      <c r="Z45" s="211">
        <v>52536474.560000002</v>
      </c>
      <c r="AA45" s="211">
        <v>677890867.55999994</v>
      </c>
    </row>
    <row r="46" spans="7:27" ht="15" customHeight="1" x14ac:dyDescent="0.25">
      <c r="G46" s="191" t="s">
        <v>217</v>
      </c>
      <c r="H46" s="191" t="s">
        <v>217</v>
      </c>
      <c r="I46" s="194"/>
      <c r="J46" s="194"/>
      <c r="K46" s="194"/>
      <c r="M46" s="210" t="s">
        <v>257</v>
      </c>
      <c r="N46" s="211" t="s">
        <v>258</v>
      </c>
      <c r="O46" s="211">
        <v>52665262.740000002</v>
      </c>
      <c r="P46" s="211">
        <v>50088019.710000001</v>
      </c>
      <c r="Q46" s="211">
        <v>50548080.509999998</v>
      </c>
      <c r="R46" s="211">
        <v>53023850.810000002</v>
      </c>
      <c r="S46" s="211">
        <v>55697939.060000002</v>
      </c>
      <c r="T46" s="211">
        <v>60431040.75</v>
      </c>
      <c r="U46" s="211">
        <v>62501408.740000002</v>
      </c>
      <c r="V46" s="211">
        <v>62427286.119999997</v>
      </c>
      <c r="W46" s="211">
        <v>63184458.159999996</v>
      </c>
      <c r="X46" s="211">
        <v>59684730.280000001</v>
      </c>
      <c r="Y46" s="211">
        <v>55102316.119999997</v>
      </c>
      <c r="Z46" s="211">
        <v>52536474.560000002</v>
      </c>
      <c r="AA46" s="211">
        <v>677890867.55999994</v>
      </c>
    </row>
    <row r="47" spans="7:27" ht="15" customHeight="1" x14ac:dyDescent="0.25">
      <c r="G47" s="191" t="s">
        <v>217</v>
      </c>
      <c r="H47" s="191" t="s">
        <v>217</v>
      </c>
      <c r="I47" s="194"/>
      <c r="J47" s="194"/>
      <c r="K47" s="194"/>
      <c r="M47" s="212" t="s">
        <v>259</v>
      </c>
      <c r="N47" s="213" t="s">
        <v>260</v>
      </c>
      <c r="O47" s="214">
        <v>28572058</v>
      </c>
      <c r="P47" s="214">
        <v>27596445</v>
      </c>
      <c r="Q47" s="214">
        <v>27717821</v>
      </c>
      <c r="R47" s="214">
        <v>28853019</v>
      </c>
      <c r="S47" s="214">
        <v>30039907</v>
      </c>
      <c r="T47" s="214">
        <v>32128088</v>
      </c>
      <c r="U47" s="214">
        <v>33030306</v>
      </c>
      <c r="V47" s="214">
        <v>32932600</v>
      </c>
      <c r="W47" s="214">
        <v>33116132</v>
      </c>
      <c r="X47" s="214">
        <v>31824813</v>
      </c>
      <c r="Y47" s="214">
        <v>29615519</v>
      </c>
      <c r="Z47" s="214">
        <v>28579750</v>
      </c>
      <c r="AA47" s="215">
        <v>364006458</v>
      </c>
    </row>
    <row r="48" spans="7:27" ht="15" customHeight="1" x14ac:dyDescent="0.25">
      <c r="G48" s="191" t="s">
        <v>217</v>
      </c>
      <c r="H48" s="191" t="s">
        <v>217</v>
      </c>
      <c r="I48" s="194"/>
      <c r="J48" s="194"/>
      <c r="K48" s="194"/>
      <c r="M48" s="212" t="s">
        <v>261</v>
      </c>
      <c r="N48" s="213" t="s">
        <v>262</v>
      </c>
      <c r="O48" s="214">
        <v>16472689</v>
      </c>
      <c r="P48" s="214">
        <v>15143168</v>
      </c>
      <c r="Q48" s="214">
        <v>15433087</v>
      </c>
      <c r="R48" s="214">
        <v>16443138</v>
      </c>
      <c r="S48" s="214">
        <v>17557532</v>
      </c>
      <c r="T48" s="214">
        <v>19565988</v>
      </c>
      <c r="U48" s="214">
        <v>20452602</v>
      </c>
      <c r="V48" s="214">
        <v>20495572</v>
      </c>
      <c r="W48" s="214">
        <v>21032751</v>
      </c>
      <c r="X48" s="214">
        <v>19220359</v>
      </c>
      <c r="Y48" s="214">
        <v>17510780</v>
      </c>
      <c r="Z48" s="214">
        <v>16330886</v>
      </c>
      <c r="AA48" s="215">
        <v>215658552</v>
      </c>
    </row>
    <row r="49" spans="7:27" ht="15" customHeight="1" x14ac:dyDescent="0.25">
      <c r="G49" s="191" t="s">
        <v>217</v>
      </c>
      <c r="H49" s="191" t="s">
        <v>217</v>
      </c>
      <c r="I49" s="194"/>
      <c r="J49" s="194"/>
      <c r="K49" s="194"/>
      <c r="M49" s="212" t="s">
        <v>263</v>
      </c>
      <c r="N49" s="213" t="s">
        <v>264</v>
      </c>
      <c r="O49" s="214">
        <v>81169</v>
      </c>
      <c r="P49" s="214">
        <v>79883</v>
      </c>
      <c r="Q49" s="214">
        <v>80055</v>
      </c>
      <c r="R49" s="214">
        <v>83182</v>
      </c>
      <c r="S49" s="214">
        <v>86867</v>
      </c>
      <c r="T49" s="214">
        <v>92759</v>
      </c>
      <c r="U49" s="214">
        <v>95394</v>
      </c>
      <c r="V49" s="214">
        <v>94988</v>
      </c>
      <c r="W49" s="214">
        <v>94155</v>
      </c>
      <c r="X49" s="214">
        <v>91914</v>
      </c>
      <c r="Y49" s="214">
        <v>84794</v>
      </c>
      <c r="Z49" s="214">
        <v>81502</v>
      </c>
      <c r="AA49" s="215">
        <v>1046662</v>
      </c>
    </row>
    <row r="50" spans="7:27" ht="15" customHeight="1" x14ac:dyDescent="0.25">
      <c r="G50" s="191" t="s">
        <v>217</v>
      </c>
      <c r="H50" s="191" t="s">
        <v>217</v>
      </c>
      <c r="I50" s="194"/>
      <c r="J50" s="194"/>
      <c r="K50" s="194"/>
      <c r="M50" s="212" t="s">
        <v>265</v>
      </c>
      <c r="N50" s="213" t="s">
        <v>266</v>
      </c>
      <c r="O50" s="214">
        <v>1370800</v>
      </c>
      <c r="P50" s="214">
        <v>1346630</v>
      </c>
      <c r="Q50" s="214">
        <v>1350198</v>
      </c>
      <c r="R50" s="214">
        <v>1403266</v>
      </c>
      <c r="S50" s="214">
        <v>1465938</v>
      </c>
      <c r="T50" s="214">
        <v>1567275</v>
      </c>
      <c r="U50" s="214">
        <v>1612025</v>
      </c>
      <c r="V50" s="214">
        <v>1605462</v>
      </c>
      <c r="W50" s="214">
        <v>1593506</v>
      </c>
      <c r="X50" s="214">
        <v>1552529</v>
      </c>
      <c r="Y50" s="214">
        <v>1432637</v>
      </c>
      <c r="Z50" s="214">
        <v>1376109</v>
      </c>
      <c r="AA50" s="215">
        <v>17676375</v>
      </c>
    </row>
    <row r="51" spans="7:27" ht="15" customHeight="1" x14ac:dyDescent="0.25">
      <c r="G51" s="191" t="s">
        <v>217</v>
      </c>
      <c r="H51" s="191" t="s">
        <v>217</v>
      </c>
      <c r="I51" s="194"/>
      <c r="J51" s="194"/>
      <c r="K51" s="194"/>
      <c r="M51" s="212" t="s">
        <v>267</v>
      </c>
      <c r="N51" s="213" t="s">
        <v>268</v>
      </c>
      <c r="O51" s="214">
        <v>390449</v>
      </c>
      <c r="P51" s="214">
        <v>359175</v>
      </c>
      <c r="Q51" s="214">
        <v>365998</v>
      </c>
      <c r="R51" s="214">
        <v>389768</v>
      </c>
      <c r="S51" s="214">
        <v>415990</v>
      </c>
      <c r="T51" s="214">
        <v>463237</v>
      </c>
      <c r="U51" s="214">
        <v>484093</v>
      </c>
      <c r="V51" s="214">
        <v>485103</v>
      </c>
      <c r="W51" s="214">
        <v>497732</v>
      </c>
      <c r="X51" s="214">
        <v>455103</v>
      </c>
      <c r="Y51" s="214">
        <v>414875</v>
      </c>
      <c r="Z51" s="214">
        <v>387099</v>
      </c>
      <c r="AA51" s="215">
        <v>5108622</v>
      </c>
    </row>
    <row r="52" spans="7:27" ht="15" customHeight="1" x14ac:dyDescent="0.25">
      <c r="G52" s="191" t="s">
        <v>217</v>
      </c>
      <c r="H52" s="191" t="s">
        <v>217</v>
      </c>
      <c r="I52" s="194"/>
      <c r="J52" s="194"/>
      <c r="K52" s="194"/>
      <c r="M52" s="212" t="s">
        <v>269</v>
      </c>
      <c r="N52" s="213" t="s">
        <v>270</v>
      </c>
      <c r="O52" s="214">
        <v>1557531.26</v>
      </c>
      <c r="P52" s="214">
        <v>1480917.3</v>
      </c>
      <c r="Q52" s="214">
        <v>1494593.56</v>
      </c>
      <c r="R52" s="214">
        <v>1568191.09</v>
      </c>
      <c r="S52" s="214">
        <v>1647683.98</v>
      </c>
      <c r="T52" s="214">
        <v>1788385.5</v>
      </c>
      <c r="U52" s="214">
        <v>1849931.62</v>
      </c>
      <c r="V52" s="214">
        <v>1847728.11</v>
      </c>
      <c r="W52" s="214">
        <v>1870236.69</v>
      </c>
      <c r="X52" s="214">
        <v>1766199.85</v>
      </c>
      <c r="Y52" s="214">
        <v>1629977.85</v>
      </c>
      <c r="Z52" s="214">
        <v>1553702.75</v>
      </c>
      <c r="AA52" s="215">
        <v>20055079.559999999</v>
      </c>
    </row>
    <row r="53" spans="7:27" ht="15" customHeight="1" x14ac:dyDescent="0.25">
      <c r="G53" s="191" t="s">
        <v>217</v>
      </c>
      <c r="H53" s="191" t="s">
        <v>217</v>
      </c>
      <c r="I53" s="194"/>
      <c r="J53" s="194"/>
      <c r="K53" s="194"/>
      <c r="M53" s="212" t="s">
        <v>271</v>
      </c>
      <c r="N53" s="213" t="s">
        <v>272</v>
      </c>
      <c r="O53" s="214">
        <v>1270931.02</v>
      </c>
      <c r="P53" s="214">
        <v>1208415.52</v>
      </c>
      <c r="Q53" s="214">
        <v>1219575.22</v>
      </c>
      <c r="R53" s="214">
        <v>1279629.6000000001</v>
      </c>
      <c r="S53" s="214">
        <v>1344494.48</v>
      </c>
      <c r="T53" s="214">
        <v>1459304.51</v>
      </c>
      <c r="U53" s="214">
        <v>1509525.15</v>
      </c>
      <c r="V53" s="214">
        <v>1507727.24</v>
      </c>
      <c r="W53" s="214">
        <v>1526093.95</v>
      </c>
      <c r="X53" s="214">
        <v>1441201.88</v>
      </c>
      <c r="Y53" s="214">
        <v>1330047.3</v>
      </c>
      <c r="Z53" s="214">
        <v>1267808.3</v>
      </c>
      <c r="AA53" s="215">
        <v>16364754.170000002</v>
      </c>
    </row>
    <row r="54" spans="7:27" ht="15" customHeight="1" x14ac:dyDescent="0.25">
      <c r="G54" s="191" t="s">
        <v>217</v>
      </c>
      <c r="H54" s="191" t="s">
        <v>217</v>
      </c>
      <c r="I54" s="194"/>
      <c r="J54" s="194"/>
      <c r="K54" s="194"/>
      <c r="M54" s="212" t="s">
        <v>273</v>
      </c>
      <c r="N54" s="213" t="s">
        <v>274</v>
      </c>
      <c r="O54" s="214">
        <v>1565830.46</v>
      </c>
      <c r="P54" s="214">
        <v>1517712.89</v>
      </c>
      <c r="Q54" s="214">
        <v>1526733.73</v>
      </c>
      <c r="R54" s="214">
        <v>1588012.12</v>
      </c>
      <c r="S54" s="214">
        <v>1658989.6</v>
      </c>
      <c r="T54" s="214">
        <v>1780854.74</v>
      </c>
      <c r="U54" s="214">
        <v>1835182.97</v>
      </c>
      <c r="V54" s="214">
        <v>1831875.77</v>
      </c>
      <c r="W54" s="214">
        <v>1837959.52</v>
      </c>
      <c r="X54" s="214">
        <v>1762687.55</v>
      </c>
      <c r="Y54" s="214">
        <v>1636704.97</v>
      </c>
      <c r="Z54" s="214">
        <v>1571439.51</v>
      </c>
      <c r="AA54" s="215">
        <v>20113983.830000002</v>
      </c>
    </row>
    <row r="55" spans="7:27" ht="15" customHeight="1" x14ac:dyDescent="0.25">
      <c r="G55" s="191" t="s">
        <v>217</v>
      </c>
      <c r="H55" s="191" t="s">
        <v>217</v>
      </c>
      <c r="I55" s="194"/>
      <c r="J55" s="194"/>
      <c r="K55" s="194"/>
      <c r="M55" s="212" t="s">
        <v>275</v>
      </c>
      <c r="N55" s="213" t="s">
        <v>276</v>
      </c>
      <c r="O55" s="214">
        <v>1383805</v>
      </c>
      <c r="P55" s="214">
        <v>1355673</v>
      </c>
      <c r="Q55" s="214">
        <v>1360019</v>
      </c>
      <c r="R55" s="214">
        <v>1415645</v>
      </c>
      <c r="S55" s="214">
        <v>1480537</v>
      </c>
      <c r="T55" s="214">
        <v>1585149</v>
      </c>
      <c r="U55" s="214">
        <v>1632349</v>
      </c>
      <c r="V55" s="214">
        <v>1626230</v>
      </c>
      <c r="W55" s="214">
        <v>1615892</v>
      </c>
      <c r="X55" s="214">
        <v>1569923</v>
      </c>
      <c r="Y55" s="214">
        <v>1446981</v>
      </c>
      <c r="Z55" s="214">
        <v>1388178</v>
      </c>
      <c r="AA55" s="215">
        <v>17860381</v>
      </c>
    </row>
    <row r="56" spans="7:27" ht="15" customHeight="1" x14ac:dyDescent="0.25">
      <c r="G56" s="191" t="s">
        <v>217</v>
      </c>
      <c r="H56" s="191" t="s">
        <v>217</v>
      </c>
      <c r="I56" s="194"/>
      <c r="J56" s="194"/>
      <c r="K56" s="194"/>
      <c r="M56" s="210" t="s">
        <v>277</v>
      </c>
      <c r="N56" s="211" t="s">
        <v>278</v>
      </c>
      <c r="O56" s="211">
        <v>12087039.35</v>
      </c>
      <c r="P56" s="211">
        <v>11797991.59</v>
      </c>
      <c r="Q56" s="211">
        <v>12324679.109999999</v>
      </c>
      <c r="R56" s="211">
        <v>12668941.439999999</v>
      </c>
      <c r="S56" s="211">
        <v>12928858.52</v>
      </c>
      <c r="T56" s="211">
        <v>12810662.550000001</v>
      </c>
      <c r="U56" s="211">
        <v>13084325.390000001</v>
      </c>
      <c r="V56" s="211">
        <v>12994635.720000001</v>
      </c>
      <c r="W56" s="211">
        <v>12786587.560000001</v>
      </c>
      <c r="X56" s="211">
        <v>12733154.550000001</v>
      </c>
      <c r="Y56" s="211">
        <v>12271420.439999999</v>
      </c>
      <c r="Z56" s="211">
        <v>12228732.23</v>
      </c>
      <c r="AA56" s="211">
        <v>150717028.44999999</v>
      </c>
    </row>
    <row r="57" spans="7:27" ht="15" customHeight="1" x14ac:dyDescent="0.25">
      <c r="G57" s="191" t="s">
        <v>217</v>
      </c>
      <c r="H57" s="191" t="s">
        <v>217</v>
      </c>
      <c r="I57" s="194"/>
      <c r="J57" s="194"/>
      <c r="K57" s="194"/>
      <c r="M57" s="210" t="s">
        <v>279</v>
      </c>
      <c r="N57" s="211" t="s">
        <v>280</v>
      </c>
      <c r="O57" s="211">
        <v>3903869.9</v>
      </c>
      <c r="P57" s="211">
        <v>3753042.29</v>
      </c>
      <c r="Q57" s="211">
        <v>3986542.21</v>
      </c>
      <c r="R57" s="211">
        <v>3880448.39</v>
      </c>
      <c r="S57" s="211">
        <v>3876481.43</v>
      </c>
      <c r="T57" s="211">
        <v>3756419.99</v>
      </c>
      <c r="U57" s="211">
        <v>3940024.17</v>
      </c>
      <c r="V57" s="211">
        <v>3924882.16</v>
      </c>
      <c r="W57" s="211">
        <v>3788081.22</v>
      </c>
      <c r="X57" s="211">
        <v>3911768.82</v>
      </c>
      <c r="Y57" s="211">
        <v>3894780.54</v>
      </c>
      <c r="Z57" s="211">
        <v>3920392.19</v>
      </c>
      <c r="AA57" s="211">
        <v>46536733.310000002</v>
      </c>
    </row>
    <row r="58" spans="7:27" ht="15" customHeight="1" x14ac:dyDescent="0.25">
      <c r="G58" s="191" t="s">
        <v>217</v>
      </c>
      <c r="H58" s="191" t="s">
        <v>217</v>
      </c>
      <c r="I58" s="194"/>
      <c r="J58" s="194"/>
      <c r="K58" s="194"/>
      <c r="M58" s="210" t="s">
        <v>281</v>
      </c>
      <c r="N58" s="211" t="s">
        <v>282</v>
      </c>
      <c r="O58" s="211">
        <v>3903869.9</v>
      </c>
      <c r="P58" s="211">
        <v>3753042.29</v>
      </c>
      <c r="Q58" s="211">
        <v>3986542.21</v>
      </c>
      <c r="R58" s="211">
        <v>3880448.39</v>
      </c>
      <c r="S58" s="211">
        <v>3876481.43</v>
      </c>
      <c r="T58" s="211">
        <v>3756419.99</v>
      </c>
      <c r="U58" s="211">
        <v>3940024.17</v>
      </c>
      <c r="V58" s="211">
        <v>3924882.16</v>
      </c>
      <c r="W58" s="211">
        <v>3788081.22</v>
      </c>
      <c r="X58" s="211">
        <v>3911768.82</v>
      </c>
      <c r="Y58" s="211">
        <v>3894780.54</v>
      </c>
      <c r="Z58" s="211">
        <v>3920392.19</v>
      </c>
      <c r="AA58" s="211">
        <v>46536733.310000002</v>
      </c>
    </row>
    <row r="59" spans="7:27" ht="15" customHeight="1" x14ac:dyDescent="0.25">
      <c r="G59" s="191" t="s">
        <v>217</v>
      </c>
      <c r="H59" s="191" t="s">
        <v>217</v>
      </c>
      <c r="I59" s="194"/>
      <c r="J59" s="194"/>
      <c r="K59" s="194"/>
      <c r="M59" s="212" t="s">
        <v>283</v>
      </c>
      <c r="N59" s="213" t="s">
        <v>284</v>
      </c>
      <c r="O59" s="214">
        <v>1732134</v>
      </c>
      <c r="P59" s="214">
        <v>1755917</v>
      </c>
      <c r="Q59" s="214">
        <v>1804689</v>
      </c>
      <c r="R59" s="214">
        <v>1763324</v>
      </c>
      <c r="S59" s="214">
        <v>1709703</v>
      </c>
      <c r="T59" s="214">
        <v>1658898</v>
      </c>
      <c r="U59" s="214">
        <v>1764953</v>
      </c>
      <c r="V59" s="214">
        <v>1752170</v>
      </c>
      <c r="W59" s="214">
        <v>1684512</v>
      </c>
      <c r="X59" s="214">
        <v>1740848</v>
      </c>
      <c r="Y59" s="214">
        <v>1775338</v>
      </c>
      <c r="Z59" s="214">
        <v>1747270</v>
      </c>
      <c r="AA59" s="215">
        <v>20889756</v>
      </c>
    </row>
    <row r="60" spans="7:27" ht="15" customHeight="1" x14ac:dyDescent="0.25">
      <c r="G60" s="191" t="s">
        <v>217</v>
      </c>
      <c r="H60" s="191" t="s">
        <v>217</v>
      </c>
      <c r="I60" s="194"/>
      <c r="J60" s="194"/>
      <c r="K60" s="194"/>
      <c r="M60" s="212" t="s">
        <v>285</v>
      </c>
      <c r="N60" s="213" t="s">
        <v>286</v>
      </c>
      <c r="O60" s="214">
        <v>1852136</v>
      </c>
      <c r="P60" s="214">
        <v>1673058</v>
      </c>
      <c r="Q60" s="214">
        <v>1852446</v>
      </c>
      <c r="R60" s="214">
        <v>1793104</v>
      </c>
      <c r="S60" s="214">
        <v>1852558</v>
      </c>
      <c r="T60" s="214">
        <v>1793258</v>
      </c>
      <c r="U60" s="214">
        <v>1852937</v>
      </c>
      <c r="V60" s="214">
        <v>1852901</v>
      </c>
      <c r="W60" s="214">
        <v>1792783</v>
      </c>
      <c r="X60" s="214">
        <v>1852789</v>
      </c>
      <c r="Y60" s="214">
        <v>1792444</v>
      </c>
      <c r="Z60" s="214">
        <v>1852456</v>
      </c>
      <c r="AA60" s="215">
        <v>21812870</v>
      </c>
    </row>
    <row r="61" spans="7:27" ht="15" customHeight="1" x14ac:dyDescent="0.25">
      <c r="G61" s="191" t="s">
        <v>217</v>
      </c>
      <c r="H61" s="191" t="s">
        <v>217</v>
      </c>
      <c r="I61" s="194"/>
      <c r="J61" s="194"/>
      <c r="K61" s="194"/>
      <c r="M61" s="212" t="s">
        <v>287</v>
      </c>
      <c r="N61" s="213" t="s">
        <v>288</v>
      </c>
      <c r="O61" s="214">
        <v>6912</v>
      </c>
      <c r="P61" s="214">
        <v>7249</v>
      </c>
      <c r="Q61" s="214">
        <v>7172</v>
      </c>
      <c r="R61" s="214">
        <v>7140</v>
      </c>
      <c r="S61" s="214">
        <v>6675</v>
      </c>
      <c r="T61" s="214">
        <v>6738</v>
      </c>
      <c r="U61" s="214">
        <v>7042</v>
      </c>
      <c r="V61" s="214">
        <v>6908</v>
      </c>
      <c r="W61" s="214">
        <v>6797</v>
      </c>
      <c r="X61" s="214">
        <v>6830</v>
      </c>
      <c r="Y61" s="214">
        <v>7114</v>
      </c>
      <c r="Z61" s="214">
        <v>7016</v>
      </c>
      <c r="AA61" s="215">
        <v>83593</v>
      </c>
    </row>
    <row r="62" spans="7:27" ht="15" customHeight="1" x14ac:dyDescent="0.25">
      <c r="G62" s="191" t="s">
        <v>217</v>
      </c>
      <c r="H62" s="191" t="s">
        <v>217</v>
      </c>
      <c r="I62" s="194"/>
      <c r="J62" s="194"/>
      <c r="K62" s="194"/>
      <c r="M62" s="212" t="s">
        <v>289</v>
      </c>
      <c r="N62" s="213" t="s">
        <v>290</v>
      </c>
      <c r="O62" s="214">
        <v>109617</v>
      </c>
      <c r="P62" s="214">
        <v>114962</v>
      </c>
      <c r="Q62" s="214">
        <v>113733</v>
      </c>
      <c r="R62" s="214">
        <v>113229</v>
      </c>
      <c r="S62" s="214">
        <v>105872</v>
      </c>
      <c r="T62" s="214">
        <v>106861</v>
      </c>
      <c r="U62" s="214">
        <v>111683</v>
      </c>
      <c r="V62" s="214">
        <v>109562</v>
      </c>
      <c r="W62" s="214">
        <v>107797</v>
      </c>
      <c r="X62" s="214">
        <v>108321</v>
      </c>
      <c r="Y62" s="214">
        <v>112810</v>
      </c>
      <c r="Z62" s="214">
        <v>111259</v>
      </c>
      <c r="AA62" s="215">
        <v>1325706</v>
      </c>
    </row>
    <row r="63" spans="7:27" ht="15" customHeight="1" x14ac:dyDescent="0.25">
      <c r="G63" s="191" t="s">
        <v>217</v>
      </c>
      <c r="H63" s="191" t="s">
        <v>217</v>
      </c>
      <c r="I63" s="194"/>
      <c r="J63" s="194"/>
      <c r="K63" s="194"/>
      <c r="M63" s="212" t="s">
        <v>291</v>
      </c>
      <c r="N63" s="213" t="s">
        <v>292</v>
      </c>
      <c r="O63" s="214">
        <v>40868</v>
      </c>
      <c r="P63" s="214">
        <v>36913</v>
      </c>
      <c r="Q63" s="214">
        <v>40868</v>
      </c>
      <c r="R63" s="214">
        <v>39550</v>
      </c>
      <c r="S63" s="214">
        <v>40868</v>
      </c>
      <c r="T63" s="214">
        <v>39550</v>
      </c>
      <c r="U63" s="214">
        <v>40868</v>
      </c>
      <c r="V63" s="214">
        <v>40868</v>
      </c>
      <c r="W63" s="214">
        <v>39550</v>
      </c>
      <c r="X63" s="214">
        <v>40868</v>
      </c>
      <c r="Y63" s="214">
        <v>39550</v>
      </c>
      <c r="Z63" s="214">
        <v>40868</v>
      </c>
      <c r="AA63" s="215">
        <v>481189</v>
      </c>
    </row>
    <row r="64" spans="7:27" ht="15" customHeight="1" x14ac:dyDescent="0.25">
      <c r="G64" s="191" t="s">
        <v>217</v>
      </c>
      <c r="H64" s="191" t="s">
        <v>217</v>
      </c>
      <c r="I64" s="194"/>
      <c r="J64" s="194"/>
      <c r="K64" s="194"/>
      <c r="M64" s="212" t="s">
        <v>293</v>
      </c>
      <c r="N64" s="213" t="s">
        <v>294</v>
      </c>
      <c r="O64" s="214">
        <v>97596.65</v>
      </c>
      <c r="P64" s="214">
        <v>93825.98</v>
      </c>
      <c r="Q64" s="214">
        <v>99663.48</v>
      </c>
      <c r="R64" s="214">
        <v>97011.1</v>
      </c>
      <c r="S64" s="214">
        <v>96911.95</v>
      </c>
      <c r="T64" s="214">
        <v>93910.399999999994</v>
      </c>
      <c r="U64" s="214">
        <v>98500.5</v>
      </c>
      <c r="V64" s="214">
        <v>98121.95</v>
      </c>
      <c r="W64" s="214">
        <v>94701.94</v>
      </c>
      <c r="X64" s="214">
        <v>97794.12</v>
      </c>
      <c r="Y64" s="214">
        <v>97369.41</v>
      </c>
      <c r="Z64" s="214">
        <v>98009.72</v>
      </c>
      <c r="AA64" s="215">
        <v>1163417.2</v>
      </c>
    </row>
    <row r="65" spans="7:27" ht="15" customHeight="1" x14ac:dyDescent="0.25">
      <c r="G65" s="191" t="s">
        <v>217</v>
      </c>
      <c r="H65" s="191" t="s">
        <v>217</v>
      </c>
      <c r="I65" s="194"/>
      <c r="J65" s="194"/>
      <c r="K65" s="194"/>
      <c r="M65" s="212" t="s">
        <v>295</v>
      </c>
      <c r="N65" s="213" t="s">
        <v>296</v>
      </c>
      <c r="O65" s="214">
        <v>31275.25</v>
      </c>
      <c r="P65" s="214">
        <v>36403.31</v>
      </c>
      <c r="Q65" s="214">
        <v>33793.730000000003</v>
      </c>
      <c r="R65" s="214">
        <v>32733.29</v>
      </c>
      <c r="S65" s="214">
        <v>31096.48</v>
      </c>
      <c r="T65" s="214">
        <v>24914.59</v>
      </c>
      <c r="U65" s="214">
        <v>30615.67</v>
      </c>
      <c r="V65" s="214">
        <v>31200.21</v>
      </c>
      <c r="W65" s="214">
        <v>28872.28</v>
      </c>
      <c r="X65" s="214">
        <v>31307.7</v>
      </c>
      <c r="Y65" s="214">
        <v>35450.129999999997</v>
      </c>
      <c r="Z65" s="214">
        <v>29809.47</v>
      </c>
      <c r="AA65" s="215">
        <v>377472.11</v>
      </c>
    </row>
    <row r="66" spans="7:27" ht="15" customHeight="1" x14ac:dyDescent="0.25">
      <c r="G66" s="191" t="s">
        <v>217</v>
      </c>
      <c r="H66" s="191" t="s">
        <v>217</v>
      </c>
      <c r="I66" s="194"/>
      <c r="J66" s="194"/>
      <c r="K66" s="194"/>
      <c r="M66" s="212" t="s">
        <v>297</v>
      </c>
      <c r="N66" s="213" t="s">
        <v>298</v>
      </c>
      <c r="O66" s="214">
        <v>33331</v>
      </c>
      <c r="P66" s="214">
        <v>34714</v>
      </c>
      <c r="Q66" s="214">
        <v>34177</v>
      </c>
      <c r="R66" s="214">
        <v>34357</v>
      </c>
      <c r="S66" s="214">
        <v>32797</v>
      </c>
      <c r="T66" s="214">
        <v>32290</v>
      </c>
      <c r="U66" s="214">
        <v>33425</v>
      </c>
      <c r="V66" s="214">
        <v>33151</v>
      </c>
      <c r="W66" s="214">
        <v>33068</v>
      </c>
      <c r="X66" s="214">
        <v>33011</v>
      </c>
      <c r="Y66" s="214">
        <v>34705</v>
      </c>
      <c r="Z66" s="214">
        <v>33704</v>
      </c>
      <c r="AA66" s="215">
        <v>402730</v>
      </c>
    </row>
    <row r="67" spans="7:27" ht="15" customHeight="1" x14ac:dyDescent="0.25">
      <c r="G67" s="191" t="s">
        <v>217</v>
      </c>
      <c r="H67" s="191" t="s">
        <v>217</v>
      </c>
      <c r="I67" s="194"/>
      <c r="J67" s="194"/>
      <c r="K67" s="194"/>
      <c r="M67" s="210" t="s">
        <v>299</v>
      </c>
      <c r="N67" s="211" t="s">
        <v>300</v>
      </c>
      <c r="O67" s="211">
        <v>8183169.4500000002</v>
      </c>
      <c r="P67" s="211">
        <v>8044949.2999999998</v>
      </c>
      <c r="Q67" s="211">
        <v>8338136.9000000004</v>
      </c>
      <c r="R67" s="211">
        <v>8788493.0500000007</v>
      </c>
      <c r="S67" s="211">
        <v>9052377.0899999999</v>
      </c>
      <c r="T67" s="211">
        <v>9054242.5600000005</v>
      </c>
      <c r="U67" s="211">
        <v>9144301.2200000007</v>
      </c>
      <c r="V67" s="211">
        <v>9069753.5600000005</v>
      </c>
      <c r="W67" s="211">
        <v>8998506.3399999999</v>
      </c>
      <c r="X67" s="211">
        <v>8821385.7300000004</v>
      </c>
      <c r="Y67" s="211">
        <v>8376639.9000000004</v>
      </c>
      <c r="Z67" s="211">
        <v>8308340.04</v>
      </c>
      <c r="AA67" s="211">
        <v>104180295.14000002</v>
      </c>
    </row>
    <row r="68" spans="7:27" ht="15" customHeight="1" x14ac:dyDescent="0.25">
      <c r="G68" s="191" t="s">
        <v>217</v>
      </c>
      <c r="H68" s="191" t="s">
        <v>217</v>
      </c>
      <c r="I68" s="194"/>
      <c r="J68" s="194"/>
      <c r="K68" s="194"/>
      <c r="M68" s="210" t="s">
        <v>301</v>
      </c>
      <c r="N68" s="211" t="s">
        <v>302</v>
      </c>
      <c r="O68" s="211">
        <v>8183169.4500000002</v>
      </c>
      <c r="P68" s="211">
        <v>8044949.2999999998</v>
      </c>
      <c r="Q68" s="211">
        <v>8338136.9000000004</v>
      </c>
      <c r="R68" s="211">
        <v>8788493.0500000007</v>
      </c>
      <c r="S68" s="211">
        <v>9052377.0899999999</v>
      </c>
      <c r="T68" s="211">
        <v>9054242.5600000005</v>
      </c>
      <c r="U68" s="211">
        <v>9144301.2200000007</v>
      </c>
      <c r="V68" s="211">
        <v>9069753.5600000005</v>
      </c>
      <c r="W68" s="211">
        <v>8998506.3399999999</v>
      </c>
      <c r="X68" s="211">
        <v>8821385.7300000004</v>
      </c>
      <c r="Y68" s="211">
        <v>8376639.9000000004</v>
      </c>
      <c r="Z68" s="211">
        <v>8308340.04</v>
      </c>
      <c r="AA68" s="211">
        <v>104180295.14000002</v>
      </c>
    </row>
    <row r="69" spans="7:27" ht="15" customHeight="1" x14ac:dyDescent="0.25">
      <c r="G69" s="191" t="s">
        <v>217</v>
      </c>
      <c r="H69" s="191" t="s">
        <v>217</v>
      </c>
      <c r="I69" s="194"/>
      <c r="J69" s="194"/>
      <c r="K69" s="194"/>
      <c r="M69" s="212" t="s">
        <v>303</v>
      </c>
      <c r="N69" s="213" t="s">
        <v>304</v>
      </c>
      <c r="O69" s="214">
        <v>3769577</v>
      </c>
      <c r="P69" s="214">
        <v>3762172</v>
      </c>
      <c r="Q69" s="214">
        <v>3864574</v>
      </c>
      <c r="R69" s="214">
        <v>4080293</v>
      </c>
      <c r="S69" s="214">
        <v>4195675</v>
      </c>
      <c r="T69" s="214">
        <v>4179724</v>
      </c>
      <c r="U69" s="214">
        <v>4207103</v>
      </c>
      <c r="V69" s="214">
        <v>4182398</v>
      </c>
      <c r="W69" s="214">
        <v>4113012</v>
      </c>
      <c r="X69" s="214">
        <v>4100125</v>
      </c>
      <c r="Y69" s="214">
        <v>3879692</v>
      </c>
      <c r="Z69" s="214">
        <v>3833047</v>
      </c>
      <c r="AA69" s="215">
        <v>48167392</v>
      </c>
    </row>
    <row r="70" spans="7:27" ht="15" customHeight="1" x14ac:dyDescent="0.25">
      <c r="G70" s="191" t="s">
        <v>217</v>
      </c>
      <c r="H70" s="191" t="s">
        <v>217</v>
      </c>
      <c r="I70" s="194"/>
      <c r="J70" s="194"/>
      <c r="K70" s="194"/>
      <c r="M70" s="212" t="s">
        <v>305</v>
      </c>
      <c r="N70" s="213" t="s">
        <v>306</v>
      </c>
      <c r="O70" s="214">
        <v>3209634</v>
      </c>
      <c r="P70" s="214">
        <v>3081820</v>
      </c>
      <c r="Q70" s="214">
        <v>3243162</v>
      </c>
      <c r="R70" s="214">
        <v>3431023</v>
      </c>
      <c r="S70" s="214">
        <v>3519126</v>
      </c>
      <c r="T70" s="214">
        <v>3532399</v>
      </c>
      <c r="U70" s="214">
        <v>3581423</v>
      </c>
      <c r="V70" s="214">
        <v>3534912</v>
      </c>
      <c r="W70" s="214">
        <v>3554777</v>
      </c>
      <c r="X70" s="214">
        <v>3402763</v>
      </c>
      <c r="Y70" s="214">
        <v>3243090</v>
      </c>
      <c r="Z70" s="214">
        <v>3240551</v>
      </c>
      <c r="AA70" s="215">
        <v>40574680</v>
      </c>
    </row>
    <row r="71" spans="7:27" ht="15" customHeight="1" x14ac:dyDescent="0.25">
      <c r="G71" s="191" t="s">
        <v>217</v>
      </c>
      <c r="H71" s="191" t="s">
        <v>217</v>
      </c>
      <c r="I71" s="194"/>
      <c r="J71" s="194"/>
      <c r="K71" s="194"/>
      <c r="M71" s="212" t="s">
        <v>307</v>
      </c>
      <c r="N71" s="213" t="s">
        <v>308</v>
      </c>
      <c r="O71" s="214">
        <v>13680</v>
      </c>
      <c r="P71" s="214">
        <v>13948</v>
      </c>
      <c r="Q71" s="214">
        <v>14234</v>
      </c>
      <c r="R71" s="214">
        <v>14421</v>
      </c>
      <c r="S71" s="214">
        <v>15257</v>
      </c>
      <c r="T71" s="214">
        <v>15314</v>
      </c>
      <c r="U71" s="214">
        <v>15504</v>
      </c>
      <c r="V71" s="214">
        <v>15586</v>
      </c>
      <c r="W71" s="214">
        <v>15084</v>
      </c>
      <c r="X71" s="214">
        <v>15266</v>
      </c>
      <c r="Y71" s="214">
        <v>14430</v>
      </c>
      <c r="Z71" s="214">
        <v>14134</v>
      </c>
      <c r="AA71" s="215">
        <v>176858</v>
      </c>
    </row>
    <row r="72" spans="7:27" ht="15" customHeight="1" x14ac:dyDescent="0.25">
      <c r="G72" s="191" t="s">
        <v>217</v>
      </c>
      <c r="H72" s="191" t="s">
        <v>217</v>
      </c>
      <c r="I72" s="194"/>
      <c r="J72" s="194"/>
      <c r="K72" s="194"/>
      <c r="M72" s="212" t="s">
        <v>309</v>
      </c>
      <c r="N72" s="213" t="s">
        <v>310</v>
      </c>
      <c r="O72" s="214">
        <v>226658</v>
      </c>
      <c r="P72" s="214">
        <v>231161</v>
      </c>
      <c r="Q72" s="214">
        <v>235898</v>
      </c>
      <c r="R72" s="214">
        <v>239064</v>
      </c>
      <c r="S72" s="214">
        <v>252930</v>
      </c>
      <c r="T72" s="214">
        <v>253701</v>
      </c>
      <c r="U72" s="214">
        <v>256699</v>
      </c>
      <c r="V72" s="214">
        <v>258004</v>
      </c>
      <c r="W72" s="214">
        <v>249927</v>
      </c>
      <c r="X72" s="214">
        <v>252755</v>
      </c>
      <c r="Y72" s="214">
        <v>239050</v>
      </c>
      <c r="Z72" s="214">
        <v>234300</v>
      </c>
      <c r="AA72" s="215">
        <v>2930147</v>
      </c>
    </row>
    <row r="73" spans="7:27" ht="15" customHeight="1" x14ac:dyDescent="0.25">
      <c r="G73" s="191" t="s">
        <v>217</v>
      </c>
      <c r="H73" s="191" t="s">
        <v>217</v>
      </c>
      <c r="I73" s="194"/>
      <c r="J73" s="194"/>
      <c r="K73" s="194"/>
      <c r="M73" s="212" t="s">
        <v>311</v>
      </c>
      <c r="N73" s="213" t="s">
        <v>312</v>
      </c>
      <c r="O73" s="214">
        <v>73493</v>
      </c>
      <c r="P73" s="214">
        <v>70681</v>
      </c>
      <c r="Q73" s="214">
        <v>74190</v>
      </c>
      <c r="R73" s="214">
        <v>78554</v>
      </c>
      <c r="S73" s="214">
        <v>80612</v>
      </c>
      <c r="T73" s="214">
        <v>81090</v>
      </c>
      <c r="U73" s="214">
        <v>82213</v>
      </c>
      <c r="V73" s="214">
        <v>81143</v>
      </c>
      <c r="W73" s="214">
        <v>81713</v>
      </c>
      <c r="X73" s="214">
        <v>78062</v>
      </c>
      <c r="Y73" s="214">
        <v>74467</v>
      </c>
      <c r="Z73" s="214">
        <v>74264</v>
      </c>
      <c r="AA73" s="215">
        <v>930482</v>
      </c>
    </row>
    <row r="74" spans="7:27" ht="15" customHeight="1" x14ac:dyDescent="0.25">
      <c r="G74" s="191" t="s">
        <v>217</v>
      </c>
      <c r="H74" s="191" t="s">
        <v>217</v>
      </c>
      <c r="I74" s="194"/>
      <c r="J74" s="194"/>
      <c r="K74" s="194"/>
      <c r="M74" s="212" t="s">
        <v>313</v>
      </c>
      <c r="N74" s="213" t="s">
        <v>314</v>
      </c>
      <c r="O74" s="214">
        <v>320554.67</v>
      </c>
      <c r="P74" s="214">
        <v>315098.43</v>
      </c>
      <c r="Q74" s="214">
        <v>326672.02</v>
      </c>
      <c r="R74" s="214">
        <v>344449.96</v>
      </c>
      <c r="S74" s="214">
        <v>354866.75</v>
      </c>
      <c r="T74" s="214">
        <v>354940.4</v>
      </c>
      <c r="U74" s="214">
        <v>358495.39</v>
      </c>
      <c r="V74" s="214">
        <v>355552.68</v>
      </c>
      <c r="W74" s="214">
        <v>352740.21</v>
      </c>
      <c r="X74" s="214">
        <v>345748.3</v>
      </c>
      <c r="Y74" s="214">
        <v>328191.96000000002</v>
      </c>
      <c r="Z74" s="214">
        <v>325495.77</v>
      </c>
      <c r="AA74" s="215">
        <v>4082806.54</v>
      </c>
    </row>
    <row r="75" spans="7:27" ht="15" customHeight="1" x14ac:dyDescent="0.25">
      <c r="G75" s="191" t="s">
        <v>217</v>
      </c>
      <c r="H75" s="191" t="s">
        <v>217</v>
      </c>
      <c r="I75" s="194"/>
      <c r="J75" s="194"/>
      <c r="K75" s="194"/>
      <c r="M75" s="212" t="s">
        <v>315</v>
      </c>
      <c r="N75" s="213" t="s">
        <v>316</v>
      </c>
      <c r="O75" s="214">
        <v>194996.51</v>
      </c>
      <c r="P75" s="214">
        <v>191677.43</v>
      </c>
      <c r="Q75" s="214">
        <v>198717.75</v>
      </c>
      <c r="R75" s="214">
        <v>209532.24</v>
      </c>
      <c r="S75" s="214">
        <v>215868.88</v>
      </c>
      <c r="T75" s="214">
        <v>215913.68</v>
      </c>
      <c r="U75" s="214">
        <v>218076.21</v>
      </c>
      <c r="V75" s="214">
        <v>216286.14</v>
      </c>
      <c r="W75" s="214">
        <v>214575.28</v>
      </c>
      <c r="X75" s="214">
        <v>210322.04</v>
      </c>
      <c r="Y75" s="214">
        <v>199642.34</v>
      </c>
      <c r="Z75" s="214">
        <v>198002.23</v>
      </c>
      <c r="AA75" s="215">
        <v>2483610.73</v>
      </c>
    </row>
    <row r="76" spans="7:27" ht="15" customHeight="1" x14ac:dyDescent="0.25">
      <c r="G76" s="191" t="s">
        <v>217</v>
      </c>
      <c r="H76" s="191" t="s">
        <v>217</v>
      </c>
      <c r="I76" s="194"/>
      <c r="J76" s="194"/>
      <c r="K76" s="194"/>
      <c r="M76" s="212" t="s">
        <v>317</v>
      </c>
      <c r="N76" s="213" t="s">
        <v>318</v>
      </c>
      <c r="O76" s="214">
        <v>166773.26999999999</v>
      </c>
      <c r="P76" s="214">
        <v>166943.44</v>
      </c>
      <c r="Q76" s="214">
        <v>167817.13</v>
      </c>
      <c r="R76" s="214">
        <v>173502.85</v>
      </c>
      <c r="S76" s="214">
        <v>188864.46</v>
      </c>
      <c r="T76" s="214">
        <v>188872.48</v>
      </c>
      <c r="U76" s="214">
        <v>190199.62</v>
      </c>
      <c r="V76" s="214">
        <v>190635.74</v>
      </c>
      <c r="W76" s="214">
        <v>187132.85</v>
      </c>
      <c r="X76" s="214">
        <v>186363.39</v>
      </c>
      <c r="Y76" s="214">
        <v>179945.60000000001</v>
      </c>
      <c r="Z76" s="214">
        <v>174681.04</v>
      </c>
      <c r="AA76" s="215">
        <v>2161731.87</v>
      </c>
    </row>
    <row r="77" spans="7:27" ht="15" customHeight="1" x14ac:dyDescent="0.25">
      <c r="G77" s="191" t="s">
        <v>217</v>
      </c>
      <c r="H77" s="191" t="s">
        <v>217</v>
      </c>
      <c r="I77" s="194"/>
      <c r="J77" s="194"/>
      <c r="K77" s="194"/>
      <c r="M77" s="212" t="s">
        <v>319</v>
      </c>
      <c r="N77" s="213" t="s">
        <v>320</v>
      </c>
      <c r="O77" s="214">
        <v>207803</v>
      </c>
      <c r="P77" s="214">
        <v>211448</v>
      </c>
      <c r="Q77" s="214">
        <v>212872</v>
      </c>
      <c r="R77" s="214">
        <v>217653</v>
      </c>
      <c r="S77" s="214">
        <v>229177</v>
      </c>
      <c r="T77" s="214">
        <v>232288</v>
      </c>
      <c r="U77" s="214">
        <v>234588</v>
      </c>
      <c r="V77" s="214">
        <v>235236</v>
      </c>
      <c r="W77" s="214">
        <v>229545</v>
      </c>
      <c r="X77" s="214">
        <v>229981</v>
      </c>
      <c r="Y77" s="214">
        <v>218131</v>
      </c>
      <c r="Z77" s="214">
        <v>213865</v>
      </c>
      <c r="AA77" s="215">
        <v>2672587</v>
      </c>
    </row>
    <row r="78" spans="7:27" ht="15" customHeight="1" x14ac:dyDescent="0.25">
      <c r="G78" s="191" t="s">
        <v>217</v>
      </c>
      <c r="H78" s="191" t="s">
        <v>217</v>
      </c>
      <c r="I78" s="194"/>
      <c r="J78" s="194"/>
      <c r="K78" s="194"/>
      <c r="M78" s="210" t="s">
        <v>321</v>
      </c>
      <c r="N78" s="211" t="s">
        <v>322</v>
      </c>
      <c r="O78" s="211">
        <v>17040316.920000002</v>
      </c>
      <c r="P78" s="211">
        <v>17000427.449999999</v>
      </c>
      <c r="Q78" s="211">
        <v>17008972.550000001</v>
      </c>
      <c r="R78" s="211">
        <v>17424549.460000001</v>
      </c>
      <c r="S78" s="211">
        <v>18181439.82</v>
      </c>
      <c r="T78" s="211">
        <v>19204749.82</v>
      </c>
      <c r="U78" s="211">
        <v>19350903.620000001</v>
      </c>
      <c r="V78" s="211">
        <v>19508306.420000002</v>
      </c>
      <c r="W78" s="211">
        <v>19768586.120000001</v>
      </c>
      <c r="X78" s="211">
        <v>19281811.289999999</v>
      </c>
      <c r="Y78" s="211">
        <v>17867560.359999999</v>
      </c>
      <c r="Z78" s="211">
        <v>17271778.629999999</v>
      </c>
      <c r="AA78" s="211">
        <v>218909402.45999998</v>
      </c>
    </row>
    <row r="79" spans="7:27" ht="15" customHeight="1" x14ac:dyDescent="0.25">
      <c r="G79" s="191" t="s">
        <v>217</v>
      </c>
      <c r="H79" s="191" t="s">
        <v>217</v>
      </c>
      <c r="I79" s="194"/>
      <c r="J79" s="194"/>
      <c r="K79" s="194"/>
      <c r="M79" s="212" t="s">
        <v>323</v>
      </c>
      <c r="N79" s="213" t="s">
        <v>324</v>
      </c>
      <c r="O79" s="214">
        <v>9780457</v>
      </c>
      <c r="P79" s="214">
        <v>9847378</v>
      </c>
      <c r="Q79" s="214">
        <v>9788372</v>
      </c>
      <c r="R79" s="214">
        <v>9954964</v>
      </c>
      <c r="S79" s="214">
        <v>10264794</v>
      </c>
      <c r="T79" s="214">
        <v>10710913</v>
      </c>
      <c r="U79" s="214">
        <v>10667334</v>
      </c>
      <c r="V79" s="214">
        <v>10783096</v>
      </c>
      <c r="W79" s="214">
        <v>10958952</v>
      </c>
      <c r="X79" s="214">
        <v>10810181</v>
      </c>
      <c r="Y79" s="214">
        <v>10123754</v>
      </c>
      <c r="Z79" s="214">
        <v>9906765</v>
      </c>
      <c r="AA79" s="215">
        <v>123596960</v>
      </c>
    </row>
    <row r="80" spans="7:27" ht="15" customHeight="1" x14ac:dyDescent="0.25">
      <c r="G80" s="191" t="s">
        <v>217</v>
      </c>
      <c r="H80" s="191" t="s">
        <v>217</v>
      </c>
      <c r="I80" s="194"/>
      <c r="J80" s="194"/>
      <c r="K80" s="194"/>
      <c r="M80" s="212" t="s">
        <v>325</v>
      </c>
      <c r="N80" s="213" t="s">
        <v>326</v>
      </c>
      <c r="O80" s="214">
        <v>5144269</v>
      </c>
      <c r="P80" s="214">
        <v>5027975</v>
      </c>
      <c r="Q80" s="214">
        <v>5111195</v>
      </c>
      <c r="R80" s="214">
        <v>5311885</v>
      </c>
      <c r="S80" s="214">
        <v>5660683</v>
      </c>
      <c r="T80" s="214">
        <v>6104851</v>
      </c>
      <c r="U80" s="214">
        <v>6309069</v>
      </c>
      <c r="V80" s="214">
        <v>6321500</v>
      </c>
      <c r="W80" s="214">
        <v>6364732</v>
      </c>
      <c r="X80" s="214">
        <v>6071993</v>
      </c>
      <c r="Y80" s="214">
        <v>5531784</v>
      </c>
      <c r="Z80" s="214">
        <v>5209352</v>
      </c>
      <c r="AA80" s="215">
        <v>68169288</v>
      </c>
    </row>
    <row r="81" spans="7:27" ht="15" customHeight="1" x14ac:dyDescent="0.25">
      <c r="G81" s="191" t="s">
        <v>217</v>
      </c>
      <c r="H81" s="191" t="s">
        <v>217</v>
      </c>
      <c r="I81" s="194"/>
      <c r="J81" s="194"/>
      <c r="K81" s="194"/>
      <c r="M81" s="212" t="s">
        <v>327</v>
      </c>
      <c r="N81" s="213" t="s">
        <v>328</v>
      </c>
      <c r="O81" s="214">
        <v>23588</v>
      </c>
      <c r="P81" s="214">
        <v>23998</v>
      </c>
      <c r="Q81" s="214">
        <v>23636</v>
      </c>
      <c r="R81" s="214">
        <v>24148</v>
      </c>
      <c r="S81" s="214">
        <v>25291</v>
      </c>
      <c r="T81" s="214">
        <v>26767</v>
      </c>
      <c r="U81" s="214">
        <v>26124</v>
      </c>
      <c r="V81" s="214">
        <v>26621</v>
      </c>
      <c r="W81" s="214">
        <v>27128</v>
      </c>
      <c r="X81" s="214">
        <v>26961</v>
      </c>
      <c r="Y81" s="214">
        <v>24719</v>
      </c>
      <c r="Z81" s="214">
        <v>24187</v>
      </c>
      <c r="AA81" s="215">
        <v>303168</v>
      </c>
    </row>
    <row r="82" spans="7:27" ht="15" customHeight="1" x14ac:dyDescent="0.25">
      <c r="G82" s="191" t="s">
        <v>217</v>
      </c>
      <c r="H82" s="191" t="s">
        <v>217</v>
      </c>
      <c r="I82" s="194"/>
      <c r="J82" s="194"/>
      <c r="K82" s="194"/>
      <c r="M82" s="212" t="s">
        <v>329</v>
      </c>
      <c r="N82" s="213" t="s">
        <v>330</v>
      </c>
      <c r="O82" s="214">
        <v>406985</v>
      </c>
      <c r="P82" s="214">
        <v>413860</v>
      </c>
      <c r="Q82" s="214">
        <v>407916</v>
      </c>
      <c r="R82" s="214">
        <v>416337</v>
      </c>
      <c r="S82" s="214">
        <v>435458</v>
      </c>
      <c r="T82" s="214">
        <v>460589</v>
      </c>
      <c r="U82" s="214">
        <v>450247</v>
      </c>
      <c r="V82" s="214">
        <v>458196</v>
      </c>
      <c r="W82" s="214">
        <v>466526</v>
      </c>
      <c r="X82" s="214">
        <v>463533</v>
      </c>
      <c r="Y82" s="214">
        <v>426479</v>
      </c>
      <c r="Z82" s="214">
        <v>417399</v>
      </c>
      <c r="AA82" s="215">
        <v>5223525</v>
      </c>
    </row>
    <row r="83" spans="7:27" ht="15" customHeight="1" x14ac:dyDescent="0.25">
      <c r="G83" s="191" t="s">
        <v>217</v>
      </c>
      <c r="H83" s="191" t="s">
        <v>217</v>
      </c>
      <c r="I83" s="194"/>
      <c r="J83" s="194"/>
      <c r="K83" s="194"/>
      <c r="M83" s="212" t="s">
        <v>331</v>
      </c>
      <c r="N83" s="213" t="s">
        <v>332</v>
      </c>
      <c r="O83" s="214">
        <v>115839</v>
      </c>
      <c r="P83" s="214">
        <v>113138</v>
      </c>
      <c r="Q83" s="214">
        <v>115028</v>
      </c>
      <c r="R83" s="214">
        <v>119671</v>
      </c>
      <c r="S83" s="214">
        <v>127760</v>
      </c>
      <c r="T83" s="214">
        <v>138081</v>
      </c>
      <c r="U83" s="214">
        <v>142824</v>
      </c>
      <c r="V83" s="214">
        <v>143104</v>
      </c>
      <c r="W83" s="214">
        <v>144115</v>
      </c>
      <c r="X83" s="214">
        <v>137311</v>
      </c>
      <c r="Y83" s="214">
        <v>124766</v>
      </c>
      <c r="Z83" s="214">
        <v>117305</v>
      </c>
      <c r="AA83" s="215">
        <v>1538942</v>
      </c>
    </row>
    <row r="84" spans="7:27" ht="15" customHeight="1" x14ac:dyDescent="0.25">
      <c r="G84" s="191" t="s">
        <v>217</v>
      </c>
      <c r="H84" s="191" t="s">
        <v>217</v>
      </c>
      <c r="I84" s="194"/>
      <c r="J84" s="194"/>
      <c r="K84" s="194"/>
      <c r="M84" s="212" t="s">
        <v>333</v>
      </c>
      <c r="N84" s="213" t="s">
        <v>334</v>
      </c>
      <c r="O84" s="214">
        <v>441587.3</v>
      </c>
      <c r="P84" s="214">
        <v>440565.45</v>
      </c>
      <c r="Q84" s="214">
        <v>440793.2</v>
      </c>
      <c r="R84" s="214">
        <v>451522.69</v>
      </c>
      <c r="S84" s="214">
        <v>471058.34</v>
      </c>
      <c r="T84" s="214">
        <v>497467.81</v>
      </c>
      <c r="U84" s="214">
        <v>501246.04</v>
      </c>
      <c r="V84" s="214">
        <v>505314.56</v>
      </c>
      <c r="W84" s="214">
        <v>512037.38</v>
      </c>
      <c r="X84" s="214">
        <v>499485.7</v>
      </c>
      <c r="Y84" s="214">
        <v>463004.39</v>
      </c>
      <c r="Z84" s="214">
        <v>447640.09</v>
      </c>
      <c r="AA84" s="215">
        <v>5671722.9500000002</v>
      </c>
    </row>
    <row r="85" spans="7:27" ht="15" customHeight="1" x14ac:dyDescent="0.25">
      <c r="G85" s="191" t="s">
        <v>217</v>
      </c>
      <c r="H85" s="191" t="s">
        <v>217</v>
      </c>
      <c r="I85" s="194"/>
      <c r="J85" s="194"/>
      <c r="K85" s="194"/>
      <c r="M85" s="212" t="s">
        <v>335</v>
      </c>
      <c r="N85" s="213" t="s">
        <v>336</v>
      </c>
      <c r="O85" s="214">
        <v>248350.25</v>
      </c>
      <c r="P85" s="214">
        <v>247102.8</v>
      </c>
      <c r="Q85" s="214">
        <v>247034.2</v>
      </c>
      <c r="R85" s="214">
        <v>256878.29</v>
      </c>
      <c r="S85" s="214">
        <v>275034.38</v>
      </c>
      <c r="T85" s="214">
        <v>299678.42</v>
      </c>
      <c r="U85" s="214">
        <v>302958.55</v>
      </c>
      <c r="V85" s="214">
        <v>306512.01</v>
      </c>
      <c r="W85" s="214">
        <v>312570.27</v>
      </c>
      <c r="X85" s="214">
        <v>300433.3</v>
      </c>
      <c r="Y85" s="214">
        <v>265713.76</v>
      </c>
      <c r="Z85" s="214">
        <v>250927.18</v>
      </c>
      <c r="AA85" s="215">
        <v>3313193.4099999997</v>
      </c>
    </row>
    <row r="86" spans="7:27" ht="15" customHeight="1" x14ac:dyDescent="0.25">
      <c r="G86" s="191" t="s">
        <v>217</v>
      </c>
      <c r="H86" s="191" t="s">
        <v>217</v>
      </c>
      <c r="I86" s="194"/>
      <c r="J86" s="194"/>
      <c r="K86" s="194"/>
      <c r="M86" s="212" t="s">
        <v>337</v>
      </c>
      <c r="N86" s="213" t="s">
        <v>338</v>
      </c>
      <c r="O86" s="214">
        <v>502537.37</v>
      </c>
      <c r="P86" s="214">
        <v>504043.2</v>
      </c>
      <c r="Q86" s="214">
        <v>498530.15</v>
      </c>
      <c r="R86" s="214">
        <v>504130.48</v>
      </c>
      <c r="S86" s="214">
        <v>517962.1</v>
      </c>
      <c r="T86" s="214">
        <v>539010.59</v>
      </c>
      <c r="U86" s="214">
        <v>533413.03</v>
      </c>
      <c r="V86" s="214">
        <v>538588.85</v>
      </c>
      <c r="W86" s="214">
        <v>548364.47</v>
      </c>
      <c r="X86" s="214">
        <v>541588.29</v>
      </c>
      <c r="Y86" s="214">
        <v>513435.21</v>
      </c>
      <c r="Z86" s="214">
        <v>512294.36</v>
      </c>
      <c r="AA86" s="215">
        <v>6253898.1000000006</v>
      </c>
    </row>
    <row r="87" spans="7:27" ht="15" customHeight="1" x14ac:dyDescent="0.25">
      <c r="G87" s="191" t="s">
        <v>217</v>
      </c>
      <c r="H87" s="191" t="s">
        <v>217</v>
      </c>
      <c r="I87" s="194"/>
      <c r="J87" s="194"/>
      <c r="K87" s="194"/>
      <c r="M87" s="212" t="s">
        <v>339</v>
      </c>
      <c r="N87" s="213" t="s">
        <v>340</v>
      </c>
      <c r="O87" s="214">
        <v>376704</v>
      </c>
      <c r="P87" s="214">
        <v>382367</v>
      </c>
      <c r="Q87" s="214">
        <v>376468</v>
      </c>
      <c r="R87" s="214">
        <v>385013</v>
      </c>
      <c r="S87" s="214">
        <v>403399</v>
      </c>
      <c r="T87" s="214">
        <v>427392</v>
      </c>
      <c r="U87" s="214">
        <v>417688</v>
      </c>
      <c r="V87" s="214">
        <v>425374</v>
      </c>
      <c r="W87" s="214">
        <v>434161</v>
      </c>
      <c r="X87" s="214">
        <v>430325</v>
      </c>
      <c r="Y87" s="214">
        <v>393905</v>
      </c>
      <c r="Z87" s="214">
        <v>385909</v>
      </c>
      <c r="AA87" s="215">
        <v>4838705</v>
      </c>
    </row>
    <row r="88" spans="7:27" ht="15" customHeight="1" x14ac:dyDescent="0.25">
      <c r="G88" s="191" t="s">
        <v>217</v>
      </c>
      <c r="H88" s="191" t="s">
        <v>217</v>
      </c>
      <c r="I88" s="194"/>
      <c r="J88" s="194"/>
      <c r="K88" s="194"/>
      <c r="M88" s="210" t="s">
        <v>341</v>
      </c>
      <c r="N88" s="211" t="s">
        <v>342</v>
      </c>
      <c r="O88" s="211">
        <v>-704560.66650960001</v>
      </c>
      <c r="P88" s="211">
        <v>-375730.09026319999</v>
      </c>
      <c r="Q88" s="211">
        <v>-321253.0576611</v>
      </c>
      <c r="R88" s="211">
        <v>-469241.72964520002</v>
      </c>
      <c r="S88" s="211">
        <v>-1375855.0291609</v>
      </c>
      <c r="T88" s="211">
        <v>-6922335.8736247001</v>
      </c>
      <c r="U88" s="211">
        <v>-5544435.2238167003</v>
      </c>
      <c r="V88" s="211">
        <v>-4470481.9782359004</v>
      </c>
      <c r="W88" s="211">
        <v>-12043492.2779989</v>
      </c>
      <c r="X88" s="211">
        <v>-4838385.6087245001</v>
      </c>
      <c r="Y88" s="211">
        <v>-3668089.5787495002</v>
      </c>
      <c r="Z88" s="211">
        <v>-685078.32161470002</v>
      </c>
      <c r="AA88" s="211">
        <v>-41418939.436004899</v>
      </c>
    </row>
    <row r="89" spans="7:27" ht="15" customHeight="1" x14ac:dyDescent="0.25">
      <c r="G89" s="191" t="s">
        <v>217</v>
      </c>
      <c r="H89" s="191" t="s">
        <v>217</v>
      </c>
      <c r="I89" s="194"/>
      <c r="J89" s="194"/>
      <c r="K89" s="194"/>
      <c r="M89" s="210" t="s">
        <v>343</v>
      </c>
      <c r="N89" s="211" t="s">
        <v>344</v>
      </c>
      <c r="O89" s="211">
        <v>-704560.66650960001</v>
      </c>
      <c r="P89" s="211">
        <v>-375730.09026319999</v>
      </c>
      <c r="Q89" s="211">
        <v>-321253.0576611</v>
      </c>
      <c r="R89" s="211">
        <v>-469241.72964520002</v>
      </c>
      <c r="S89" s="211">
        <v>-1375855.0291609</v>
      </c>
      <c r="T89" s="211">
        <v>-6922335.8736247001</v>
      </c>
      <c r="U89" s="211">
        <v>-5544435.2238167003</v>
      </c>
      <c r="V89" s="211">
        <v>-4470481.9782359004</v>
      </c>
      <c r="W89" s="211">
        <v>-12043492.2779989</v>
      </c>
      <c r="X89" s="211">
        <v>-4838385.6087245001</v>
      </c>
      <c r="Y89" s="211">
        <v>-3668089.5787495002</v>
      </c>
      <c r="Z89" s="211">
        <v>-685078.32161470002</v>
      </c>
      <c r="AA89" s="211">
        <v>-41418939.436004899</v>
      </c>
    </row>
    <row r="90" spans="7:27" ht="15" customHeight="1" x14ac:dyDescent="0.25">
      <c r="G90" s="191" t="s">
        <v>217</v>
      </c>
      <c r="H90" s="191" t="s">
        <v>217</v>
      </c>
      <c r="I90" s="194"/>
      <c r="J90" s="194"/>
      <c r="K90" s="194"/>
      <c r="M90" s="212" t="s">
        <v>345</v>
      </c>
      <c r="N90" s="213" t="s">
        <v>346</v>
      </c>
      <c r="O90" s="214">
        <v>0</v>
      </c>
      <c r="P90" s="214">
        <v>0</v>
      </c>
      <c r="Q90" s="214">
        <v>0</v>
      </c>
      <c r="R90" s="214">
        <v>0</v>
      </c>
      <c r="S90" s="214">
        <v>-109042.2041863</v>
      </c>
      <c r="T90" s="214">
        <v>-3910567.0781970001</v>
      </c>
      <c r="U90" s="214">
        <v>-2241036.5058891</v>
      </c>
      <c r="V90" s="214">
        <v>-951635.74379780004</v>
      </c>
      <c r="W90" s="214">
        <v>-8231471.4886215003</v>
      </c>
      <c r="X90" s="214">
        <v>-2727520.3004370001</v>
      </c>
      <c r="Y90" s="214">
        <v>-2652443.5763184</v>
      </c>
      <c r="Z90" s="214">
        <v>0</v>
      </c>
      <c r="AA90" s="215">
        <v>-20823716.897447102</v>
      </c>
    </row>
    <row r="91" spans="7:27" ht="15" customHeight="1" x14ac:dyDescent="0.25">
      <c r="G91" s="191" t="s">
        <v>217</v>
      </c>
      <c r="H91" s="191" t="s">
        <v>217</v>
      </c>
      <c r="I91" s="194"/>
      <c r="J91" s="194"/>
      <c r="K91" s="194"/>
      <c r="M91" s="212" t="s">
        <v>347</v>
      </c>
      <c r="N91" s="213" t="s">
        <v>348</v>
      </c>
      <c r="O91" s="214">
        <v>183333</v>
      </c>
      <c r="P91" s="214">
        <v>183333</v>
      </c>
      <c r="Q91" s="214">
        <v>183333</v>
      </c>
      <c r="R91" s="214">
        <v>183333</v>
      </c>
      <c r="S91" s="214">
        <v>183333</v>
      </c>
      <c r="T91" s="214">
        <v>183333</v>
      </c>
      <c r="U91" s="214">
        <v>183333</v>
      </c>
      <c r="V91" s="214">
        <v>183333</v>
      </c>
      <c r="W91" s="214">
        <v>183333</v>
      </c>
      <c r="X91" s="214">
        <v>183333</v>
      </c>
      <c r="Y91" s="214">
        <v>183333</v>
      </c>
      <c r="Z91" s="214">
        <v>183337</v>
      </c>
      <c r="AA91" s="215">
        <v>2200000</v>
      </c>
    </row>
    <row r="92" spans="7:27" ht="15" customHeight="1" x14ac:dyDescent="0.25">
      <c r="G92" s="191" t="s">
        <v>217</v>
      </c>
      <c r="H92" s="191" t="s">
        <v>217</v>
      </c>
      <c r="I92" s="194"/>
      <c r="J92" s="194"/>
      <c r="K92" s="194"/>
      <c r="M92" s="212" t="s">
        <v>349</v>
      </c>
      <c r="N92" s="213" t="s">
        <v>350</v>
      </c>
      <c r="O92" s="214">
        <v>0</v>
      </c>
      <c r="P92" s="214">
        <v>0</v>
      </c>
      <c r="Q92" s="214">
        <v>-283304.04480109998</v>
      </c>
      <c r="R92" s="214">
        <v>-294904.54244280001</v>
      </c>
      <c r="S92" s="214">
        <v>-325104.7982586</v>
      </c>
      <c r="T92" s="214">
        <v>-372810.73998050002</v>
      </c>
      <c r="U92" s="214">
        <v>-390588.20020919997</v>
      </c>
      <c r="V92" s="214">
        <v>-389032.92001090001</v>
      </c>
      <c r="W92" s="214">
        <v>-394539.27543500002</v>
      </c>
      <c r="X92" s="214">
        <v>-359696.10251950001</v>
      </c>
      <c r="Y92" s="214">
        <v>-310161.25760790001</v>
      </c>
      <c r="Z92" s="214">
        <v>-294732.6269419</v>
      </c>
      <c r="AA92" s="215">
        <v>-3414874.5082074003</v>
      </c>
    </row>
    <row r="93" spans="7:27" ht="15" customHeight="1" x14ac:dyDescent="0.25">
      <c r="G93" s="191" t="s">
        <v>217</v>
      </c>
      <c r="H93" s="191" t="s">
        <v>217</v>
      </c>
      <c r="I93" s="194"/>
      <c r="J93" s="194"/>
      <c r="K93" s="194"/>
      <c r="M93" s="212" t="s">
        <v>351</v>
      </c>
      <c r="N93" s="213" t="s">
        <v>352</v>
      </c>
      <c r="O93" s="214">
        <v>-1274135.6665095999</v>
      </c>
      <c r="P93" s="214">
        <v>-949029.09026319999</v>
      </c>
      <c r="Q93" s="214">
        <v>-613718.01286000002</v>
      </c>
      <c r="R93" s="214">
        <v>-747454.18720239995</v>
      </c>
      <c r="S93" s="214">
        <v>-1433849.0267159999</v>
      </c>
      <c r="T93" s="214">
        <v>-2351269.0554471998</v>
      </c>
      <c r="U93" s="214">
        <v>-2011160.5177184001</v>
      </c>
      <c r="V93" s="214">
        <v>-2363278.3144271998</v>
      </c>
      <c r="W93" s="214">
        <v>-2465577.5139424</v>
      </c>
      <c r="X93" s="214">
        <v>-2036713.2057680001</v>
      </c>
      <c r="Y93" s="214">
        <v>-1227847.7448231999</v>
      </c>
      <c r="Z93" s="214">
        <v>-963384.69467280002</v>
      </c>
      <c r="AA93" s="215">
        <v>-18437417.030350402</v>
      </c>
    </row>
    <row r="94" spans="7:27" ht="15" customHeight="1" x14ac:dyDescent="0.25">
      <c r="G94" s="191" t="s">
        <v>217</v>
      </c>
      <c r="H94" s="191" t="s">
        <v>217</v>
      </c>
      <c r="I94" s="194"/>
      <c r="J94" s="194"/>
      <c r="K94" s="194"/>
      <c r="M94" s="212" t="s">
        <v>353</v>
      </c>
      <c r="N94" s="213" t="s">
        <v>354</v>
      </c>
      <c r="O94" s="214">
        <v>0</v>
      </c>
      <c r="P94" s="214">
        <v>0</v>
      </c>
      <c r="Q94" s="214">
        <v>0</v>
      </c>
      <c r="R94" s="214">
        <v>0</v>
      </c>
      <c r="S94" s="214">
        <v>-73969</v>
      </c>
      <c r="T94" s="214">
        <v>-306762</v>
      </c>
      <c r="U94" s="214">
        <v>-407071</v>
      </c>
      <c r="V94" s="214">
        <v>-415850</v>
      </c>
      <c r="W94" s="214">
        <v>-449582</v>
      </c>
      <c r="X94" s="214">
        <v>-272637</v>
      </c>
      <c r="Y94" s="214">
        <v>-47175</v>
      </c>
      <c r="Z94" s="214">
        <v>0</v>
      </c>
      <c r="AA94" s="215">
        <v>-1973046</v>
      </c>
    </row>
    <row r="95" spans="7:27" ht="15" customHeight="1" x14ac:dyDescent="0.25">
      <c r="G95" s="191" t="s">
        <v>217</v>
      </c>
      <c r="H95" s="191" t="s">
        <v>217</v>
      </c>
      <c r="I95" s="194"/>
      <c r="J95" s="194"/>
      <c r="K95" s="194"/>
      <c r="M95" s="212" t="s">
        <v>355</v>
      </c>
      <c r="N95" s="213" t="s">
        <v>356</v>
      </c>
      <c r="O95" s="214">
        <v>0</v>
      </c>
      <c r="P95" s="214">
        <v>0</v>
      </c>
      <c r="Q95" s="214">
        <v>0</v>
      </c>
      <c r="R95" s="214">
        <v>0</v>
      </c>
      <c r="S95" s="214">
        <v>0</v>
      </c>
      <c r="T95" s="214">
        <v>-535982</v>
      </c>
      <c r="U95" s="214">
        <v>-1045534</v>
      </c>
      <c r="V95" s="214">
        <v>-901996</v>
      </c>
      <c r="W95" s="214">
        <v>-1052189</v>
      </c>
      <c r="X95" s="214">
        <v>0</v>
      </c>
      <c r="Y95" s="214">
        <v>0</v>
      </c>
      <c r="Z95" s="214">
        <v>0</v>
      </c>
      <c r="AA95" s="215">
        <v>-3535701</v>
      </c>
    </row>
    <row r="96" spans="7:27" ht="15" customHeight="1" x14ac:dyDescent="0.25">
      <c r="G96" s="191" t="s">
        <v>217</v>
      </c>
      <c r="H96" s="191" t="s">
        <v>217</v>
      </c>
      <c r="I96" s="194"/>
      <c r="J96" s="194"/>
      <c r="K96" s="194"/>
      <c r="M96" s="212" t="s">
        <v>357</v>
      </c>
      <c r="N96" s="213" t="s">
        <v>358</v>
      </c>
      <c r="O96" s="214">
        <v>-61770</v>
      </c>
      <c r="P96" s="214">
        <v>-58046</v>
      </c>
      <c r="Q96" s="214">
        <v>-55576</v>
      </c>
      <c r="R96" s="214">
        <v>-58228</v>
      </c>
      <c r="S96" s="214">
        <v>-65235</v>
      </c>
      <c r="T96" s="214">
        <v>-76290</v>
      </c>
      <c r="U96" s="214">
        <v>-80390</v>
      </c>
      <c r="V96" s="214">
        <v>-80034</v>
      </c>
      <c r="W96" s="214">
        <v>-81478</v>
      </c>
      <c r="X96" s="214">
        <v>-73164</v>
      </c>
      <c r="Y96" s="214">
        <v>-61807</v>
      </c>
      <c r="Z96" s="214">
        <v>-58314</v>
      </c>
      <c r="AA96" s="215">
        <v>-810332</v>
      </c>
    </row>
    <row r="97" spans="7:27" ht="15" customHeight="1" x14ac:dyDescent="0.25">
      <c r="G97" s="191" t="s">
        <v>217</v>
      </c>
      <c r="H97" s="191" t="s">
        <v>217</v>
      </c>
      <c r="I97" s="194"/>
      <c r="J97" s="194"/>
      <c r="K97" s="194"/>
      <c r="M97" s="212" t="s">
        <v>359</v>
      </c>
      <c r="N97" s="213" t="s">
        <v>360</v>
      </c>
      <c r="O97" s="214">
        <v>82398</v>
      </c>
      <c r="P97" s="214">
        <v>82398</v>
      </c>
      <c r="Q97" s="214">
        <v>82398</v>
      </c>
      <c r="R97" s="214">
        <v>82398</v>
      </c>
      <c r="S97" s="214">
        <v>82398</v>
      </c>
      <c r="T97" s="214">
        <v>82398</v>
      </c>
      <c r="U97" s="214">
        <v>82398</v>
      </c>
      <c r="V97" s="214">
        <v>82398</v>
      </c>
      <c r="W97" s="214">
        <v>82398</v>
      </c>
      <c r="X97" s="214">
        <v>82398</v>
      </c>
      <c r="Y97" s="214">
        <v>82398</v>
      </c>
      <c r="Z97" s="214">
        <v>82398</v>
      </c>
      <c r="AA97" s="215">
        <v>988776</v>
      </c>
    </row>
    <row r="98" spans="7:27" ht="15" customHeight="1" x14ac:dyDescent="0.25">
      <c r="G98" s="191" t="s">
        <v>217</v>
      </c>
      <c r="H98" s="191" t="s">
        <v>217</v>
      </c>
      <c r="I98" s="194"/>
      <c r="J98" s="194"/>
      <c r="K98" s="194"/>
      <c r="M98" s="212" t="s">
        <v>361</v>
      </c>
      <c r="N98" s="213" t="s">
        <v>362</v>
      </c>
      <c r="O98" s="214">
        <v>365614</v>
      </c>
      <c r="P98" s="214">
        <v>365614</v>
      </c>
      <c r="Q98" s="214">
        <v>365614</v>
      </c>
      <c r="R98" s="214">
        <v>365614</v>
      </c>
      <c r="S98" s="214">
        <v>365614</v>
      </c>
      <c r="T98" s="214">
        <v>365614</v>
      </c>
      <c r="U98" s="214">
        <v>365614</v>
      </c>
      <c r="V98" s="214">
        <v>365614</v>
      </c>
      <c r="W98" s="214">
        <v>365614</v>
      </c>
      <c r="X98" s="214">
        <v>365614</v>
      </c>
      <c r="Y98" s="214">
        <v>365614</v>
      </c>
      <c r="Z98" s="214">
        <v>365618</v>
      </c>
      <c r="AA98" s="215">
        <v>4387372</v>
      </c>
    </row>
    <row r="99" spans="7:27" ht="15" customHeight="1" x14ac:dyDescent="0.25">
      <c r="G99" s="191" t="s">
        <v>217</v>
      </c>
      <c r="H99" s="191" t="s">
        <v>217</v>
      </c>
      <c r="I99" s="194"/>
      <c r="J99" s="194"/>
      <c r="K99" s="194"/>
      <c r="M99" s="210" t="s">
        <v>363</v>
      </c>
      <c r="N99" s="211" t="s">
        <v>364</v>
      </c>
      <c r="O99" s="211">
        <v>1368361.8046492999</v>
      </c>
      <c r="P99" s="211">
        <v>-897135.18970690004</v>
      </c>
      <c r="Q99" s="211">
        <v>8448200.0481470991</v>
      </c>
      <c r="R99" s="211">
        <v>8208206.6328804996</v>
      </c>
      <c r="S99" s="211">
        <v>14067074.273385201</v>
      </c>
      <c r="T99" s="211">
        <v>7310387.4290634003</v>
      </c>
      <c r="U99" s="211">
        <v>6202808.9641132997</v>
      </c>
      <c r="V99" s="211">
        <v>8809209.9170395005</v>
      </c>
      <c r="W99" s="211">
        <v>-4971496.4533930998</v>
      </c>
      <c r="X99" s="211">
        <v>-821798.35444240004</v>
      </c>
      <c r="Y99" s="211">
        <v>-5083334.4507684</v>
      </c>
      <c r="Z99" s="211">
        <v>4691048.5470561003</v>
      </c>
      <c r="AA99" s="211">
        <v>47331533.168023594</v>
      </c>
    </row>
    <row r="100" spans="7:27" ht="15" customHeight="1" x14ac:dyDescent="0.25">
      <c r="G100" s="191" t="s">
        <v>217</v>
      </c>
      <c r="H100" s="191" t="s">
        <v>217</v>
      </c>
      <c r="I100" s="194"/>
      <c r="J100" s="194"/>
      <c r="K100" s="194"/>
      <c r="M100" s="210" t="s">
        <v>365</v>
      </c>
      <c r="N100" s="211" t="s">
        <v>366</v>
      </c>
      <c r="O100" s="211">
        <v>-2322339</v>
      </c>
      <c r="P100" s="211">
        <v>-5081373</v>
      </c>
      <c r="Q100" s="211">
        <v>4701866</v>
      </c>
      <c r="R100" s="211">
        <v>4424982</v>
      </c>
      <c r="S100" s="211">
        <v>10390499</v>
      </c>
      <c r="T100" s="211">
        <v>3589870</v>
      </c>
      <c r="U100" s="211">
        <v>2466789</v>
      </c>
      <c r="V100" s="211">
        <v>4638992</v>
      </c>
      <c r="W100" s="211">
        <v>-9080027</v>
      </c>
      <c r="X100" s="211">
        <v>-4990371</v>
      </c>
      <c r="Y100" s="211">
        <v>-9193934</v>
      </c>
      <c r="Z100" s="211">
        <v>455046</v>
      </c>
      <c r="AA100" s="211">
        <v>0</v>
      </c>
    </row>
    <row r="101" spans="7:27" ht="15" customHeight="1" x14ac:dyDescent="0.25">
      <c r="G101" s="191" t="s">
        <v>217</v>
      </c>
      <c r="H101" s="191" t="s">
        <v>217</v>
      </c>
      <c r="I101" s="194"/>
      <c r="J101" s="194"/>
      <c r="K101" s="194"/>
      <c r="M101" s="212" t="s">
        <v>367</v>
      </c>
      <c r="N101" s="213" t="s">
        <v>368</v>
      </c>
      <c r="O101" s="214">
        <v>-2322339</v>
      </c>
      <c r="P101" s="214">
        <v>-5081373</v>
      </c>
      <c r="Q101" s="214">
        <v>4701866</v>
      </c>
      <c r="R101" s="214">
        <v>4424982</v>
      </c>
      <c r="S101" s="214">
        <v>10390499</v>
      </c>
      <c r="T101" s="214">
        <v>3589870</v>
      </c>
      <c r="U101" s="214">
        <v>2466789</v>
      </c>
      <c r="V101" s="214">
        <v>4638992</v>
      </c>
      <c r="W101" s="214">
        <v>-9080027</v>
      </c>
      <c r="X101" s="214">
        <v>-4990371</v>
      </c>
      <c r="Y101" s="214">
        <v>-9193934</v>
      </c>
      <c r="Z101" s="214">
        <v>455046</v>
      </c>
      <c r="AA101" s="215">
        <v>0</v>
      </c>
    </row>
    <row r="102" spans="7:27" ht="15" customHeight="1" x14ac:dyDescent="0.25">
      <c r="G102" s="191" t="s">
        <v>217</v>
      </c>
      <c r="H102" s="191" t="s">
        <v>217</v>
      </c>
      <c r="I102" s="194"/>
      <c r="J102" s="194"/>
      <c r="K102" s="194"/>
      <c r="M102" s="210" t="s">
        <v>369</v>
      </c>
      <c r="N102" s="211" t="s">
        <v>370</v>
      </c>
      <c r="O102" s="211">
        <v>205660.9999996</v>
      </c>
      <c r="P102" s="211">
        <v>218851.8</v>
      </c>
      <c r="Q102" s="211">
        <v>186972.4</v>
      </c>
      <c r="R102" s="211">
        <v>134303</v>
      </c>
      <c r="S102" s="211">
        <v>159122.5999996</v>
      </c>
      <c r="T102" s="211">
        <v>128896</v>
      </c>
      <c r="U102" s="211">
        <v>142855.20000000001</v>
      </c>
      <c r="V102" s="211">
        <v>147508.6</v>
      </c>
      <c r="W102" s="211">
        <v>187863.2</v>
      </c>
      <c r="X102" s="211">
        <v>154279.20000000001</v>
      </c>
      <c r="Y102" s="211">
        <v>194695</v>
      </c>
      <c r="Z102" s="211">
        <v>164767</v>
      </c>
      <c r="AA102" s="211">
        <v>2025774.9999992</v>
      </c>
    </row>
    <row r="103" spans="7:27" ht="15" customHeight="1" x14ac:dyDescent="0.25">
      <c r="G103" s="191" t="s">
        <v>217</v>
      </c>
      <c r="H103" s="191" t="s">
        <v>217</v>
      </c>
      <c r="I103" s="194"/>
      <c r="J103" s="194"/>
      <c r="K103" s="194"/>
      <c r="M103" s="212" t="s">
        <v>371</v>
      </c>
      <c r="N103" s="213" t="s">
        <v>372</v>
      </c>
      <c r="O103" s="214">
        <v>200978.9999996</v>
      </c>
      <c r="P103" s="214">
        <v>213795.8</v>
      </c>
      <c r="Q103" s="214">
        <v>182819.4</v>
      </c>
      <c r="R103" s="214">
        <v>131641</v>
      </c>
      <c r="S103" s="214">
        <v>155757.5999996</v>
      </c>
      <c r="T103" s="214">
        <v>126387</v>
      </c>
      <c r="U103" s="214">
        <v>139951.20000000001</v>
      </c>
      <c r="V103" s="214">
        <v>144472.6</v>
      </c>
      <c r="W103" s="214">
        <v>183685.2</v>
      </c>
      <c r="X103" s="214">
        <v>151051.20000000001</v>
      </c>
      <c r="Y103" s="214">
        <v>190323</v>
      </c>
      <c r="Z103" s="214">
        <v>161242</v>
      </c>
      <c r="AA103" s="215">
        <v>1982104.9999992</v>
      </c>
    </row>
    <row r="104" spans="7:27" ht="15" customHeight="1" x14ac:dyDescent="0.25">
      <c r="G104" s="191" t="s">
        <v>217</v>
      </c>
      <c r="H104" s="191" t="s">
        <v>217</v>
      </c>
      <c r="I104" s="194"/>
      <c r="J104" s="194"/>
      <c r="K104" s="194"/>
      <c r="M104" s="212" t="s">
        <v>373</v>
      </c>
      <c r="N104" s="213" t="s">
        <v>374</v>
      </c>
      <c r="O104" s="214">
        <v>4682</v>
      </c>
      <c r="P104" s="214">
        <v>5056</v>
      </c>
      <c r="Q104" s="214">
        <v>4153</v>
      </c>
      <c r="R104" s="214">
        <v>2662</v>
      </c>
      <c r="S104" s="214">
        <v>3365</v>
      </c>
      <c r="T104" s="214">
        <v>2509</v>
      </c>
      <c r="U104" s="214">
        <v>2904</v>
      </c>
      <c r="V104" s="214">
        <v>3036</v>
      </c>
      <c r="W104" s="214">
        <v>4178</v>
      </c>
      <c r="X104" s="214">
        <v>3228</v>
      </c>
      <c r="Y104" s="214">
        <v>4372</v>
      </c>
      <c r="Z104" s="214">
        <v>3525</v>
      </c>
      <c r="AA104" s="215">
        <v>43670</v>
      </c>
    </row>
    <row r="105" spans="7:27" ht="15" customHeight="1" x14ac:dyDescent="0.25">
      <c r="G105" s="191" t="s">
        <v>217</v>
      </c>
      <c r="H105" s="191" t="s">
        <v>217</v>
      </c>
      <c r="I105" s="194"/>
      <c r="J105" s="194"/>
      <c r="K105" s="194"/>
      <c r="M105" s="210" t="s">
        <v>375</v>
      </c>
      <c r="N105" s="211" t="s">
        <v>376</v>
      </c>
      <c r="O105" s="211">
        <v>1531444.6064166999</v>
      </c>
      <c r="P105" s="211">
        <v>1533074.4084167001</v>
      </c>
      <c r="Q105" s="211">
        <v>1620208.9429166999</v>
      </c>
      <c r="R105" s="211">
        <v>1531660.9451667001</v>
      </c>
      <c r="S105" s="211">
        <v>1594597.0164167001</v>
      </c>
      <c r="T105" s="211">
        <v>1615598.2256666999</v>
      </c>
      <c r="U105" s="211">
        <v>1525282.8106666999</v>
      </c>
      <c r="V105" s="211">
        <v>1532125.5166666999</v>
      </c>
      <c r="W105" s="211">
        <v>1541718.6916666999</v>
      </c>
      <c r="X105" s="211">
        <v>1542086.8416667001</v>
      </c>
      <c r="Y105" s="211">
        <v>1542460.0166666999</v>
      </c>
      <c r="Z105" s="211">
        <v>1542834.2416667</v>
      </c>
      <c r="AA105" s="211">
        <v>18653092.264000401</v>
      </c>
    </row>
    <row r="106" spans="7:27" ht="15" customHeight="1" x14ac:dyDescent="0.25">
      <c r="G106" s="191" t="s">
        <v>217</v>
      </c>
      <c r="H106" s="191" t="s">
        <v>217</v>
      </c>
      <c r="I106" s="194"/>
      <c r="J106" s="194"/>
      <c r="K106" s="194"/>
      <c r="M106" s="212" t="s">
        <v>377</v>
      </c>
      <c r="N106" s="213" t="s">
        <v>378</v>
      </c>
      <c r="O106" s="214">
        <v>8508.5147500000003</v>
      </c>
      <c r="P106" s="214">
        <v>7316.31675</v>
      </c>
      <c r="Q106" s="214">
        <v>8847.8512499999997</v>
      </c>
      <c r="R106" s="214">
        <v>8622.8534999999993</v>
      </c>
      <c r="S106" s="214">
        <v>8795.9247500000001</v>
      </c>
      <c r="T106" s="214">
        <v>8002.134</v>
      </c>
      <c r="U106" s="214">
        <v>8788.7189999999991</v>
      </c>
      <c r="V106" s="214">
        <v>8791.4249999999993</v>
      </c>
      <c r="W106" s="214">
        <v>8880.6</v>
      </c>
      <c r="X106" s="214">
        <v>8968.75</v>
      </c>
      <c r="Y106" s="214">
        <v>9057.9249999999993</v>
      </c>
      <c r="Z106" s="214">
        <v>9149.15</v>
      </c>
      <c r="AA106" s="215">
        <v>103730.16399999999</v>
      </c>
    </row>
    <row r="107" spans="7:27" ht="15" customHeight="1" x14ac:dyDescent="0.25">
      <c r="G107" s="191" t="s">
        <v>217</v>
      </c>
      <c r="H107" s="191" t="s">
        <v>217</v>
      </c>
      <c r="I107" s="194"/>
      <c r="J107" s="194"/>
      <c r="K107" s="194"/>
      <c r="M107" s="212" t="s">
        <v>379</v>
      </c>
      <c r="N107" s="213" t="s">
        <v>380</v>
      </c>
      <c r="O107" s="214">
        <v>35670</v>
      </c>
      <c r="P107" s="214">
        <v>34102</v>
      </c>
      <c r="Q107" s="214">
        <v>40108</v>
      </c>
      <c r="R107" s="214">
        <v>35035</v>
      </c>
      <c r="S107" s="214">
        <v>44490</v>
      </c>
      <c r="T107" s="214">
        <v>53320</v>
      </c>
      <c r="U107" s="214">
        <v>48749</v>
      </c>
      <c r="V107" s="214">
        <v>46740</v>
      </c>
      <c r="W107" s="214">
        <v>56244</v>
      </c>
      <c r="X107" s="214">
        <v>56524</v>
      </c>
      <c r="Y107" s="214">
        <v>56808</v>
      </c>
      <c r="Z107" s="214">
        <v>57091</v>
      </c>
      <c r="AA107" s="215">
        <v>564881</v>
      </c>
    </row>
    <row r="108" spans="7:27" ht="15" customHeight="1" x14ac:dyDescent="0.25">
      <c r="G108" s="191" t="s">
        <v>217</v>
      </c>
      <c r="H108" s="191" t="s">
        <v>217</v>
      </c>
      <c r="I108" s="194"/>
      <c r="J108" s="194"/>
      <c r="K108" s="194"/>
      <c r="M108" s="212" t="s">
        <v>381</v>
      </c>
      <c r="N108" s="213" t="s">
        <v>382</v>
      </c>
      <c r="O108" s="214">
        <v>4203.3541667</v>
      </c>
      <c r="P108" s="214">
        <v>4203.3541667</v>
      </c>
      <c r="Q108" s="214">
        <v>4203.3541667</v>
      </c>
      <c r="R108" s="214">
        <v>4203.3541667</v>
      </c>
      <c r="S108" s="214">
        <v>4203.3541667</v>
      </c>
      <c r="T108" s="214">
        <v>4203.3541667</v>
      </c>
      <c r="U108" s="214">
        <v>4203.3541667</v>
      </c>
      <c r="V108" s="214">
        <v>4203.3541667</v>
      </c>
      <c r="W108" s="214">
        <v>4203.3541667</v>
      </c>
      <c r="X108" s="214">
        <v>4203.3541667</v>
      </c>
      <c r="Y108" s="214">
        <v>4203.3541667</v>
      </c>
      <c r="Z108" s="214">
        <v>4203.3541667</v>
      </c>
      <c r="AA108" s="215">
        <v>50440.25000040001</v>
      </c>
    </row>
    <row r="109" spans="7:27" ht="15" customHeight="1" x14ac:dyDescent="0.25">
      <c r="G109" s="191" t="s">
        <v>217</v>
      </c>
      <c r="H109" s="191" t="s">
        <v>217</v>
      </c>
      <c r="I109" s="194"/>
      <c r="J109" s="194"/>
      <c r="K109" s="194"/>
      <c r="M109" s="212" t="s">
        <v>383</v>
      </c>
      <c r="N109" s="213" t="s">
        <v>384</v>
      </c>
      <c r="O109" s="214">
        <v>0</v>
      </c>
      <c r="P109" s="214">
        <v>190</v>
      </c>
      <c r="Q109" s="214">
        <v>948</v>
      </c>
      <c r="R109" s="214">
        <v>379</v>
      </c>
      <c r="S109" s="214">
        <v>379</v>
      </c>
      <c r="T109" s="214">
        <v>379</v>
      </c>
      <c r="U109" s="214">
        <v>948</v>
      </c>
      <c r="V109" s="214">
        <v>569</v>
      </c>
      <c r="W109" s="214">
        <v>569</v>
      </c>
      <c r="X109" s="214">
        <v>569</v>
      </c>
      <c r="Y109" s="214">
        <v>569</v>
      </c>
      <c r="Z109" s="214">
        <v>569</v>
      </c>
      <c r="AA109" s="215">
        <v>6068</v>
      </c>
    </row>
    <row r="110" spans="7:27" ht="15" customHeight="1" x14ac:dyDescent="0.25">
      <c r="G110" s="191" t="s">
        <v>217</v>
      </c>
      <c r="H110" s="191" t="s">
        <v>217</v>
      </c>
      <c r="I110" s="194"/>
      <c r="J110" s="194"/>
      <c r="K110" s="194"/>
      <c r="M110" s="212" t="s">
        <v>385</v>
      </c>
      <c r="N110" s="213" t="s">
        <v>386</v>
      </c>
      <c r="O110" s="214">
        <v>99646</v>
      </c>
      <c r="P110" s="214">
        <v>102857</v>
      </c>
      <c r="Q110" s="214">
        <v>125349</v>
      </c>
      <c r="R110" s="214">
        <v>101268</v>
      </c>
      <c r="S110" s="214">
        <v>121454</v>
      </c>
      <c r="T110" s="214">
        <v>130046</v>
      </c>
      <c r="U110" s="214">
        <v>117777</v>
      </c>
      <c r="V110" s="214">
        <v>127176</v>
      </c>
      <c r="W110" s="214">
        <v>127176</v>
      </c>
      <c r="X110" s="214">
        <v>127176</v>
      </c>
      <c r="Y110" s="214">
        <v>127176</v>
      </c>
      <c r="Z110" s="214">
        <v>127176</v>
      </c>
      <c r="AA110" s="215">
        <v>1434277</v>
      </c>
    </row>
    <row r="111" spans="7:27" ht="15" customHeight="1" x14ac:dyDescent="0.25">
      <c r="G111" s="191" t="s">
        <v>217</v>
      </c>
      <c r="H111" s="191" t="s">
        <v>217</v>
      </c>
      <c r="I111" s="194"/>
      <c r="J111" s="194"/>
      <c r="K111" s="194"/>
      <c r="M111" s="212" t="s">
        <v>387</v>
      </c>
      <c r="N111" s="213" t="s">
        <v>388</v>
      </c>
      <c r="O111" s="214">
        <v>154513</v>
      </c>
      <c r="P111" s="214">
        <v>157834</v>
      </c>
      <c r="Q111" s="214">
        <v>205336</v>
      </c>
      <c r="R111" s="214">
        <v>161450</v>
      </c>
      <c r="S111" s="214">
        <v>188042</v>
      </c>
      <c r="T111" s="214">
        <v>191831</v>
      </c>
      <c r="U111" s="214">
        <v>129064</v>
      </c>
      <c r="V111" s="214">
        <v>128125</v>
      </c>
      <c r="W111" s="214">
        <v>128125</v>
      </c>
      <c r="X111" s="214">
        <v>128125</v>
      </c>
      <c r="Y111" s="214">
        <v>128125</v>
      </c>
      <c r="Z111" s="214">
        <v>128125</v>
      </c>
      <c r="AA111" s="215">
        <v>1828695</v>
      </c>
    </row>
    <row r="112" spans="7:27" ht="15" customHeight="1" x14ac:dyDescent="0.25">
      <c r="G112" s="191" t="s">
        <v>217</v>
      </c>
      <c r="H112" s="191" t="s">
        <v>217</v>
      </c>
      <c r="I112" s="194"/>
      <c r="J112" s="194"/>
      <c r="K112" s="194"/>
      <c r="M112" s="212" t="s">
        <v>389</v>
      </c>
      <c r="N112" s="213" t="s">
        <v>390</v>
      </c>
      <c r="O112" s="214">
        <v>910244.83</v>
      </c>
      <c r="P112" s="214">
        <v>910244.83</v>
      </c>
      <c r="Q112" s="214">
        <v>910244.83</v>
      </c>
      <c r="R112" s="214">
        <v>910244.83</v>
      </c>
      <c r="S112" s="214">
        <v>910244.83</v>
      </c>
      <c r="T112" s="214">
        <v>910244.83</v>
      </c>
      <c r="U112" s="214">
        <v>910244.83</v>
      </c>
      <c r="V112" s="214">
        <v>910244.83</v>
      </c>
      <c r="W112" s="214">
        <v>910244.83</v>
      </c>
      <c r="X112" s="214">
        <v>910244.83</v>
      </c>
      <c r="Y112" s="214">
        <v>910244.83</v>
      </c>
      <c r="Z112" s="214">
        <v>910244.83</v>
      </c>
      <c r="AA112" s="215">
        <v>10922937.959999999</v>
      </c>
    </row>
    <row r="113" spans="7:27" ht="15" customHeight="1" x14ac:dyDescent="0.25">
      <c r="G113" s="191" t="s">
        <v>217</v>
      </c>
      <c r="H113" s="191" t="s">
        <v>217</v>
      </c>
      <c r="I113" s="194"/>
      <c r="J113" s="194"/>
      <c r="K113" s="194"/>
      <c r="M113" s="212" t="s">
        <v>391</v>
      </c>
      <c r="N113" s="213" t="s">
        <v>392</v>
      </c>
      <c r="O113" s="214">
        <v>153482.98749999999</v>
      </c>
      <c r="P113" s="214">
        <v>153482.98749999999</v>
      </c>
      <c r="Q113" s="214">
        <v>153482.98749999999</v>
      </c>
      <c r="R113" s="214">
        <v>153482.98749999999</v>
      </c>
      <c r="S113" s="214">
        <v>153482.98749999999</v>
      </c>
      <c r="T113" s="214">
        <v>153482.98749999999</v>
      </c>
      <c r="U113" s="214">
        <v>153482.98749999999</v>
      </c>
      <c r="V113" s="214">
        <v>153482.98749999999</v>
      </c>
      <c r="W113" s="214">
        <v>153482.98749999999</v>
      </c>
      <c r="X113" s="214">
        <v>153482.98749999999</v>
      </c>
      <c r="Y113" s="214">
        <v>153482.98749999999</v>
      </c>
      <c r="Z113" s="214">
        <v>153482.98749999999</v>
      </c>
      <c r="AA113" s="215">
        <v>1841795.8500000003</v>
      </c>
    </row>
    <row r="114" spans="7:27" ht="15" customHeight="1" x14ac:dyDescent="0.25">
      <c r="G114" s="191" t="s">
        <v>217</v>
      </c>
      <c r="H114" s="191" t="s">
        <v>217</v>
      </c>
      <c r="I114" s="194"/>
      <c r="J114" s="194"/>
      <c r="K114" s="194"/>
      <c r="M114" s="212" t="s">
        <v>393</v>
      </c>
      <c r="N114" s="213" t="s">
        <v>394</v>
      </c>
      <c r="O114" s="214">
        <v>33159</v>
      </c>
      <c r="P114" s="214">
        <v>32800</v>
      </c>
      <c r="Q114" s="214">
        <v>42312</v>
      </c>
      <c r="R114" s="214">
        <v>31160</v>
      </c>
      <c r="S114" s="214">
        <v>38048</v>
      </c>
      <c r="T114" s="214">
        <v>36736</v>
      </c>
      <c r="U114" s="214">
        <v>24928</v>
      </c>
      <c r="V114" s="214">
        <v>25625</v>
      </c>
      <c r="W114" s="214">
        <v>25625</v>
      </c>
      <c r="X114" s="214">
        <v>25625</v>
      </c>
      <c r="Y114" s="214">
        <v>25625</v>
      </c>
      <c r="Z114" s="214">
        <v>25625</v>
      </c>
      <c r="AA114" s="215">
        <v>367268</v>
      </c>
    </row>
    <row r="115" spans="7:27" ht="15" customHeight="1" x14ac:dyDescent="0.25">
      <c r="G115" s="191"/>
      <c r="H115" s="191"/>
      <c r="I115" s="194"/>
      <c r="J115" s="194"/>
      <c r="K115" s="194"/>
      <c r="M115" s="212" t="s">
        <v>395</v>
      </c>
      <c r="N115" s="213" t="s">
        <v>396</v>
      </c>
      <c r="O115" s="214">
        <v>919.92</v>
      </c>
      <c r="P115" s="214">
        <v>919.92</v>
      </c>
      <c r="Q115" s="214">
        <v>919.92</v>
      </c>
      <c r="R115" s="214">
        <v>919.92</v>
      </c>
      <c r="S115" s="214">
        <v>919.92</v>
      </c>
      <c r="T115" s="214">
        <v>919.92</v>
      </c>
      <c r="U115" s="214">
        <v>919.92</v>
      </c>
      <c r="V115" s="214">
        <v>919.92</v>
      </c>
      <c r="W115" s="214">
        <v>919.92</v>
      </c>
      <c r="X115" s="214">
        <v>919.92</v>
      </c>
      <c r="Y115" s="214">
        <v>919.92</v>
      </c>
      <c r="Z115" s="214">
        <v>919.92</v>
      </c>
      <c r="AA115" s="215">
        <v>11039.039999999999</v>
      </c>
    </row>
    <row r="116" spans="7:27" ht="15" customHeight="1" x14ac:dyDescent="0.25">
      <c r="G116" s="191"/>
      <c r="H116" s="191"/>
      <c r="I116" s="194"/>
      <c r="J116" s="194"/>
      <c r="K116" s="194"/>
      <c r="M116" s="212" t="s">
        <v>397</v>
      </c>
      <c r="N116" s="213" t="s">
        <v>398</v>
      </c>
      <c r="O116" s="214">
        <v>123358</v>
      </c>
      <c r="P116" s="214">
        <v>123358</v>
      </c>
      <c r="Q116" s="214">
        <v>123358</v>
      </c>
      <c r="R116" s="214">
        <v>123358</v>
      </c>
      <c r="S116" s="214">
        <v>123358</v>
      </c>
      <c r="T116" s="214">
        <v>123358</v>
      </c>
      <c r="U116" s="214">
        <v>123358</v>
      </c>
      <c r="V116" s="214">
        <v>123358</v>
      </c>
      <c r="W116" s="214">
        <v>123358</v>
      </c>
      <c r="X116" s="214">
        <v>123358</v>
      </c>
      <c r="Y116" s="214">
        <v>123358</v>
      </c>
      <c r="Z116" s="214">
        <v>123358</v>
      </c>
      <c r="AA116" s="215">
        <v>1480296</v>
      </c>
    </row>
    <row r="117" spans="7:27" ht="15" customHeight="1" x14ac:dyDescent="0.25">
      <c r="M117" s="212" t="s">
        <v>399</v>
      </c>
      <c r="N117" s="213" t="s">
        <v>400</v>
      </c>
      <c r="O117" s="214">
        <v>7739</v>
      </c>
      <c r="P117" s="214">
        <v>5766</v>
      </c>
      <c r="Q117" s="214">
        <v>5099</v>
      </c>
      <c r="R117" s="214">
        <v>1537</v>
      </c>
      <c r="S117" s="214">
        <v>1179</v>
      </c>
      <c r="T117" s="214">
        <v>3075</v>
      </c>
      <c r="U117" s="214">
        <v>2819</v>
      </c>
      <c r="V117" s="214">
        <v>2890</v>
      </c>
      <c r="W117" s="214">
        <v>2890</v>
      </c>
      <c r="X117" s="214">
        <v>2890</v>
      </c>
      <c r="Y117" s="214">
        <v>2890</v>
      </c>
      <c r="Z117" s="214">
        <v>2890</v>
      </c>
      <c r="AA117" s="215">
        <v>41664</v>
      </c>
    </row>
    <row r="118" spans="7:27" ht="15" customHeight="1" x14ac:dyDescent="0.25">
      <c r="M118" s="210" t="s">
        <v>401</v>
      </c>
      <c r="N118" s="211" t="s">
        <v>402</v>
      </c>
      <c r="O118" s="211">
        <v>700268.32958330004</v>
      </c>
      <c r="P118" s="211">
        <v>1108919.3398333001</v>
      </c>
      <c r="Q118" s="211">
        <v>693651.47433330002</v>
      </c>
      <c r="R118" s="211">
        <v>713487.47433330002</v>
      </c>
      <c r="S118" s="211">
        <v>675283.46408329997</v>
      </c>
      <c r="T118" s="211">
        <v>676493.47433330002</v>
      </c>
      <c r="U118" s="211">
        <v>681299.65733329998</v>
      </c>
      <c r="V118" s="211">
        <v>763410.23833329999</v>
      </c>
      <c r="W118" s="211">
        <v>694306.23833329999</v>
      </c>
      <c r="X118" s="211">
        <v>711996.23833329999</v>
      </c>
      <c r="Y118" s="211">
        <v>697977.23833329999</v>
      </c>
      <c r="Z118" s="211">
        <v>704144.23833329999</v>
      </c>
      <c r="AA118" s="211">
        <v>8821237.4054995999</v>
      </c>
    </row>
    <row r="119" spans="7:27" ht="15" customHeight="1" x14ac:dyDescent="0.25">
      <c r="M119" s="212" t="s">
        <v>403</v>
      </c>
      <c r="N119" s="213" t="s">
        <v>404</v>
      </c>
      <c r="O119" s="214">
        <v>27939</v>
      </c>
      <c r="P119" s="214">
        <v>440242</v>
      </c>
      <c r="Q119" s="214">
        <v>20417</v>
      </c>
      <c r="R119" s="214">
        <v>33945</v>
      </c>
      <c r="S119" s="214">
        <v>248</v>
      </c>
      <c r="T119" s="214">
        <v>3636</v>
      </c>
      <c r="U119" s="214">
        <v>8456</v>
      </c>
      <c r="V119" s="214">
        <v>85863</v>
      </c>
      <c r="W119" s="214">
        <v>19148</v>
      </c>
      <c r="X119" s="214">
        <v>32749</v>
      </c>
      <c r="Y119" s="214">
        <v>24511</v>
      </c>
      <c r="Z119" s="214">
        <v>31119</v>
      </c>
      <c r="AA119" s="215">
        <v>728273</v>
      </c>
    </row>
    <row r="120" spans="7:27" ht="15" customHeight="1" x14ac:dyDescent="0.25">
      <c r="G120" s="191" t="s">
        <v>217</v>
      </c>
      <c r="H120" s="191" t="s">
        <v>217</v>
      </c>
      <c r="I120" s="194"/>
      <c r="J120" s="194"/>
      <c r="K120" s="194"/>
      <c r="M120" s="212" t="s">
        <v>405</v>
      </c>
      <c r="N120" s="213" t="s">
        <v>406</v>
      </c>
      <c r="O120" s="214">
        <v>4021</v>
      </c>
      <c r="P120" s="214">
        <v>369</v>
      </c>
      <c r="Q120" s="214">
        <v>377</v>
      </c>
      <c r="R120" s="214">
        <v>6685</v>
      </c>
      <c r="S120" s="214">
        <v>2178</v>
      </c>
      <c r="T120" s="214">
        <v>0</v>
      </c>
      <c r="U120" s="214">
        <v>0</v>
      </c>
      <c r="V120" s="214">
        <v>4624</v>
      </c>
      <c r="W120" s="214">
        <v>2235</v>
      </c>
      <c r="X120" s="214">
        <v>6324</v>
      </c>
      <c r="Y120" s="214">
        <v>543</v>
      </c>
      <c r="Z120" s="214">
        <v>102</v>
      </c>
      <c r="AA120" s="215">
        <v>27458</v>
      </c>
    </row>
    <row r="121" spans="7:27" ht="15" customHeight="1" x14ac:dyDescent="0.25">
      <c r="G121" s="191" t="s">
        <v>217</v>
      </c>
      <c r="H121" s="191" t="s">
        <v>217</v>
      </c>
      <c r="I121" s="194"/>
      <c r="J121" s="194"/>
      <c r="K121" s="194"/>
      <c r="M121" s="212" t="s">
        <v>407</v>
      </c>
      <c r="N121" s="213" t="s">
        <v>408</v>
      </c>
      <c r="O121" s="214">
        <v>9913.83</v>
      </c>
      <c r="P121" s="214">
        <v>9913.83</v>
      </c>
      <c r="Q121" s="214">
        <v>9913.83</v>
      </c>
      <c r="R121" s="214">
        <v>9913.83</v>
      </c>
      <c r="S121" s="214">
        <v>9913.83</v>
      </c>
      <c r="T121" s="214">
        <v>9913.83</v>
      </c>
      <c r="U121" s="214">
        <v>9913.83</v>
      </c>
      <c r="V121" s="214">
        <v>9913.83</v>
      </c>
      <c r="W121" s="214">
        <v>9913.83</v>
      </c>
      <c r="X121" s="214">
        <v>9913.83</v>
      </c>
      <c r="Y121" s="214">
        <v>9913.83</v>
      </c>
      <c r="Z121" s="214">
        <v>9913.83</v>
      </c>
      <c r="AA121" s="215">
        <v>118965.96</v>
      </c>
    </row>
    <row r="122" spans="7:27" ht="15" customHeight="1" x14ac:dyDescent="0.25">
      <c r="G122" s="191" t="s">
        <v>217</v>
      </c>
      <c r="H122" s="191" t="s">
        <v>217</v>
      </c>
      <c r="I122" s="194"/>
      <c r="J122" s="194"/>
      <c r="K122" s="194"/>
      <c r="M122" s="212" t="s">
        <v>409</v>
      </c>
      <c r="N122" s="213" t="s">
        <v>410</v>
      </c>
      <c r="O122" s="214">
        <v>398377.16625000001</v>
      </c>
      <c r="P122" s="214">
        <v>398377.1765</v>
      </c>
      <c r="Q122" s="214">
        <v>402926.31099999999</v>
      </c>
      <c r="R122" s="214">
        <v>402926.31099999999</v>
      </c>
      <c r="S122" s="214">
        <v>402926.30074999999</v>
      </c>
      <c r="T122" s="214">
        <v>402926.31099999999</v>
      </c>
      <c r="U122" s="214">
        <v>402912.49400000001</v>
      </c>
      <c r="V122" s="214">
        <v>402992.07500000001</v>
      </c>
      <c r="W122" s="214">
        <v>402992.07500000001</v>
      </c>
      <c r="X122" s="214">
        <v>402992.07500000001</v>
      </c>
      <c r="Y122" s="214">
        <v>402992.07500000001</v>
      </c>
      <c r="Z122" s="214">
        <v>402992.07500000001</v>
      </c>
      <c r="AA122" s="215">
        <v>4826332.4455000004</v>
      </c>
    </row>
    <row r="123" spans="7:27" ht="15" customHeight="1" x14ac:dyDescent="0.25">
      <c r="G123" s="191" t="s">
        <v>217</v>
      </c>
      <c r="H123" s="191" t="s">
        <v>217</v>
      </c>
      <c r="I123" s="194"/>
      <c r="J123" s="194"/>
      <c r="K123" s="194"/>
      <c r="M123" s="212" t="s">
        <v>411</v>
      </c>
      <c r="N123" s="213" t="s">
        <v>412</v>
      </c>
      <c r="O123" s="214">
        <v>33184</v>
      </c>
      <c r="P123" s="214">
        <v>33184</v>
      </c>
      <c r="Q123" s="214">
        <v>33184</v>
      </c>
      <c r="R123" s="214">
        <v>33184</v>
      </c>
      <c r="S123" s="214">
        <v>33184</v>
      </c>
      <c r="T123" s="214">
        <v>33184</v>
      </c>
      <c r="U123" s="214">
        <v>33184</v>
      </c>
      <c r="V123" s="214">
        <v>33184</v>
      </c>
      <c r="W123" s="214">
        <v>33184</v>
      </c>
      <c r="X123" s="214">
        <v>33184</v>
      </c>
      <c r="Y123" s="214">
        <v>33184</v>
      </c>
      <c r="Z123" s="214">
        <v>33184</v>
      </c>
      <c r="AA123" s="215">
        <v>398208</v>
      </c>
    </row>
    <row r="124" spans="7:27" ht="15" customHeight="1" x14ac:dyDescent="0.25">
      <c r="G124" s="191" t="s">
        <v>217</v>
      </c>
      <c r="H124" s="191" t="s">
        <v>217</v>
      </c>
      <c r="I124" s="194"/>
      <c r="J124" s="194"/>
      <c r="K124" s="194"/>
      <c r="M124" s="212" t="s">
        <v>413</v>
      </c>
      <c r="N124" s="213" t="s">
        <v>414</v>
      </c>
      <c r="O124" s="214">
        <v>226833.33333329999</v>
      </c>
      <c r="P124" s="214">
        <v>226833.33333329999</v>
      </c>
      <c r="Q124" s="214">
        <v>226833.33333329999</v>
      </c>
      <c r="R124" s="214">
        <v>226833.33333329999</v>
      </c>
      <c r="S124" s="214">
        <v>226833.33333329999</v>
      </c>
      <c r="T124" s="214">
        <v>226833.33333329999</v>
      </c>
      <c r="U124" s="214">
        <v>226833.33333329999</v>
      </c>
      <c r="V124" s="214">
        <v>226833.33333329999</v>
      </c>
      <c r="W124" s="214">
        <v>226833.33333329999</v>
      </c>
      <c r="X124" s="214">
        <v>226833.33333329999</v>
      </c>
      <c r="Y124" s="214">
        <v>226833.33333329999</v>
      </c>
      <c r="Z124" s="214">
        <v>226833.33333329999</v>
      </c>
      <c r="AA124" s="215">
        <v>2721999.9999996</v>
      </c>
    </row>
    <row r="125" spans="7:27" ht="15" customHeight="1" x14ac:dyDescent="0.25">
      <c r="G125" s="191" t="s">
        <v>217</v>
      </c>
      <c r="H125" s="191" t="s">
        <v>217</v>
      </c>
      <c r="I125" s="194"/>
      <c r="J125" s="194"/>
      <c r="K125" s="194"/>
      <c r="M125" s="210" t="s">
        <v>415</v>
      </c>
      <c r="N125" s="211" t="s">
        <v>416</v>
      </c>
      <c r="O125" s="211">
        <v>949886.86864969996</v>
      </c>
      <c r="P125" s="211">
        <v>1039528.2620431</v>
      </c>
      <c r="Q125" s="211">
        <v>942061.23089709994</v>
      </c>
      <c r="R125" s="211">
        <v>1110121.2133805</v>
      </c>
      <c r="S125" s="211">
        <v>944132.19288560003</v>
      </c>
      <c r="T125" s="211">
        <v>1005877.7290634</v>
      </c>
      <c r="U125" s="211">
        <v>1083142.2961132999</v>
      </c>
      <c r="V125" s="211">
        <v>1423733.5620395001</v>
      </c>
      <c r="W125" s="211">
        <v>1390990.4166069</v>
      </c>
      <c r="X125" s="211">
        <v>1456770.3655576</v>
      </c>
      <c r="Y125" s="211">
        <v>1381815.2942315999</v>
      </c>
      <c r="Z125" s="211">
        <v>1520815.0670560999</v>
      </c>
      <c r="AA125" s="211">
        <v>14248874.498524398</v>
      </c>
    </row>
    <row r="126" spans="7:27" ht="15" customHeight="1" x14ac:dyDescent="0.25">
      <c r="G126" s="191" t="s">
        <v>217</v>
      </c>
      <c r="H126" s="191" t="s">
        <v>217</v>
      </c>
      <c r="I126" s="194"/>
      <c r="J126" s="194"/>
      <c r="K126" s="194"/>
      <c r="M126" s="212" t="s">
        <v>417</v>
      </c>
      <c r="N126" s="213" t="s">
        <v>418</v>
      </c>
      <c r="O126" s="214">
        <v>167000</v>
      </c>
      <c r="P126" s="214">
        <v>267000</v>
      </c>
      <c r="Q126" s="214">
        <v>167000</v>
      </c>
      <c r="R126" s="214">
        <v>266000</v>
      </c>
      <c r="S126" s="214">
        <v>167000</v>
      </c>
      <c r="T126" s="214">
        <v>267000</v>
      </c>
      <c r="U126" s="214">
        <v>166000</v>
      </c>
      <c r="V126" s="214">
        <v>267000</v>
      </c>
      <c r="W126" s="214">
        <v>166000</v>
      </c>
      <c r="X126" s="214">
        <v>267000</v>
      </c>
      <c r="Y126" s="214">
        <v>167000</v>
      </c>
      <c r="Z126" s="214">
        <v>266000</v>
      </c>
      <c r="AA126" s="215">
        <v>2600000</v>
      </c>
    </row>
    <row r="127" spans="7:27" ht="15" customHeight="1" x14ac:dyDescent="0.25">
      <c r="G127" s="191" t="s">
        <v>217</v>
      </c>
      <c r="H127" s="191" t="s">
        <v>217</v>
      </c>
      <c r="I127" s="194"/>
      <c r="J127" s="194"/>
      <c r="K127" s="194"/>
      <c r="M127" s="212" t="s">
        <v>419</v>
      </c>
      <c r="N127" s="213" t="s">
        <v>420</v>
      </c>
      <c r="O127" s="214">
        <v>8000</v>
      </c>
      <c r="P127" s="214">
        <v>8000</v>
      </c>
      <c r="Q127" s="214">
        <v>8000</v>
      </c>
      <c r="R127" s="214">
        <v>8000</v>
      </c>
      <c r="S127" s="214">
        <v>8000</v>
      </c>
      <c r="T127" s="214">
        <v>9000</v>
      </c>
      <c r="U127" s="214">
        <v>10000</v>
      </c>
      <c r="V127" s="214">
        <v>11000</v>
      </c>
      <c r="W127" s="214">
        <v>11000</v>
      </c>
      <c r="X127" s="214">
        <v>10000</v>
      </c>
      <c r="Y127" s="214">
        <v>8000</v>
      </c>
      <c r="Z127" s="214">
        <v>8000</v>
      </c>
      <c r="AA127" s="215">
        <v>107000</v>
      </c>
    </row>
    <row r="128" spans="7:27" ht="15" customHeight="1" x14ac:dyDescent="0.25">
      <c r="G128" s="191" t="s">
        <v>217</v>
      </c>
      <c r="H128" s="191" t="s">
        <v>217</v>
      </c>
      <c r="I128" s="194"/>
      <c r="J128" s="194"/>
      <c r="K128" s="194"/>
      <c r="M128" s="212" t="s">
        <v>421</v>
      </c>
      <c r="N128" s="213" t="s">
        <v>422</v>
      </c>
      <c r="O128" s="214">
        <v>10100</v>
      </c>
      <c r="P128" s="214">
        <v>10100</v>
      </c>
      <c r="Q128" s="214">
        <v>10100</v>
      </c>
      <c r="R128" s="214">
        <v>10100</v>
      </c>
      <c r="S128" s="214">
        <v>10100</v>
      </c>
      <c r="T128" s="214">
        <v>10100</v>
      </c>
      <c r="U128" s="214">
        <v>10100</v>
      </c>
      <c r="V128" s="214">
        <v>10100</v>
      </c>
      <c r="W128" s="214">
        <v>10100</v>
      </c>
      <c r="X128" s="214">
        <v>10100</v>
      </c>
      <c r="Y128" s="214">
        <v>10100</v>
      </c>
      <c r="Z128" s="214">
        <v>10100</v>
      </c>
      <c r="AA128" s="215">
        <v>121200</v>
      </c>
    </row>
    <row r="129" spans="7:27" ht="15" customHeight="1" x14ac:dyDescent="0.25">
      <c r="G129" s="191" t="s">
        <v>217</v>
      </c>
      <c r="H129" s="191" t="s">
        <v>217</v>
      </c>
      <c r="I129" s="194"/>
      <c r="J129" s="194"/>
      <c r="K129" s="194"/>
      <c r="M129" s="212" t="s">
        <v>423</v>
      </c>
      <c r="N129" s="213" t="s">
        <v>424</v>
      </c>
      <c r="O129" s="214">
        <v>1766.0738475000001</v>
      </c>
      <c r="P129" s="214">
        <v>1473.6392409</v>
      </c>
      <c r="Q129" s="214">
        <v>1467.5290949</v>
      </c>
      <c r="R129" s="214">
        <v>76542.925578299997</v>
      </c>
      <c r="S129" s="214">
        <v>1727.0580834</v>
      </c>
      <c r="T129" s="214">
        <v>1404.9950633999999</v>
      </c>
      <c r="U129" s="214">
        <v>11610.4881133</v>
      </c>
      <c r="V129" s="214">
        <v>6536.6670395000001</v>
      </c>
      <c r="W129" s="214">
        <v>76496.024606899999</v>
      </c>
      <c r="X129" s="214">
        <v>1703.2747554</v>
      </c>
      <c r="Y129" s="214">
        <v>1482.3164294000001</v>
      </c>
      <c r="Z129" s="214">
        <v>1559.5342539000001</v>
      </c>
      <c r="AA129" s="215">
        <v>183770.52610679998</v>
      </c>
    </row>
    <row r="130" spans="7:27" ht="15" customHeight="1" x14ac:dyDescent="0.25">
      <c r="G130" s="191" t="s">
        <v>217</v>
      </c>
      <c r="H130" s="191" t="s">
        <v>217</v>
      </c>
      <c r="I130" s="194"/>
      <c r="J130" s="194"/>
      <c r="K130" s="194"/>
      <c r="M130" s="212" t="s">
        <v>425</v>
      </c>
      <c r="N130" s="213" t="s">
        <v>426</v>
      </c>
      <c r="O130" s="214">
        <v>697996.55769229995</v>
      </c>
      <c r="P130" s="214">
        <v>697996.55769229995</v>
      </c>
      <c r="Q130" s="214">
        <v>697996.55769229995</v>
      </c>
      <c r="R130" s="214">
        <v>697996.55769229995</v>
      </c>
      <c r="S130" s="214">
        <v>697996.55769229995</v>
      </c>
      <c r="T130" s="214">
        <v>662429.25</v>
      </c>
      <c r="U130" s="214">
        <v>662429.25</v>
      </c>
      <c r="V130" s="214">
        <v>662429.25</v>
      </c>
      <c r="W130" s="214">
        <v>662429.25</v>
      </c>
      <c r="X130" s="214">
        <v>697996.55769229995</v>
      </c>
      <c r="Y130" s="214">
        <v>697996.55769229995</v>
      </c>
      <c r="Z130" s="214">
        <v>697996.55769229995</v>
      </c>
      <c r="AA130" s="215">
        <v>8233689.4615383986</v>
      </c>
    </row>
    <row r="131" spans="7:27" ht="15" customHeight="1" x14ac:dyDescent="0.25">
      <c r="G131" s="191" t="s">
        <v>217</v>
      </c>
      <c r="H131" s="191" t="s">
        <v>217</v>
      </c>
      <c r="I131" s="194"/>
      <c r="J131" s="194"/>
      <c r="K131" s="194"/>
      <c r="M131" s="212" t="s">
        <v>427</v>
      </c>
      <c r="N131" s="213" t="s">
        <v>428</v>
      </c>
      <c r="O131" s="214">
        <v>17648.3901099</v>
      </c>
      <c r="P131" s="214">
        <v>17648.3901099</v>
      </c>
      <c r="Q131" s="214">
        <v>17648.3901099</v>
      </c>
      <c r="R131" s="214">
        <v>17648.3901099</v>
      </c>
      <c r="S131" s="214">
        <v>17648.3901099</v>
      </c>
      <c r="T131" s="214">
        <v>17038.5</v>
      </c>
      <c r="U131" s="214">
        <v>17038.5</v>
      </c>
      <c r="V131" s="214">
        <v>17038.5</v>
      </c>
      <c r="W131" s="214">
        <v>17038.5</v>
      </c>
      <c r="X131" s="214">
        <v>17648.3901099</v>
      </c>
      <c r="Y131" s="214">
        <v>17648.3901099</v>
      </c>
      <c r="Z131" s="214">
        <v>17648.3901099</v>
      </c>
      <c r="AA131" s="215">
        <v>209341.12087920003</v>
      </c>
    </row>
    <row r="132" spans="7:27" ht="15" customHeight="1" x14ac:dyDescent="0.25">
      <c r="G132" s="191" t="s">
        <v>217</v>
      </c>
      <c r="H132" s="191" t="s">
        <v>217</v>
      </c>
      <c r="I132" s="194"/>
      <c r="J132" s="194"/>
      <c r="K132" s="194"/>
      <c r="M132" s="212" t="s">
        <v>429</v>
      </c>
      <c r="N132" s="213" t="s">
        <v>430</v>
      </c>
      <c r="O132" s="214">
        <v>38542.506999999998</v>
      </c>
      <c r="P132" s="214">
        <v>28976.334999999999</v>
      </c>
      <c r="Q132" s="214">
        <v>30265.414000000001</v>
      </c>
      <c r="R132" s="214">
        <v>25000</v>
      </c>
      <c r="S132" s="214">
        <v>33326.857000000004</v>
      </c>
      <c r="T132" s="214">
        <v>30571.653999999999</v>
      </c>
      <c r="U132" s="214">
        <v>26630.727999999999</v>
      </c>
      <c r="V132" s="214">
        <v>30545.814999999999</v>
      </c>
      <c r="W132" s="214">
        <v>28843.312000000002</v>
      </c>
      <c r="X132" s="214">
        <v>33238.813000000002</v>
      </c>
      <c r="Y132" s="214">
        <v>60504.7</v>
      </c>
      <c r="Z132" s="214">
        <v>120427.255</v>
      </c>
      <c r="AA132" s="215">
        <v>486873.39000000007</v>
      </c>
    </row>
    <row r="133" spans="7:27" ht="15" customHeight="1" x14ac:dyDescent="0.25">
      <c r="G133" s="191" t="s">
        <v>217</v>
      </c>
      <c r="H133" s="191" t="s">
        <v>217</v>
      </c>
      <c r="I133" s="194"/>
      <c r="J133" s="194"/>
      <c r="K133" s="194"/>
      <c r="M133" s="212" t="s">
        <v>431</v>
      </c>
      <c r="N133" s="213" t="s">
        <v>432</v>
      </c>
      <c r="O133" s="214">
        <v>500</v>
      </c>
      <c r="P133" s="214">
        <v>0</v>
      </c>
      <c r="Q133" s="214">
        <v>1250</v>
      </c>
      <c r="R133" s="214">
        <v>500</v>
      </c>
      <c r="S133" s="214">
        <v>0</v>
      </c>
      <c r="T133" s="214">
        <v>0</v>
      </c>
      <c r="U133" s="214">
        <v>1000</v>
      </c>
      <c r="V133" s="214">
        <v>750</v>
      </c>
      <c r="W133" s="214">
        <v>750</v>
      </c>
      <c r="X133" s="214">
        <v>750</v>
      </c>
      <c r="Y133" s="214">
        <v>750</v>
      </c>
      <c r="Z133" s="214">
        <v>750</v>
      </c>
      <c r="AA133" s="215">
        <v>7000</v>
      </c>
    </row>
    <row r="134" spans="7:27" ht="15" customHeight="1" x14ac:dyDescent="0.25">
      <c r="G134" s="191" t="s">
        <v>217</v>
      </c>
      <c r="H134" s="191" t="s">
        <v>217</v>
      </c>
      <c r="I134" s="194"/>
      <c r="J134" s="194"/>
      <c r="K134" s="194"/>
      <c r="M134" s="212" t="s">
        <v>433</v>
      </c>
      <c r="N134" s="213" t="s">
        <v>434</v>
      </c>
      <c r="O134" s="214">
        <v>0</v>
      </c>
      <c r="P134" s="214">
        <v>0</v>
      </c>
      <c r="Q134" s="214">
        <v>0</v>
      </c>
      <c r="R134" s="214">
        <v>0</v>
      </c>
      <c r="S134" s="214">
        <v>0</v>
      </c>
      <c r="T134" s="214">
        <v>0</v>
      </c>
      <c r="U134" s="214">
        <v>170000</v>
      </c>
      <c r="V134" s="214">
        <v>410000</v>
      </c>
      <c r="W134" s="214">
        <v>410000</v>
      </c>
      <c r="X134" s="214">
        <v>410000</v>
      </c>
      <c r="Y134" s="214">
        <v>410000</v>
      </c>
      <c r="Z134" s="214">
        <v>390000</v>
      </c>
      <c r="AA134" s="215">
        <v>2200000</v>
      </c>
    </row>
    <row r="135" spans="7:27" ht="15" customHeight="1" x14ac:dyDescent="0.25">
      <c r="G135" s="191" t="s">
        <v>217</v>
      </c>
      <c r="H135" s="191" t="s">
        <v>217</v>
      </c>
      <c r="I135" s="194"/>
      <c r="J135" s="194"/>
      <c r="K135" s="194"/>
      <c r="M135" s="212" t="s">
        <v>435</v>
      </c>
      <c r="N135" s="213" t="s">
        <v>436</v>
      </c>
      <c r="O135" s="214">
        <v>8333.34</v>
      </c>
      <c r="P135" s="214">
        <v>8333.34</v>
      </c>
      <c r="Q135" s="214">
        <v>8333.34</v>
      </c>
      <c r="R135" s="214">
        <v>8333.34</v>
      </c>
      <c r="S135" s="214">
        <v>8333.33</v>
      </c>
      <c r="T135" s="214">
        <v>8333.33</v>
      </c>
      <c r="U135" s="214">
        <v>8333.33</v>
      </c>
      <c r="V135" s="214">
        <v>8333.33</v>
      </c>
      <c r="W135" s="214">
        <v>8333.33</v>
      </c>
      <c r="X135" s="214">
        <v>8333.33</v>
      </c>
      <c r="Y135" s="214">
        <v>8333.33</v>
      </c>
      <c r="Z135" s="214">
        <v>8333.33</v>
      </c>
      <c r="AA135" s="215">
        <v>100000.00000000001</v>
      </c>
    </row>
    <row r="136" spans="7:27" ht="15" customHeight="1" x14ac:dyDescent="0.25">
      <c r="G136" s="191" t="s">
        <v>217</v>
      </c>
      <c r="H136" s="191" t="s">
        <v>217</v>
      </c>
      <c r="I136" s="194"/>
      <c r="J136" s="194"/>
      <c r="K136" s="194"/>
      <c r="M136" s="210" t="s">
        <v>437</v>
      </c>
      <c r="N136" s="211" t="s">
        <v>438</v>
      </c>
      <c r="O136" s="211">
        <v>303440</v>
      </c>
      <c r="P136" s="211">
        <v>283864</v>
      </c>
      <c r="Q136" s="211">
        <v>303440</v>
      </c>
      <c r="R136" s="211">
        <v>293652</v>
      </c>
      <c r="S136" s="211">
        <v>303440</v>
      </c>
      <c r="T136" s="211">
        <v>293652</v>
      </c>
      <c r="U136" s="211">
        <v>303440</v>
      </c>
      <c r="V136" s="211">
        <v>303440</v>
      </c>
      <c r="W136" s="211">
        <v>293652</v>
      </c>
      <c r="X136" s="211">
        <v>303440</v>
      </c>
      <c r="Y136" s="211">
        <v>293652</v>
      </c>
      <c r="Z136" s="211">
        <v>303442</v>
      </c>
      <c r="AA136" s="211">
        <v>3582554</v>
      </c>
    </row>
    <row r="137" spans="7:27" ht="15" customHeight="1" x14ac:dyDescent="0.25">
      <c r="G137" s="191" t="s">
        <v>217</v>
      </c>
      <c r="H137" s="191" t="s">
        <v>217</v>
      </c>
      <c r="I137" s="194"/>
      <c r="J137" s="194"/>
      <c r="K137" s="194"/>
      <c r="M137" s="212" t="s">
        <v>439</v>
      </c>
      <c r="N137" s="213" t="s">
        <v>440</v>
      </c>
      <c r="O137" s="214">
        <v>303440</v>
      </c>
      <c r="P137" s="214">
        <v>283864</v>
      </c>
      <c r="Q137" s="214">
        <v>303440</v>
      </c>
      <c r="R137" s="214">
        <v>293652</v>
      </c>
      <c r="S137" s="214">
        <v>303440</v>
      </c>
      <c r="T137" s="214">
        <v>293652</v>
      </c>
      <c r="U137" s="214">
        <v>303440</v>
      </c>
      <c r="V137" s="214">
        <v>303440</v>
      </c>
      <c r="W137" s="214">
        <v>293652</v>
      </c>
      <c r="X137" s="214">
        <v>303440</v>
      </c>
      <c r="Y137" s="214">
        <v>293652</v>
      </c>
      <c r="Z137" s="214">
        <v>303442</v>
      </c>
      <c r="AA137" s="215">
        <v>3582554</v>
      </c>
    </row>
    <row r="138" spans="7:27" ht="15" customHeight="1" x14ac:dyDescent="0.25">
      <c r="G138" s="191" t="s">
        <v>217</v>
      </c>
      <c r="H138" s="191" t="s">
        <v>217</v>
      </c>
      <c r="I138" s="194"/>
      <c r="J138" s="194"/>
      <c r="K138" s="194"/>
      <c r="M138" s="210" t="s">
        <v>148</v>
      </c>
      <c r="N138" s="211" t="s">
        <v>148</v>
      </c>
      <c r="O138" s="211">
        <v>198185237.20813969</v>
      </c>
      <c r="P138" s="211">
        <v>182660028.9300299</v>
      </c>
      <c r="Q138" s="211">
        <v>186381722.550486</v>
      </c>
      <c r="R138" s="211">
        <v>194881601.7032353</v>
      </c>
      <c r="S138" s="211">
        <v>219473767.73422429</v>
      </c>
      <c r="T138" s="211">
        <v>239198006.18543869</v>
      </c>
      <c r="U138" s="211">
        <v>252052434.4602966</v>
      </c>
      <c r="V138" s="211">
        <v>253954504.68880361</v>
      </c>
      <c r="W138" s="211">
        <v>238975121.00860801</v>
      </c>
      <c r="X138" s="211">
        <v>223809668.46683311</v>
      </c>
      <c r="Y138" s="211">
        <v>188278247.9804821</v>
      </c>
      <c r="Z138" s="211">
        <v>191884232.92544141</v>
      </c>
      <c r="AA138" s="211">
        <v>2569734573.8420186</v>
      </c>
    </row>
    <row r="139" spans="7:27" ht="15" customHeight="1" x14ac:dyDescent="0.25">
      <c r="G139" s="191"/>
      <c r="H139" s="191"/>
      <c r="I139" s="194"/>
      <c r="J139" s="194"/>
      <c r="K139" s="194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</row>
    <row r="140" spans="7:27" ht="15" customHeight="1" x14ac:dyDescent="0.25">
      <c r="G140" s="191"/>
      <c r="H140" s="191"/>
      <c r="I140" s="194"/>
      <c r="J140" s="194"/>
      <c r="K140" s="194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</row>
    <row r="141" spans="7:27" ht="50.4" customHeight="1" x14ac:dyDescent="0.25">
      <c r="G141" s="191" t="s">
        <v>217</v>
      </c>
      <c r="H141" s="191" t="s">
        <v>217</v>
      </c>
      <c r="I141" s="194"/>
      <c r="J141" s="194"/>
      <c r="K141" s="194"/>
      <c r="M141" s="201"/>
      <c r="N141" s="202" t="s">
        <v>441</v>
      </c>
      <c r="O141" s="202">
        <f>O34-O89-O100-O125-O118-O105-O102</f>
        <v>197824876.06999999</v>
      </c>
      <c r="P141" s="202">
        <f t="shared" ref="P141:AA141" si="2">P34-P89-P100-P125-P118-P105-P102</f>
        <v>184216758.21000001</v>
      </c>
      <c r="Q141" s="202">
        <f t="shared" si="2"/>
        <v>178558215.56</v>
      </c>
      <c r="R141" s="202">
        <f t="shared" si="2"/>
        <v>187436288.80000001</v>
      </c>
      <c r="S141" s="202">
        <f t="shared" si="2"/>
        <v>207085988.48999995</v>
      </c>
      <c r="T141" s="202">
        <f t="shared" si="2"/>
        <v>239103606.63000003</v>
      </c>
      <c r="U141" s="202">
        <f t="shared" si="2"/>
        <v>251697500.71999997</v>
      </c>
      <c r="V141" s="202">
        <f t="shared" si="2"/>
        <v>249919216.75</v>
      </c>
      <c r="W141" s="202">
        <f t="shared" si="2"/>
        <v>256283761.74000001</v>
      </c>
      <c r="X141" s="202">
        <f t="shared" si="2"/>
        <v>229773292.43000001</v>
      </c>
      <c r="Y141" s="202">
        <f t="shared" si="2"/>
        <v>197323324.00999999</v>
      </c>
      <c r="Z141" s="202">
        <f t="shared" si="2"/>
        <v>188181704.70000002</v>
      </c>
      <c r="AA141" s="202">
        <f t="shared" si="2"/>
        <v>2567404534.1100006</v>
      </c>
    </row>
    <row r="142" spans="7:27" ht="15" customHeight="1" x14ac:dyDescent="0.25">
      <c r="G142" s="191" t="s">
        <v>217</v>
      </c>
      <c r="H142" s="191" t="s">
        <v>217</v>
      </c>
      <c r="I142" s="194"/>
      <c r="J142" s="194"/>
      <c r="K142" s="194"/>
      <c r="M142" s="201"/>
      <c r="N142" s="203" t="s">
        <v>442</v>
      </c>
      <c r="O142" s="203">
        <f>O105</f>
        <v>1531444.6064166999</v>
      </c>
      <c r="P142" s="203">
        <f t="shared" ref="P142:AA142" si="3">P105</f>
        <v>1533074.4084167001</v>
      </c>
      <c r="Q142" s="203">
        <f t="shared" si="3"/>
        <v>1620208.9429166999</v>
      </c>
      <c r="R142" s="203">
        <f t="shared" si="3"/>
        <v>1531660.9451667001</v>
      </c>
      <c r="S142" s="203">
        <f t="shared" si="3"/>
        <v>1594597.0164167001</v>
      </c>
      <c r="T142" s="203">
        <f t="shared" si="3"/>
        <v>1615598.2256666999</v>
      </c>
      <c r="U142" s="203">
        <f t="shared" si="3"/>
        <v>1525282.8106666999</v>
      </c>
      <c r="V142" s="203">
        <f t="shared" si="3"/>
        <v>1532125.5166666999</v>
      </c>
      <c r="W142" s="203">
        <f t="shared" si="3"/>
        <v>1541718.6916666999</v>
      </c>
      <c r="X142" s="203">
        <f t="shared" si="3"/>
        <v>1542086.8416667001</v>
      </c>
      <c r="Y142" s="203">
        <f t="shared" si="3"/>
        <v>1542460.0166666999</v>
      </c>
      <c r="Z142" s="203">
        <f t="shared" si="3"/>
        <v>1542834.2416667</v>
      </c>
      <c r="AA142" s="203">
        <f t="shared" si="3"/>
        <v>18653092.264000401</v>
      </c>
    </row>
    <row r="143" spans="7:27" ht="15" customHeight="1" x14ac:dyDescent="0.25">
      <c r="G143" s="191" t="s">
        <v>217</v>
      </c>
      <c r="H143" s="191" t="s">
        <v>217</v>
      </c>
      <c r="I143" s="194"/>
      <c r="J143" s="194"/>
      <c r="K143" s="194"/>
      <c r="M143" s="201"/>
      <c r="N143" s="203" t="s">
        <v>443</v>
      </c>
      <c r="O143" s="203">
        <f>+O141+O142</f>
        <v>199356320.6764167</v>
      </c>
      <c r="P143" s="203">
        <f t="shared" ref="P143:AA143" si="4">+P141+P142</f>
        <v>185749832.6184167</v>
      </c>
      <c r="Q143" s="203">
        <f t="shared" si="4"/>
        <v>180178424.50291669</v>
      </c>
      <c r="R143" s="203">
        <f t="shared" si="4"/>
        <v>188967949.74516672</v>
      </c>
      <c r="S143" s="203">
        <f t="shared" si="4"/>
        <v>208680585.50641665</v>
      </c>
      <c r="T143" s="203">
        <f t="shared" si="4"/>
        <v>240719204.85566673</v>
      </c>
      <c r="U143" s="203">
        <f t="shared" si="4"/>
        <v>253222783.53066668</v>
      </c>
      <c r="V143" s="203">
        <f t="shared" si="4"/>
        <v>251451342.26666671</v>
      </c>
      <c r="W143" s="203">
        <f t="shared" si="4"/>
        <v>257825480.4316667</v>
      </c>
      <c r="X143" s="203">
        <f t="shared" si="4"/>
        <v>231315379.27166671</v>
      </c>
      <c r="Y143" s="203">
        <f t="shared" si="4"/>
        <v>198865784.0266667</v>
      </c>
      <c r="Z143" s="203">
        <f t="shared" si="4"/>
        <v>189724538.94166672</v>
      </c>
      <c r="AA143" s="203">
        <f t="shared" si="4"/>
        <v>2586057626.374001</v>
      </c>
    </row>
    <row r="144" spans="7:27" ht="15" customHeight="1" x14ac:dyDescent="0.25">
      <c r="G144" s="191" t="s">
        <v>217</v>
      </c>
      <c r="H144" s="191" t="s">
        <v>217</v>
      </c>
      <c r="I144" s="194"/>
      <c r="J144" s="194"/>
      <c r="K144" s="194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</row>
    <row r="145" spans="7:27" ht="15" customHeight="1" x14ac:dyDescent="0.25">
      <c r="G145" s="191" t="s">
        <v>217</v>
      </c>
      <c r="H145" s="191" t="s">
        <v>217</v>
      </c>
      <c r="I145" s="194"/>
      <c r="J145" s="194"/>
      <c r="K145" s="194"/>
      <c r="M145" s="153"/>
      <c r="N145" s="153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153"/>
    </row>
    <row r="146" spans="7:27" ht="15" customHeight="1" x14ac:dyDescent="0.25">
      <c r="G146" s="191" t="s">
        <v>217</v>
      </c>
      <c r="H146" s="191" t="s">
        <v>217</v>
      </c>
      <c r="I146" s="194"/>
      <c r="J146" s="194"/>
      <c r="K146" s="194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</row>
    <row r="147" spans="7:27" ht="15" customHeight="1" x14ac:dyDescent="0.25">
      <c r="G147" s="191" t="s">
        <v>217</v>
      </c>
      <c r="H147" s="191" t="s">
        <v>217</v>
      </c>
      <c r="I147" s="194"/>
      <c r="J147" s="194"/>
      <c r="K147" s="194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</row>
    <row r="148" spans="7:27" ht="15" customHeight="1" x14ac:dyDescent="0.25">
      <c r="G148" s="191" t="s">
        <v>217</v>
      </c>
      <c r="H148" s="191" t="s">
        <v>217</v>
      </c>
      <c r="I148" s="194"/>
      <c r="J148" s="194"/>
      <c r="K148" s="194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</row>
    <row r="149" spans="7:27" ht="15" customHeight="1" x14ac:dyDescent="0.25">
      <c r="G149" s="191" t="s">
        <v>217</v>
      </c>
      <c r="H149" s="191" t="s">
        <v>217</v>
      </c>
      <c r="I149" s="194"/>
      <c r="J149" s="194"/>
      <c r="K149" s="194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</row>
    <row r="150" spans="7:27" ht="15" customHeight="1" x14ac:dyDescent="0.25">
      <c r="G150" s="191" t="s">
        <v>217</v>
      </c>
      <c r="H150" s="191" t="s">
        <v>217</v>
      </c>
      <c r="I150" s="194"/>
      <c r="J150" s="194"/>
      <c r="K150" s="194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</row>
    <row r="151" spans="7:27" ht="15" customHeight="1" x14ac:dyDescent="0.25">
      <c r="G151" s="191" t="s">
        <v>217</v>
      </c>
      <c r="H151" s="191" t="s">
        <v>217</v>
      </c>
      <c r="I151" s="194"/>
      <c r="J151" s="194"/>
      <c r="K151" s="194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</row>
    <row r="152" spans="7:27" ht="15" customHeight="1" x14ac:dyDescent="0.25">
      <c r="G152" s="191" t="s">
        <v>217</v>
      </c>
      <c r="H152" s="191" t="s">
        <v>217</v>
      </c>
      <c r="I152" s="194"/>
      <c r="J152" s="194"/>
      <c r="K152" s="194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</row>
    <row r="153" spans="7:27" ht="15" customHeight="1" x14ac:dyDescent="0.25">
      <c r="G153" s="191" t="s">
        <v>217</v>
      </c>
      <c r="H153" s="191" t="s">
        <v>217</v>
      </c>
      <c r="I153" s="194"/>
      <c r="J153" s="194"/>
      <c r="K153" s="194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</row>
    <row r="154" spans="7:27" ht="15" customHeight="1" x14ac:dyDescent="0.25">
      <c r="G154" s="191" t="s">
        <v>217</v>
      </c>
      <c r="H154" s="191" t="s">
        <v>217</v>
      </c>
      <c r="I154" s="194"/>
      <c r="J154" s="194"/>
      <c r="K154" s="194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</row>
    <row r="155" spans="7:27" ht="15" customHeight="1" x14ac:dyDescent="0.25">
      <c r="G155" s="191" t="s">
        <v>217</v>
      </c>
      <c r="H155" s="191" t="s">
        <v>217</v>
      </c>
      <c r="I155" s="194"/>
      <c r="J155" s="194"/>
      <c r="K155" s="194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</row>
    <row r="156" spans="7:27" ht="15" customHeight="1" x14ac:dyDescent="0.25">
      <c r="G156" s="191" t="s">
        <v>217</v>
      </c>
      <c r="H156" s="191" t="s">
        <v>217</v>
      </c>
      <c r="I156" s="194"/>
      <c r="J156" s="194"/>
      <c r="K156" s="194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</row>
    <row r="157" spans="7:27" ht="15" customHeight="1" x14ac:dyDescent="0.25">
      <c r="G157" s="191" t="s">
        <v>217</v>
      </c>
      <c r="H157" s="191" t="s">
        <v>217</v>
      </c>
      <c r="I157" s="194"/>
      <c r="J157" s="194"/>
      <c r="K157" s="194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</row>
    <row r="158" spans="7:27" ht="15" customHeight="1" x14ac:dyDescent="0.25">
      <c r="G158" s="191" t="s">
        <v>217</v>
      </c>
      <c r="H158" s="191" t="s">
        <v>217</v>
      </c>
      <c r="I158" s="194"/>
      <c r="J158" s="194"/>
      <c r="K158" s="194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</row>
    <row r="159" spans="7:27" ht="15" customHeight="1" x14ac:dyDescent="0.25">
      <c r="G159" s="191" t="s">
        <v>217</v>
      </c>
      <c r="H159" s="191" t="s">
        <v>217</v>
      </c>
      <c r="I159" s="194"/>
      <c r="J159" s="194"/>
      <c r="K159" s="194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</row>
    <row r="160" spans="7:27" ht="15" customHeight="1" x14ac:dyDescent="0.25">
      <c r="G160" s="191" t="s">
        <v>217</v>
      </c>
      <c r="H160" s="191" t="s">
        <v>217</v>
      </c>
      <c r="I160" s="194"/>
      <c r="J160" s="194"/>
      <c r="K160" s="194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  <c r="AA160" s="153"/>
    </row>
    <row r="161" spans="7:27" ht="15" customHeight="1" x14ac:dyDescent="0.25">
      <c r="G161" s="191" t="s">
        <v>217</v>
      </c>
      <c r="H161" s="191" t="s">
        <v>217</v>
      </c>
      <c r="I161" s="194"/>
      <c r="J161" s="194"/>
      <c r="K161" s="194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  <c r="AA161" s="153"/>
    </row>
    <row r="162" spans="7:27" ht="15" customHeight="1" x14ac:dyDescent="0.25">
      <c r="G162" s="191" t="s">
        <v>217</v>
      </c>
      <c r="H162" s="191" t="s">
        <v>217</v>
      </c>
      <c r="I162" s="194"/>
      <c r="J162" s="194"/>
      <c r="K162" s="194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</row>
    <row r="163" spans="7:27" ht="15" customHeight="1" x14ac:dyDescent="0.25">
      <c r="G163" s="191" t="s">
        <v>217</v>
      </c>
      <c r="H163" s="191" t="s">
        <v>217</v>
      </c>
      <c r="I163" s="194"/>
      <c r="J163" s="194"/>
      <c r="K163" s="194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</row>
    <row r="164" spans="7:27" ht="15" customHeight="1" x14ac:dyDescent="0.25">
      <c r="G164" s="191" t="s">
        <v>217</v>
      </c>
      <c r="H164" s="191" t="s">
        <v>217</v>
      </c>
      <c r="I164" s="194"/>
      <c r="J164" s="194"/>
      <c r="K164" s="194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</row>
    <row r="165" spans="7:27" ht="15" customHeight="1" x14ac:dyDescent="0.25">
      <c r="G165" s="191" t="s">
        <v>217</v>
      </c>
      <c r="H165" s="191" t="s">
        <v>217</v>
      </c>
      <c r="I165" s="194"/>
      <c r="J165" s="194"/>
      <c r="K165" s="194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  <c r="AA165" s="153"/>
    </row>
    <row r="166" spans="7:27" ht="15" customHeight="1" x14ac:dyDescent="0.25">
      <c r="G166" s="191" t="s">
        <v>217</v>
      </c>
      <c r="H166" s="191" t="s">
        <v>217</v>
      </c>
      <c r="I166" s="194"/>
      <c r="J166" s="194"/>
      <c r="K166" s="194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</row>
    <row r="167" spans="7:27" ht="15" customHeight="1" x14ac:dyDescent="0.25">
      <c r="G167" s="191" t="s">
        <v>217</v>
      </c>
      <c r="H167" s="191" t="s">
        <v>217</v>
      </c>
      <c r="I167" s="194"/>
      <c r="J167" s="194"/>
      <c r="K167" s="194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</row>
    <row r="168" spans="7:27" ht="15" customHeight="1" x14ac:dyDescent="0.25">
      <c r="G168" s="191" t="s">
        <v>217</v>
      </c>
      <c r="H168" s="191" t="s">
        <v>217</v>
      </c>
      <c r="I168" s="194"/>
      <c r="J168" s="194"/>
      <c r="K168" s="194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</row>
    <row r="169" spans="7:27" ht="15" customHeight="1" x14ac:dyDescent="0.25">
      <c r="G169" s="191" t="s">
        <v>217</v>
      </c>
      <c r="H169" s="191" t="s">
        <v>217</v>
      </c>
      <c r="I169" s="194"/>
      <c r="J169" s="194"/>
      <c r="K169" s="194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</row>
    <row r="170" spans="7:27" ht="15" customHeight="1" x14ac:dyDescent="0.25">
      <c r="G170" s="191" t="s">
        <v>217</v>
      </c>
      <c r="H170" s="191" t="s">
        <v>217</v>
      </c>
      <c r="I170" s="194"/>
      <c r="J170" s="194"/>
      <c r="K170" s="194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</row>
    <row r="171" spans="7:27" ht="15" customHeight="1" x14ac:dyDescent="0.25">
      <c r="G171" s="191" t="s">
        <v>217</v>
      </c>
      <c r="H171" s="191" t="s">
        <v>217</v>
      </c>
      <c r="I171" s="194"/>
      <c r="J171" s="194"/>
      <c r="K171" s="194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</row>
    <row r="172" spans="7:27" ht="15" customHeight="1" x14ac:dyDescent="0.25">
      <c r="G172" s="191" t="s">
        <v>217</v>
      </c>
      <c r="H172" s="191" t="s">
        <v>217</v>
      </c>
      <c r="I172" s="194"/>
      <c r="J172" s="194"/>
      <c r="K172" s="194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</row>
    <row r="173" spans="7:27" ht="15" customHeight="1" x14ac:dyDescent="0.25">
      <c r="G173" s="191" t="s">
        <v>217</v>
      </c>
      <c r="H173" s="191" t="s">
        <v>217</v>
      </c>
      <c r="I173" s="194"/>
      <c r="J173" s="194"/>
      <c r="K173" s="194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</row>
    <row r="174" spans="7:27" ht="15" customHeight="1" x14ac:dyDescent="0.25">
      <c r="G174" s="191" t="s">
        <v>217</v>
      </c>
      <c r="H174" s="191" t="s">
        <v>217</v>
      </c>
      <c r="I174" s="194"/>
      <c r="J174" s="194"/>
      <c r="K174" s="194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</row>
    <row r="175" spans="7:27" ht="15" customHeight="1" x14ac:dyDescent="0.25">
      <c r="G175" s="191" t="s">
        <v>217</v>
      </c>
      <c r="H175" s="191" t="s">
        <v>217</v>
      </c>
      <c r="I175" s="194"/>
      <c r="J175" s="194"/>
      <c r="K175" s="194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</row>
    <row r="176" spans="7:27" ht="15" customHeight="1" x14ac:dyDescent="0.25">
      <c r="G176" s="191" t="s">
        <v>217</v>
      </c>
      <c r="H176" s="191" t="s">
        <v>217</v>
      </c>
      <c r="I176" s="194"/>
      <c r="J176" s="194"/>
      <c r="K176" s="194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</row>
    <row r="177" spans="7:27" ht="15" customHeight="1" x14ac:dyDescent="0.25">
      <c r="G177" s="191" t="s">
        <v>217</v>
      </c>
      <c r="H177" s="191" t="s">
        <v>217</v>
      </c>
      <c r="I177" s="194"/>
      <c r="J177" s="194"/>
      <c r="K177" s="194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  <c r="AA177" s="153"/>
    </row>
    <row r="178" spans="7:27" ht="15" customHeight="1" x14ac:dyDescent="0.25">
      <c r="G178" s="191" t="s">
        <v>217</v>
      </c>
      <c r="H178" s="191" t="s">
        <v>217</v>
      </c>
      <c r="I178" s="194"/>
      <c r="J178" s="194"/>
      <c r="K178" s="194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  <c r="AA178" s="153"/>
    </row>
    <row r="179" spans="7:27" ht="15" customHeight="1" x14ac:dyDescent="0.25">
      <c r="G179" s="191" t="s">
        <v>217</v>
      </c>
      <c r="H179" s="191" t="s">
        <v>217</v>
      </c>
      <c r="I179" s="194"/>
      <c r="J179" s="194"/>
      <c r="K179" s="194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</row>
    <row r="180" spans="7:27" ht="15" customHeight="1" x14ac:dyDescent="0.25">
      <c r="G180" s="191" t="s">
        <v>217</v>
      </c>
      <c r="H180" s="191" t="s">
        <v>217</v>
      </c>
      <c r="I180" s="194"/>
      <c r="J180" s="194"/>
      <c r="K180" s="194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</row>
    <row r="181" spans="7:27" ht="15" customHeight="1" x14ac:dyDescent="0.25">
      <c r="G181" s="191" t="s">
        <v>217</v>
      </c>
      <c r="H181" s="191" t="s">
        <v>217</v>
      </c>
      <c r="I181" s="194"/>
      <c r="J181" s="194"/>
      <c r="K181" s="194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</row>
    <row r="182" spans="7:27" ht="15" customHeight="1" x14ac:dyDescent="0.25">
      <c r="G182" s="191" t="s">
        <v>217</v>
      </c>
      <c r="H182" s="191" t="s">
        <v>217</v>
      </c>
      <c r="I182" s="194"/>
      <c r="J182" s="194"/>
      <c r="K182" s="194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  <c r="AA182" s="153"/>
    </row>
    <row r="183" spans="7:27" ht="15" customHeight="1" x14ac:dyDescent="0.25">
      <c r="G183" s="191" t="s">
        <v>217</v>
      </c>
      <c r="H183" s="191" t="s">
        <v>217</v>
      </c>
      <c r="I183" s="194"/>
      <c r="J183" s="194"/>
      <c r="K183" s="194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153"/>
    </row>
    <row r="184" spans="7:27" ht="15" customHeight="1" x14ac:dyDescent="0.25">
      <c r="G184" s="191" t="s">
        <v>217</v>
      </c>
      <c r="H184" s="191" t="s">
        <v>217</v>
      </c>
      <c r="I184" s="194"/>
      <c r="J184" s="194"/>
      <c r="K184" s="194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153"/>
    </row>
    <row r="185" spans="7:27" ht="15" customHeight="1" x14ac:dyDescent="0.25">
      <c r="G185" s="191" t="s">
        <v>217</v>
      </c>
      <c r="H185" s="191" t="s">
        <v>217</v>
      </c>
      <c r="I185" s="194"/>
      <c r="J185" s="194"/>
      <c r="K185" s="194"/>
      <c r="M185" s="153"/>
      <c r="N185" s="153"/>
      <c r="O185" s="153"/>
      <c r="P185" s="153"/>
      <c r="Q185" s="153"/>
      <c r="R185" s="153"/>
      <c r="S185" s="153"/>
      <c r="T185" s="153"/>
      <c r="U185" s="153"/>
      <c r="V185" s="153"/>
      <c r="W185" s="153"/>
      <c r="X185" s="153"/>
      <c r="Y185" s="153"/>
      <c r="Z185" s="153"/>
      <c r="AA185" s="153"/>
    </row>
    <row r="186" spans="7:27" ht="15" customHeight="1" x14ac:dyDescent="0.25">
      <c r="G186" s="191" t="s">
        <v>217</v>
      </c>
      <c r="H186" s="191" t="s">
        <v>217</v>
      </c>
      <c r="I186" s="194"/>
      <c r="J186" s="194"/>
      <c r="K186" s="194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</row>
    <row r="187" spans="7:27" ht="15" customHeight="1" x14ac:dyDescent="0.25">
      <c r="G187" s="191" t="s">
        <v>217</v>
      </c>
      <c r="H187" s="191" t="s">
        <v>217</v>
      </c>
      <c r="I187" s="194"/>
      <c r="J187" s="194"/>
      <c r="K187" s="194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</row>
    <row r="188" spans="7:27" ht="15" customHeight="1" x14ac:dyDescent="0.25">
      <c r="G188" s="191" t="s">
        <v>217</v>
      </c>
      <c r="H188" s="191" t="s">
        <v>217</v>
      </c>
      <c r="I188" s="194"/>
      <c r="J188" s="194"/>
      <c r="K188" s="194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</row>
    <row r="189" spans="7:27" ht="15" customHeight="1" x14ac:dyDescent="0.25">
      <c r="G189" s="191" t="s">
        <v>217</v>
      </c>
      <c r="H189" s="191" t="s">
        <v>217</v>
      </c>
      <c r="I189" s="194"/>
      <c r="J189" s="194"/>
      <c r="K189" s="194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</row>
    <row r="190" spans="7:27" ht="15" customHeight="1" x14ac:dyDescent="0.25">
      <c r="G190" s="191" t="s">
        <v>217</v>
      </c>
      <c r="H190" s="191" t="s">
        <v>217</v>
      </c>
      <c r="I190" s="194"/>
      <c r="J190" s="194"/>
      <c r="K190" s="194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</row>
    <row r="191" spans="7:27" ht="15" customHeight="1" x14ac:dyDescent="0.25">
      <c r="G191" s="191" t="s">
        <v>217</v>
      </c>
      <c r="H191" s="191" t="s">
        <v>217</v>
      </c>
      <c r="I191" s="194"/>
      <c r="J191" s="194"/>
      <c r="K191" s="194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</row>
    <row r="192" spans="7:27" ht="15" customHeight="1" x14ac:dyDescent="0.25">
      <c r="G192" s="191" t="s">
        <v>217</v>
      </c>
      <c r="H192" s="191" t="s">
        <v>217</v>
      </c>
      <c r="I192" s="194"/>
      <c r="J192" s="194"/>
      <c r="K192" s="194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</row>
    <row r="193" spans="7:27" ht="15" customHeight="1" x14ac:dyDescent="0.25">
      <c r="G193" s="191" t="s">
        <v>217</v>
      </c>
      <c r="H193" s="191" t="s">
        <v>217</v>
      </c>
      <c r="I193" s="194"/>
      <c r="J193" s="194"/>
      <c r="K193" s="194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</row>
    <row r="194" spans="7:27" ht="15" customHeight="1" x14ac:dyDescent="0.25">
      <c r="G194" s="191" t="s">
        <v>217</v>
      </c>
      <c r="H194" s="191" t="s">
        <v>217</v>
      </c>
      <c r="I194" s="194"/>
      <c r="J194" s="194"/>
      <c r="K194" s="194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</row>
    <row r="195" spans="7:27" ht="15" customHeight="1" x14ac:dyDescent="0.25">
      <c r="G195" s="191" t="s">
        <v>217</v>
      </c>
      <c r="H195" s="191" t="s">
        <v>217</v>
      </c>
      <c r="I195" s="194"/>
      <c r="J195" s="194"/>
      <c r="K195" s="194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  <c r="AA195" s="153"/>
    </row>
    <row r="196" spans="7:27" ht="15" customHeight="1" x14ac:dyDescent="0.25">
      <c r="G196" s="191" t="s">
        <v>217</v>
      </c>
      <c r="H196" s="191" t="s">
        <v>217</v>
      </c>
      <c r="I196" s="194"/>
      <c r="J196" s="194"/>
      <c r="K196" s="194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53"/>
      <c r="Y196" s="153"/>
      <c r="Z196" s="153"/>
      <c r="AA196" s="153"/>
    </row>
    <row r="197" spans="7:27" ht="15" customHeight="1" x14ac:dyDescent="0.25">
      <c r="G197" s="191" t="s">
        <v>217</v>
      </c>
      <c r="H197" s="191" t="s">
        <v>217</v>
      </c>
      <c r="I197" s="194"/>
      <c r="J197" s="194"/>
      <c r="K197" s="194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53"/>
      <c r="Y197" s="153"/>
      <c r="Z197" s="153"/>
      <c r="AA197" s="153"/>
    </row>
    <row r="198" spans="7:27" ht="15" customHeight="1" x14ac:dyDescent="0.25">
      <c r="G198" s="191" t="s">
        <v>217</v>
      </c>
      <c r="H198" s="191" t="s">
        <v>217</v>
      </c>
      <c r="I198" s="194"/>
      <c r="J198" s="194"/>
      <c r="K198" s="194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  <c r="AA198" s="153"/>
    </row>
    <row r="199" spans="7:27" ht="15" customHeight="1" x14ac:dyDescent="0.25">
      <c r="G199" s="191" t="s">
        <v>217</v>
      </c>
      <c r="H199" s="191" t="s">
        <v>217</v>
      </c>
      <c r="I199" s="194"/>
      <c r="J199" s="194"/>
      <c r="K199" s="194"/>
      <c r="M199" s="153"/>
      <c r="N199" s="153"/>
      <c r="O199" s="153"/>
      <c r="P199" s="153"/>
      <c r="Q199" s="153"/>
      <c r="R199" s="153"/>
      <c r="S199" s="153"/>
      <c r="T199" s="153"/>
      <c r="U199" s="153"/>
      <c r="V199" s="153"/>
      <c r="W199" s="153"/>
      <c r="X199" s="153"/>
      <c r="Y199" s="153"/>
      <c r="Z199" s="153"/>
      <c r="AA199" s="153"/>
    </row>
    <row r="200" spans="7:27" ht="15" customHeight="1" x14ac:dyDescent="0.25">
      <c r="G200" s="191" t="s">
        <v>217</v>
      </c>
      <c r="H200" s="191" t="s">
        <v>217</v>
      </c>
      <c r="I200" s="194"/>
      <c r="J200" s="194"/>
      <c r="K200" s="194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  <c r="AA200" s="153"/>
    </row>
    <row r="201" spans="7:27" ht="15" customHeight="1" x14ac:dyDescent="0.25">
      <c r="G201" s="191" t="s">
        <v>217</v>
      </c>
      <c r="H201" s="191" t="s">
        <v>217</v>
      </c>
      <c r="I201" s="194"/>
      <c r="J201" s="194"/>
      <c r="K201" s="194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53"/>
      <c r="Y201" s="153"/>
      <c r="Z201" s="153"/>
      <c r="AA201" s="153"/>
    </row>
    <row r="202" spans="7:27" ht="15" customHeight="1" x14ac:dyDescent="0.25">
      <c r="G202" s="191" t="s">
        <v>217</v>
      </c>
      <c r="H202" s="191" t="s">
        <v>217</v>
      </c>
      <c r="I202" s="194"/>
      <c r="J202" s="194"/>
      <c r="K202" s="194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153"/>
    </row>
    <row r="203" spans="7:27" ht="15" customHeight="1" x14ac:dyDescent="0.25">
      <c r="G203" s="191" t="s">
        <v>217</v>
      </c>
      <c r="H203" s="191" t="s">
        <v>217</v>
      </c>
      <c r="I203" s="194"/>
      <c r="J203" s="194"/>
      <c r="K203" s="194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  <c r="Z203" s="153"/>
      <c r="AA203" s="153"/>
    </row>
    <row r="204" spans="7:27" ht="15" customHeight="1" x14ac:dyDescent="0.25">
      <c r="G204" s="191" t="s">
        <v>217</v>
      </c>
      <c r="H204" s="191" t="s">
        <v>217</v>
      </c>
      <c r="I204" s="194"/>
      <c r="J204" s="194"/>
      <c r="K204" s="194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  <c r="AA204" s="153"/>
    </row>
    <row r="205" spans="7:27" ht="15" customHeight="1" x14ac:dyDescent="0.25">
      <c r="G205" s="191" t="s">
        <v>217</v>
      </c>
      <c r="H205" s="191" t="s">
        <v>217</v>
      </c>
      <c r="I205" s="194"/>
      <c r="J205" s="194"/>
      <c r="K205" s="194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</row>
    <row r="206" spans="7:27" ht="15" customHeight="1" x14ac:dyDescent="0.25">
      <c r="G206" s="191" t="s">
        <v>217</v>
      </c>
      <c r="H206" s="191" t="s">
        <v>217</v>
      </c>
      <c r="I206" s="194"/>
      <c r="J206" s="194"/>
      <c r="K206" s="194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</row>
    <row r="207" spans="7:27" ht="15" customHeight="1" x14ac:dyDescent="0.25">
      <c r="G207" s="191" t="s">
        <v>217</v>
      </c>
      <c r="H207" s="191" t="s">
        <v>217</v>
      </c>
      <c r="I207" s="194"/>
      <c r="J207" s="194"/>
      <c r="K207" s="194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</row>
    <row r="208" spans="7:27" ht="15" customHeight="1" x14ac:dyDescent="0.25">
      <c r="G208" s="191" t="s">
        <v>217</v>
      </c>
      <c r="H208" s="191" t="s">
        <v>217</v>
      </c>
      <c r="I208" s="194"/>
      <c r="J208" s="194"/>
      <c r="K208" s="194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  <c r="AA208" s="153"/>
    </row>
    <row r="209" spans="7:27" ht="15" customHeight="1" x14ac:dyDescent="0.25">
      <c r="G209" s="191" t="s">
        <v>217</v>
      </c>
      <c r="H209" s="191" t="s">
        <v>217</v>
      </c>
      <c r="I209" s="194"/>
      <c r="J209" s="194"/>
      <c r="K209" s="194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  <c r="AA209" s="153"/>
    </row>
    <row r="210" spans="7:27" ht="15" customHeight="1" x14ac:dyDescent="0.25">
      <c r="G210" s="191" t="s">
        <v>217</v>
      </c>
      <c r="H210" s="191" t="s">
        <v>217</v>
      </c>
      <c r="I210" s="194"/>
      <c r="J210" s="194"/>
      <c r="K210" s="194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</row>
    <row r="211" spans="7:27" ht="15" customHeight="1" x14ac:dyDescent="0.25">
      <c r="G211" s="191" t="s">
        <v>217</v>
      </c>
      <c r="H211" s="191" t="s">
        <v>217</v>
      </c>
      <c r="I211" s="194"/>
      <c r="J211" s="194"/>
      <c r="K211" s="194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</row>
    <row r="212" spans="7:27" ht="15" customHeight="1" x14ac:dyDescent="0.25">
      <c r="G212" s="191" t="s">
        <v>217</v>
      </c>
      <c r="H212" s="191" t="s">
        <v>217</v>
      </c>
      <c r="I212" s="194"/>
      <c r="J212" s="194"/>
      <c r="K212" s="194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</row>
    <row r="213" spans="7:27" ht="15" customHeight="1" x14ac:dyDescent="0.25">
      <c r="G213" s="191" t="s">
        <v>217</v>
      </c>
      <c r="H213" s="191" t="s">
        <v>217</v>
      </c>
      <c r="I213" s="194"/>
      <c r="J213" s="194"/>
      <c r="K213" s="194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</row>
    <row r="214" spans="7:27" ht="15" customHeight="1" x14ac:dyDescent="0.25">
      <c r="G214" s="191" t="s">
        <v>217</v>
      </c>
      <c r="H214" s="191" t="s">
        <v>217</v>
      </c>
      <c r="I214" s="194"/>
      <c r="J214" s="194"/>
      <c r="K214" s="194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</row>
    <row r="215" spans="7:27" ht="15" customHeight="1" x14ac:dyDescent="0.25">
      <c r="G215" s="191" t="s">
        <v>217</v>
      </c>
      <c r="H215" s="191" t="s">
        <v>217</v>
      </c>
      <c r="I215" s="194"/>
      <c r="J215" s="194"/>
      <c r="K215" s="194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</row>
    <row r="216" spans="7:27" ht="15" customHeight="1" x14ac:dyDescent="0.25">
      <c r="G216" s="191" t="s">
        <v>217</v>
      </c>
      <c r="H216" s="191" t="s">
        <v>217</v>
      </c>
      <c r="I216" s="194"/>
      <c r="J216" s="194"/>
      <c r="K216" s="194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</row>
    <row r="217" spans="7:27" ht="15" customHeight="1" x14ac:dyDescent="0.25">
      <c r="G217" s="191" t="s">
        <v>217</v>
      </c>
      <c r="H217" s="191" t="s">
        <v>217</v>
      </c>
      <c r="I217" s="194"/>
      <c r="J217" s="194"/>
      <c r="K217" s="194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</row>
    <row r="218" spans="7:27" ht="15" customHeight="1" x14ac:dyDescent="0.25">
      <c r="G218" s="191" t="s">
        <v>217</v>
      </c>
      <c r="H218" s="191" t="s">
        <v>217</v>
      </c>
      <c r="I218" s="194"/>
      <c r="J218" s="194"/>
      <c r="K218" s="194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153"/>
    </row>
    <row r="219" spans="7:27" ht="15" customHeight="1" x14ac:dyDescent="0.25">
      <c r="G219" s="191" t="s">
        <v>217</v>
      </c>
      <c r="H219" s="191" t="s">
        <v>217</v>
      </c>
      <c r="I219" s="194"/>
      <c r="J219" s="194"/>
      <c r="K219" s="194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</row>
    <row r="220" spans="7:27" ht="15" customHeight="1" x14ac:dyDescent="0.25">
      <c r="G220" s="191" t="s">
        <v>217</v>
      </c>
      <c r="H220" s="191" t="s">
        <v>217</v>
      </c>
      <c r="I220" s="194"/>
      <c r="J220" s="194"/>
      <c r="K220" s="194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  <c r="AA220" s="153"/>
    </row>
    <row r="221" spans="7:27" ht="15" customHeight="1" x14ac:dyDescent="0.25">
      <c r="G221" s="191" t="s">
        <v>217</v>
      </c>
      <c r="H221" s="191" t="s">
        <v>217</v>
      </c>
      <c r="I221" s="194"/>
      <c r="J221" s="194"/>
      <c r="K221" s="194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  <c r="AA221" s="153"/>
    </row>
    <row r="222" spans="7:27" ht="15" customHeight="1" x14ac:dyDescent="0.25">
      <c r="G222" s="191" t="s">
        <v>217</v>
      </c>
      <c r="H222" s="191" t="s">
        <v>217</v>
      </c>
      <c r="I222" s="194"/>
      <c r="J222" s="194"/>
      <c r="K222" s="194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  <c r="AA222" s="153"/>
    </row>
    <row r="223" spans="7:27" ht="15" customHeight="1" x14ac:dyDescent="0.25">
      <c r="G223" s="191" t="s">
        <v>217</v>
      </c>
      <c r="H223" s="191" t="s">
        <v>217</v>
      </c>
      <c r="I223" s="194"/>
      <c r="J223" s="194"/>
      <c r="K223" s="194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153"/>
    </row>
    <row r="224" spans="7:27" ht="15" customHeight="1" x14ac:dyDescent="0.25">
      <c r="G224" s="191" t="s">
        <v>217</v>
      </c>
      <c r="H224" s="191" t="s">
        <v>217</v>
      </c>
      <c r="I224" s="194"/>
      <c r="J224" s="194"/>
      <c r="K224" s="194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153"/>
    </row>
    <row r="225" spans="7:27" ht="15" customHeight="1" x14ac:dyDescent="0.25">
      <c r="G225" s="191" t="s">
        <v>217</v>
      </c>
      <c r="H225" s="191" t="s">
        <v>217</v>
      </c>
      <c r="I225" s="194"/>
      <c r="J225" s="194"/>
      <c r="K225" s="194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  <c r="AA225" s="153"/>
    </row>
    <row r="226" spans="7:27" ht="15" customHeight="1" x14ac:dyDescent="0.25">
      <c r="G226" s="191" t="s">
        <v>217</v>
      </c>
      <c r="H226" s="191" t="s">
        <v>217</v>
      </c>
      <c r="I226" s="194"/>
      <c r="J226" s="194"/>
      <c r="K226" s="194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</row>
    <row r="227" spans="7:27" ht="15" customHeight="1" x14ac:dyDescent="0.25">
      <c r="G227" s="191" t="s">
        <v>217</v>
      </c>
      <c r="H227" s="191" t="s">
        <v>217</v>
      </c>
      <c r="I227" s="194"/>
      <c r="J227" s="194"/>
      <c r="K227" s="194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153"/>
    </row>
    <row r="228" spans="7:27" ht="15" customHeight="1" x14ac:dyDescent="0.25">
      <c r="G228" s="191" t="s">
        <v>217</v>
      </c>
      <c r="H228" s="191" t="s">
        <v>217</v>
      </c>
      <c r="I228" s="194"/>
      <c r="J228" s="194"/>
      <c r="K228" s="194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</row>
    <row r="229" spans="7:27" ht="15" customHeight="1" x14ac:dyDescent="0.25">
      <c r="G229" s="191" t="s">
        <v>217</v>
      </c>
      <c r="H229" s="191" t="s">
        <v>217</v>
      </c>
      <c r="I229" s="194"/>
      <c r="J229" s="194"/>
      <c r="K229" s="194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</row>
    <row r="230" spans="7:27" ht="15" customHeight="1" x14ac:dyDescent="0.25">
      <c r="G230" s="191" t="s">
        <v>217</v>
      </c>
      <c r="H230" s="191" t="s">
        <v>217</v>
      </c>
      <c r="I230" s="194"/>
      <c r="J230" s="194"/>
      <c r="K230" s="194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</row>
    <row r="231" spans="7:27" ht="15" customHeight="1" x14ac:dyDescent="0.25">
      <c r="G231" s="191" t="s">
        <v>217</v>
      </c>
      <c r="H231" s="191" t="s">
        <v>217</v>
      </c>
      <c r="I231" s="194"/>
      <c r="J231" s="194"/>
      <c r="K231" s="194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</row>
    <row r="232" spans="7:27" ht="15" customHeight="1" x14ac:dyDescent="0.25">
      <c r="G232" s="191" t="s">
        <v>217</v>
      </c>
      <c r="H232" s="191" t="s">
        <v>217</v>
      </c>
      <c r="I232" s="194"/>
      <c r="J232" s="194"/>
      <c r="K232" s="194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153"/>
    </row>
    <row r="233" spans="7:27" ht="15" customHeight="1" x14ac:dyDescent="0.25">
      <c r="G233" s="191" t="s">
        <v>217</v>
      </c>
      <c r="H233" s="191" t="s">
        <v>217</v>
      </c>
      <c r="I233" s="194"/>
      <c r="J233" s="194"/>
      <c r="K233" s="194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  <c r="AA233" s="153"/>
    </row>
    <row r="234" spans="7:27" ht="15" customHeight="1" x14ac:dyDescent="0.25">
      <c r="G234" s="191" t="s">
        <v>217</v>
      </c>
      <c r="H234" s="191" t="s">
        <v>217</v>
      </c>
      <c r="I234" s="194"/>
      <c r="J234" s="194"/>
      <c r="K234" s="194"/>
      <c r="M234" s="153"/>
      <c r="N234" s="153"/>
      <c r="O234" s="153"/>
      <c r="P234" s="153"/>
      <c r="Q234" s="153"/>
      <c r="R234" s="153"/>
      <c r="S234" s="153"/>
      <c r="T234" s="153"/>
      <c r="U234" s="153"/>
      <c r="V234" s="153"/>
      <c r="W234" s="153"/>
      <c r="X234" s="153"/>
      <c r="Y234" s="153"/>
      <c r="Z234" s="153"/>
      <c r="AA234" s="153"/>
    </row>
    <row r="235" spans="7:27" ht="15" customHeight="1" x14ac:dyDescent="0.25">
      <c r="G235" s="191" t="s">
        <v>217</v>
      </c>
      <c r="H235" s="191" t="s">
        <v>217</v>
      </c>
      <c r="I235" s="194"/>
      <c r="J235" s="194"/>
      <c r="K235" s="194"/>
      <c r="M235" s="153"/>
      <c r="N235" s="153"/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  <c r="AA235" s="153"/>
    </row>
    <row r="236" spans="7:27" ht="15" customHeight="1" x14ac:dyDescent="0.25">
      <c r="G236" s="191" t="s">
        <v>217</v>
      </c>
      <c r="H236" s="191" t="s">
        <v>217</v>
      </c>
      <c r="I236" s="194"/>
      <c r="J236" s="194"/>
      <c r="K236" s="194"/>
      <c r="M236" s="153"/>
      <c r="N236" s="153"/>
      <c r="O236" s="153"/>
      <c r="P236" s="153"/>
      <c r="Q236" s="153"/>
      <c r="R236" s="153"/>
      <c r="S236" s="153"/>
      <c r="T236" s="153"/>
      <c r="U236" s="153"/>
      <c r="V236" s="153"/>
      <c r="W236" s="153"/>
      <c r="X236" s="153"/>
      <c r="Y236" s="153"/>
      <c r="Z236" s="153"/>
      <c r="AA236" s="153"/>
    </row>
    <row r="237" spans="7:27" ht="15" customHeight="1" x14ac:dyDescent="0.25">
      <c r="G237" s="191" t="s">
        <v>217</v>
      </c>
      <c r="H237" s="191" t="s">
        <v>217</v>
      </c>
      <c r="I237" s="194"/>
      <c r="J237" s="194"/>
      <c r="K237" s="194"/>
      <c r="M237" s="153"/>
      <c r="N237" s="153"/>
      <c r="O237" s="153"/>
      <c r="P237" s="153"/>
      <c r="Q237" s="153"/>
      <c r="R237" s="153"/>
      <c r="S237" s="153"/>
      <c r="T237" s="153"/>
      <c r="U237" s="153"/>
      <c r="V237" s="153"/>
      <c r="W237" s="153"/>
      <c r="X237" s="153"/>
      <c r="Y237" s="153"/>
      <c r="Z237" s="153"/>
      <c r="AA237" s="153"/>
    </row>
    <row r="238" spans="7:27" ht="15" customHeight="1" x14ac:dyDescent="0.25">
      <c r="G238" s="191" t="s">
        <v>217</v>
      </c>
      <c r="H238" s="191" t="s">
        <v>217</v>
      </c>
      <c r="I238" s="194"/>
      <c r="J238" s="194"/>
      <c r="K238" s="194"/>
      <c r="M238" s="153"/>
      <c r="N238" s="153"/>
      <c r="O238" s="153"/>
      <c r="P238" s="153"/>
      <c r="Q238" s="153"/>
      <c r="R238" s="153"/>
      <c r="S238" s="153"/>
      <c r="T238" s="153"/>
      <c r="U238" s="153"/>
      <c r="V238" s="153"/>
      <c r="W238" s="153"/>
      <c r="X238" s="153"/>
      <c r="Y238" s="153"/>
      <c r="Z238" s="153"/>
      <c r="AA238" s="153"/>
    </row>
    <row r="239" spans="7:27" ht="15" customHeight="1" x14ac:dyDescent="0.25">
      <c r="G239" s="191" t="s">
        <v>217</v>
      </c>
      <c r="H239" s="191" t="s">
        <v>217</v>
      </c>
      <c r="I239" s="194"/>
      <c r="J239" s="194"/>
      <c r="K239" s="194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  <c r="AA239" s="153"/>
    </row>
    <row r="240" spans="7:27" ht="15" customHeight="1" x14ac:dyDescent="0.25">
      <c r="G240" s="191" t="s">
        <v>217</v>
      </c>
      <c r="H240" s="191" t="s">
        <v>217</v>
      </c>
      <c r="I240" s="194"/>
      <c r="J240" s="194"/>
      <c r="K240" s="194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</row>
    <row r="241" spans="7:27" ht="15" customHeight="1" x14ac:dyDescent="0.25">
      <c r="G241" s="191" t="s">
        <v>217</v>
      </c>
      <c r="H241" s="191" t="s">
        <v>217</v>
      </c>
      <c r="I241" s="194"/>
      <c r="J241" s="194"/>
      <c r="K241" s="194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</row>
    <row r="242" spans="7:27" ht="15" customHeight="1" x14ac:dyDescent="0.25">
      <c r="G242" s="191" t="s">
        <v>217</v>
      </c>
      <c r="H242" s="191" t="s">
        <v>217</v>
      </c>
      <c r="I242" s="194"/>
      <c r="J242" s="194"/>
      <c r="K242" s="194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</row>
    <row r="243" spans="7:27" ht="15" customHeight="1" x14ac:dyDescent="0.25">
      <c r="G243" s="191" t="s">
        <v>217</v>
      </c>
      <c r="H243" s="191" t="s">
        <v>217</v>
      </c>
      <c r="I243" s="194"/>
      <c r="J243" s="194"/>
      <c r="K243" s="194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</row>
    <row r="244" spans="7:27" ht="15" customHeight="1" x14ac:dyDescent="0.25">
      <c r="G244" s="191" t="s">
        <v>217</v>
      </c>
      <c r="H244" s="191" t="s">
        <v>217</v>
      </c>
      <c r="I244" s="194"/>
      <c r="J244" s="194"/>
      <c r="K244" s="194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</row>
    <row r="245" spans="7:27" ht="15" customHeight="1" x14ac:dyDescent="0.25">
      <c r="G245" s="191" t="s">
        <v>217</v>
      </c>
      <c r="H245" s="191" t="s">
        <v>217</v>
      </c>
      <c r="I245" s="194"/>
      <c r="J245" s="194"/>
      <c r="K245" s="194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</row>
    <row r="246" spans="7:27" ht="15" customHeight="1" x14ac:dyDescent="0.25">
      <c r="G246" s="191" t="s">
        <v>217</v>
      </c>
      <c r="H246" s="191" t="s">
        <v>217</v>
      </c>
      <c r="I246" s="194"/>
      <c r="J246" s="194"/>
      <c r="K246" s="194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</row>
    <row r="247" spans="7:27" ht="15" customHeight="1" x14ac:dyDescent="0.25">
      <c r="G247" s="191" t="s">
        <v>217</v>
      </c>
      <c r="H247" s="191" t="s">
        <v>217</v>
      </c>
      <c r="I247" s="194"/>
      <c r="J247" s="194"/>
      <c r="K247" s="194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</row>
    <row r="248" spans="7:27" ht="15" customHeight="1" x14ac:dyDescent="0.25">
      <c r="G248" s="191" t="s">
        <v>217</v>
      </c>
      <c r="H248" s="191" t="s">
        <v>217</v>
      </c>
      <c r="I248" s="194"/>
      <c r="J248" s="194"/>
      <c r="K248" s="194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</row>
    <row r="249" spans="7:27" ht="15" customHeight="1" x14ac:dyDescent="0.25">
      <c r="G249" s="191" t="s">
        <v>217</v>
      </c>
      <c r="H249" s="191" t="s">
        <v>217</v>
      </c>
      <c r="I249" s="194"/>
      <c r="J249" s="194"/>
      <c r="K249" s="194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Z249" s="153"/>
      <c r="AA249" s="153"/>
    </row>
    <row r="250" spans="7:27" ht="15" customHeight="1" x14ac:dyDescent="0.25">
      <c r="G250" s="191" t="s">
        <v>217</v>
      </c>
      <c r="H250" s="191" t="s">
        <v>217</v>
      </c>
      <c r="M250" s="153"/>
      <c r="N250" s="153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  <c r="AA250" s="153"/>
    </row>
    <row r="251" spans="7:27" ht="15" customHeight="1" x14ac:dyDescent="0.25">
      <c r="G251" s="191" t="s">
        <v>217</v>
      </c>
      <c r="H251" s="191" t="s">
        <v>217</v>
      </c>
      <c r="M251" s="153"/>
      <c r="N251" s="153"/>
      <c r="O251" s="153"/>
      <c r="P251" s="153"/>
      <c r="Q251" s="153"/>
      <c r="R251" s="153"/>
      <c r="S251" s="153"/>
      <c r="T251" s="153"/>
      <c r="U251" s="153"/>
      <c r="V251" s="153"/>
      <c r="W251" s="153"/>
      <c r="X251" s="153"/>
      <c r="Y251" s="153"/>
      <c r="Z251" s="153"/>
      <c r="AA251" s="153"/>
    </row>
    <row r="252" spans="7:27" ht="15" customHeight="1" x14ac:dyDescent="0.25">
      <c r="G252" s="191" t="s">
        <v>217</v>
      </c>
      <c r="H252" s="191" t="s">
        <v>217</v>
      </c>
      <c r="M252" s="153"/>
      <c r="N252" s="153"/>
      <c r="O252" s="153"/>
      <c r="P252" s="153"/>
      <c r="Q252" s="153"/>
      <c r="R252" s="153"/>
      <c r="S252" s="153"/>
      <c r="T252" s="153"/>
      <c r="U252" s="153"/>
      <c r="V252" s="153"/>
      <c r="W252" s="153"/>
      <c r="X252" s="153"/>
      <c r="Y252" s="153"/>
      <c r="Z252" s="153"/>
      <c r="AA252" s="153"/>
    </row>
    <row r="253" spans="7:27" ht="15" customHeight="1" x14ac:dyDescent="0.25">
      <c r="G253" s="191" t="s">
        <v>217</v>
      </c>
      <c r="H253" s="191" t="s">
        <v>217</v>
      </c>
      <c r="M253" s="153"/>
      <c r="N253" s="153"/>
      <c r="O253" s="153"/>
      <c r="P253" s="153"/>
      <c r="Q253" s="153"/>
      <c r="R253" s="153"/>
      <c r="S253" s="153"/>
      <c r="T253" s="153"/>
      <c r="U253" s="153"/>
      <c r="V253" s="153"/>
      <c r="W253" s="153"/>
      <c r="X253" s="153"/>
      <c r="Y253" s="153"/>
      <c r="Z253" s="153"/>
      <c r="AA253" s="153"/>
    </row>
    <row r="254" spans="7:27" ht="15" customHeight="1" x14ac:dyDescent="0.25">
      <c r="G254" s="191" t="s">
        <v>217</v>
      </c>
      <c r="H254" s="191" t="s">
        <v>217</v>
      </c>
      <c r="M254" s="153"/>
      <c r="N254" s="153"/>
      <c r="O254" s="153"/>
      <c r="P254" s="153"/>
      <c r="Q254" s="153"/>
      <c r="R254" s="153"/>
      <c r="S254" s="153"/>
      <c r="T254" s="153"/>
      <c r="U254" s="153"/>
      <c r="V254" s="153"/>
      <c r="W254" s="153"/>
      <c r="X254" s="153"/>
      <c r="Y254" s="153"/>
      <c r="Z254" s="153"/>
      <c r="AA254" s="153"/>
    </row>
    <row r="255" spans="7:27" ht="15" customHeight="1" x14ac:dyDescent="0.25">
      <c r="G255" s="191" t="s">
        <v>217</v>
      </c>
      <c r="H255" s="191" t="s">
        <v>217</v>
      </c>
      <c r="M255" s="153"/>
      <c r="N255" s="153"/>
      <c r="O255" s="153"/>
      <c r="P255" s="153"/>
      <c r="Q255" s="153"/>
      <c r="R255" s="153"/>
      <c r="S255" s="153"/>
      <c r="T255" s="153"/>
      <c r="U255" s="153"/>
      <c r="V255" s="153"/>
      <c r="W255" s="153"/>
      <c r="X255" s="153"/>
      <c r="Y255" s="153"/>
      <c r="Z255" s="153"/>
      <c r="AA255" s="153"/>
    </row>
    <row r="256" spans="7:27" ht="15" customHeight="1" x14ac:dyDescent="0.25">
      <c r="G256" s="191" t="s">
        <v>217</v>
      </c>
      <c r="H256" s="191" t="s">
        <v>217</v>
      </c>
      <c r="M256" s="153"/>
      <c r="N256" s="153"/>
      <c r="O256" s="153"/>
      <c r="P256" s="153"/>
      <c r="Q256" s="153"/>
      <c r="R256" s="153"/>
      <c r="S256" s="153"/>
      <c r="T256" s="153"/>
      <c r="U256" s="153"/>
      <c r="V256" s="153"/>
      <c r="W256" s="153"/>
      <c r="X256" s="153"/>
      <c r="Y256" s="153"/>
      <c r="Z256" s="153"/>
      <c r="AA256" s="153"/>
    </row>
    <row r="257" spans="7:27" ht="15" customHeight="1" x14ac:dyDescent="0.25">
      <c r="G257" s="191" t="s">
        <v>217</v>
      </c>
      <c r="H257" s="191" t="s">
        <v>217</v>
      </c>
      <c r="M257" s="153"/>
      <c r="N257" s="153"/>
      <c r="O257" s="153"/>
      <c r="P257" s="153"/>
      <c r="Q257" s="153"/>
      <c r="R257" s="153"/>
      <c r="S257" s="153"/>
      <c r="T257" s="153"/>
      <c r="U257" s="153"/>
      <c r="V257" s="153"/>
      <c r="W257" s="153"/>
      <c r="X257" s="153"/>
      <c r="Y257" s="153"/>
      <c r="Z257" s="153"/>
      <c r="AA257" s="153"/>
    </row>
    <row r="258" spans="7:27" ht="15" customHeight="1" x14ac:dyDescent="0.25">
      <c r="G258" s="191" t="s">
        <v>217</v>
      </c>
      <c r="H258" s="191" t="s">
        <v>217</v>
      </c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  <c r="AA258" s="153"/>
    </row>
    <row r="259" spans="7:27" ht="15" customHeight="1" x14ac:dyDescent="0.25">
      <c r="G259" s="191" t="s">
        <v>217</v>
      </c>
      <c r="H259" s="191" t="s">
        <v>217</v>
      </c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  <c r="AA259" s="153"/>
    </row>
    <row r="260" spans="7:27" ht="15" customHeight="1" x14ac:dyDescent="0.25">
      <c r="G260" s="191" t="s">
        <v>217</v>
      </c>
      <c r="H260" s="191" t="s">
        <v>217</v>
      </c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</row>
    <row r="261" spans="7:27" ht="15" customHeight="1" x14ac:dyDescent="0.25">
      <c r="G261" s="191" t="s">
        <v>217</v>
      </c>
      <c r="H261" s="191" t="s">
        <v>217</v>
      </c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153"/>
    </row>
    <row r="262" spans="7:27" ht="15" customHeight="1" x14ac:dyDescent="0.25">
      <c r="G262" s="191" t="s">
        <v>217</v>
      </c>
      <c r="H262" s="191" t="s">
        <v>217</v>
      </c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153"/>
    </row>
    <row r="263" spans="7:27" ht="15" customHeight="1" x14ac:dyDescent="0.25">
      <c r="G263" s="191" t="s">
        <v>217</v>
      </c>
      <c r="H263" s="191" t="s">
        <v>217</v>
      </c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  <c r="AA263" s="153"/>
    </row>
    <row r="264" spans="7:27" ht="15" customHeight="1" x14ac:dyDescent="0.25">
      <c r="G264" s="191" t="s">
        <v>217</v>
      </c>
      <c r="H264" s="191" t="s">
        <v>217</v>
      </c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  <c r="AA264" s="153"/>
    </row>
    <row r="265" spans="7:27" ht="15" customHeight="1" x14ac:dyDescent="0.25">
      <c r="G265" s="191" t="s">
        <v>217</v>
      </c>
      <c r="H265" s="191" t="s">
        <v>217</v>
      </c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  <c r="AA265" s="153"/>
    </row>
    <row r="266" spans="7:27" ht="15" customHeight="1" x14ac:dyDescent="0.25">
      <c r="G266" s="191" t="s">
        <v>217</v>
      </c>
      <c r="H266" s="191" t="s">
        <v>217</v>
      </c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  <c r="AA266" s="153"/>
    </row>
    <row r="267" spans="7:27" ht="15" customHeight="1" x14ac:dyDescent="0.25">
      <c r="G267" s="191" t="s">
        <v>217</v>
      </c>
      <c r="H267" s="191" t="s">
        <v>217</v>
      </c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  <c r="AA267" s="153"/>
    </row>
    <row r="268" spans="7:27" ht="15" customHeight="1" x14ac:dyDescent="0.25">
      <c r="G268" s="191" t="s">
        <v>217</v>
      </c>
      <c r="H268" s="191" t="s">
        <v>217</v>
      </c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  <c r="AA268" s="153"/>
    </row>
    <row r="269" spans="7:27" ht="15" customHeight="1" x14ac:dyDescent="0.25">
      <c r="G269" s="191" t="s">
        <v>217</v>
      </c>
      <c r="H269" s="191" t="s">
        <v>217</v>
      </c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153"/>
    </row>
    <row r="270" spans="7:27" ht="15" customHeight="1" x14ac:dyDescent="0.25">
      <c r="G270" s="191" t="s">
        <v>217</v>
      </c>
      <c r="H270" s="191" t="s">
        <v>217</v>
      </c>
      <c r="M270" s="153"/>
      <c r="N270" s="153"/>
      <c r="O270" s="153"/>
      <c r="P270" s="153"/>
      <c r="Q270" s="153"/>
      <c r="R270" s="153"/>
      <c r="S270" s="153"/>
      <c r="T270" s="153"/>
      <c r="U270" s="153"/>
      <c r="V270" s="153"/>
      <c r="W270" s="153"/>
      <c r="X270" s="153"/>
      <c r="Y270" s="153"/>
      <c r="Z270" s="153"/>
      <c r="AA270" s="153"/>
    </row>
    <row r="271" spans="7:27" ht="15" customHeight="1" x14ac:dyDescent="0.25">
      <c r="G271" s="191" t="s">
        <v>217</v>
      </c>
      <c r="H271" s="191" t="s">
        <v>217</v>
      </c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  <c r="AA271" s="153"/>
    </row>
    <row r="272" spans="7:27" ht="15" customHeight="1" x14ac:dyDescent="0.25">
      <c r="G272" s="191" t="s">
        <v>217</v>
      </c>
      <c r="H272" s="191" t="s">
        <v>217</v>
      </c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  <c r="AA272" s="153"/>
    </row>
    <row r="273" spans="7:27" ht="15" customHeight="1" x14ac:dyDescent="0.25">
      <c r="G273" s="191" t="s">
        <v>217</v>
      </c>
      <c r="H273" s="191" t="s">
        <v>217</v>
      </c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  <c r="AA273" s="153"/>
    </row>
    <row r="274" spans="7:27" ht="15" customHeight="1" x14ac:dyDescent="0.25">
      <c r="G274" s="191" t="s">
        <v>217</v>
      </c>
      <c r="H274" s="191" t="s">
        <v>217</v>
      </c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  <c r="AA274" s="153"/>
    </row>
    <row r="275" spans="7:27" ht="15" customHeight="1" x14ac:dyDescent="0.25">
      <c r="G275" s="191" t="s">
        <v>217</v>
      </c>
      <c r="H275" s="191" t="s">
        <v>217</v>
      </c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  <c r="AA275" s="153"/>
    </row>
    <row r="276" spans="7:27" ht="15" customHeight="1" x14ac:dyDescent="0.25">
      <c r="G276" s="191" t="s">
        <v>217</v>
      </c>
      <c r="H276" s="191" t="s">
        <v>217</v>
      </c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</row>
    <row r="277" spans="7:27" ht="15" customHeight="1" x14ac:dyDescent="0.25">
      <c r="G277" s="191" t="s">
        <v>217</v>
      </c>
      <c r="H277" s="191" t="s">
        <v>217</v>
      </c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  <c r="AA277" s="153"/>
    </row>
    <row r="278" spans="7:27" ht="15" customHeight="1" x14ac:dyDescent="0.25">
      <c r="G278" s="191" t="s">
        <v>217</v>
      </c>
      <c r="H278" s="191" t="s">
        <v>217</v>
      </c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  <c r="AA278" s="153"/>
    </row>
    <row r="279" spans="7:27" ht="15" customHeight="1" x14ac:dyDescent="0.25">
      <c r="G279" s="191" t="s">
        <v>217</v>
      </c>
      <c r="H279" s="191" t="s">
        <v>217</v>
      </c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</row>
    <row r="280" spans="7:27" ht="15" customHeight="1" x14ac:dyDescent="0.25">
      <c r="G280" s="191" t="s">
        <v>217</v>
      </c>
      <c r="H280" s="191" t="s">
        <v>217</v>
      </c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</row>
    <row r="281" spans="7:27" ht="15" customHeight="1" x14ac:dyDescent="0.25">
      <c r="G281" s="191" t="s">
        <v>217</v>
      </c>
      <c r="H281" s="191" t="s">
        <v>217</v>
      </c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</row>
    <row r="282" spans="7:27" ht="15" customHeight="1" x14ac:dyDescent="0.25">
      <c r="G282" s="191" t="s">
        <v>217</v>
      </c>
      <c r="H282" s="191" t="s">
        <v>217</v>
      </c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</row>
    <row r="283" spans="7:27" ht="15" customHeight="1" x14ac:dyDescent="0.25">
      <c r="G283" s="191" t="s">
        <v>217</v>
      </c>
      <c r="H283" s="191" t="s">
        <v>217</v>
      </c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</row>
    <row r="284" spans="7:27" ht="15" customHeight="1" x14ac:dyDescent="0.25">
      <c r="G284" s="191" t="s">
        <v>217</v>
      </c>
      <c r="H284" s="191" t="s">
        <v>217</v>
      </c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</row>
    <row r="285" spans="7:27" ht="15" customHeight="1" x14ac:dyDescent="0.25">
      <c r="G285" s="191" t="s">
        <v>217</v>
      </c>
      <c r="H285" s="191" t="s">
        <v>217</v>
      </c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  <c r="AA285" s="153"/>
    </row>
    <row r="286" spans="7:27" ht="15" customHeight="1" x14ac:dyDescent="0.25">
      <c r="G286" s="191" t="s">
        <v>217</v>
      </c>
      <c r="H286" s="191" t="s">
        <v>217</v>
      </c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  <c r="AA286" s="153"/>
    </row>
    <row r="287" spans="7:27" ht="15" customHeight="1" x14ac:dyDescent="0.25">
      <c r="G287" s="191" t="s">
        <v>217</v>
      </c>
      <c r="H287" s="191" t="s">
        <v>217</v>
      </c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</row>
    <row r="288" spans="7:27" ht="15" customHeight="1" x14ac:dyDescent="0.25">
      <c r="G288" s="191" t="s">
        <v>217</v>
      </c>
      <c r="H288" s="191" t="s">
        <v>217</v>
      </c>
      <c r="M288" s="153"/>
      <c r="N288" s="153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  <c r="AA288" s="153"/>
    </row>
    <row r="289" spans="7:27" ht="15" customHeight="1" x14ac:dyDescent="0.25">
      <c r="G289" s="191" t="s">
        <v>217</v>
      </c>
      <c r="H289" s="191" t="s">
        <v>217</v>
      </c>
      <c r="M289" s="153"/>
      <c r="N289" s="153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Z289" s="153"/>
      <c r="AA289" s="153"/>
    </row>
    <row r="290" spans="7:27" ht="15" customHeight="1" x14ac:dyDescent="0.25">
      <c r="G290" s="191" t="s">
        <v>217</v>
      </c>
      <c r="H290" s="191" t="s">
        <v>217</v>
      </c>
      <c r="M290" s="153"/>
      <c r="N290" s="153"/>
      <c r="O290" s="153"/>
      <c r="P290" s="153"/>
      <c r="Q290" s="153"/>
      <c r="R290" s="153"/>
      <c r="S290" s="153"/>
      <c r="T290" s="153"/>
      <c r="U290" s="153"/>
      <c r="V290" s="153"/>
      <c r="W290" s="153"/>
      <c r="X290" s="153"/>
      <c r="Y290" s="153"/>
      <c r="Z290" s="153"/>
      <c r="AA290" s="153"/>
    </row>
    <row r="291" spans="7:27" ht="15" customHeight="1" x14ac:dyDescent="0.25">
      <c r="G291" s="191" t="s">
        <v>217</v>
      </c>
      <c r="H291" s="191" t="s">
        <v>217</v>
      </c>
      <c r="M291" s="153"/>
      <c r="N291" s="153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Z291" s="153"/>
      <c r="AA291" s="153"/>
    </row>
    <row r="292" spans="7:27" ht="15" customHeight="1" x14ac:dyDescent="0.25">
      <c r="G292" s="191" t="s">
        <v>217</v>
      </c>
      <c r="H292" s="191" t="s">
        <v>217</v>
      </c>
      <c r="M292" s="153"/>
      <c r="N292" s="153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  <c r="AA292" s="153"/>
    </row>
    <row r="293" spans="7:27" ht="15" customHeight="1" x14ac:dyDescent="0.25">
      <c r="G293" s="191" t="s">
        <v>217</v>
      </c>
      <c r="H293" s="191" t="s">
        <v>217</v>
      </c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  <c r="AA293" s="153"/>
    </row>
    <row r="294" spans="7:27" ht="15" customHeight="1" x14ac:dyDescent="0.25">
      <c r="G294" s="191" t="s">
        <v>217</v>
      </c>
      <c r="H294" s="191" t="s">
        <v>217</v>
      </c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</row>
    <row r="295" spans="7:27" ht="15" customHeight="1" x14ac:dyDescent="0.25">
      <c r="G295" s="191" t="s">
        <v>217</v>
      </c>
      <c r="H295" s="191" t="s">
        <v>217</v>
      </c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</row>
    <row r="296" spans="7:27" ht="15" customHeight="1" x14ac:dyDescent="0.25">
      <c r="G296" s="191" t="s">
        <v>217</v>
      </c>
      <c r="H296" s="191" t="s">
        <v>217</v>
      </c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</row>
    <row r="297" spans="7:27" ht="15" customHeight="1" x14ac:dyDescent="0.25">
      <c r="G297" s="191" t="s">
        <v>217</v>
      </c>
      <c r="H297" s="191" t="s">
        <v>217</v>
      </c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</row>
    <row r="298" spans="7:27" ht="15" customHeight="1" x14ac:dyDescent="0.25">
      <c r="G298" s="191" t="s">
        <v>217</v>
      </c>
      <c r="H298" s="191" t="s">
        <v>217</v>
      </c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</row>
    <row r="299" spans="7:27" ht="15" customHeight="1" x14ac:dyDescent="0.25">
      <c r="G299" s="191" t="s">
        <v>217</v>
      </c>
      <c r="H299" s="191" t="s">
        <v>217</v>
      </c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</row>
    <row r="300" spans="7:27" ht="15" customHeight="1" x14ac:dyDescent="0.25">
      <c r="G300" s="191" t="s">
        <v>217</v>
      </c>
      <c r="H300" s="191" t="s">
        <v>217</v>
      </c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</row>
    <row r="301" spans="7:27" ht="15" customHeight="1" x14ac:dyDescent="0.25">
      <c r="G301" s="191" t="s">
        <v>217</v>
      </c>
      <c r="H301" s="191" t="s">
        <v>217</v>
      </c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</row>
    <row r="302" spans="7:27" ht="15" customHeight="1" x14ac:dyDescent="0.25">
      <c r="G302" s="191" t="s">
        <v>217</v>
      </c>
      <c r="H302" s="191" t="s">
        <v>217</v>
      </c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</row>
    <row r="303" spans="7:27" ht="15" customHeight="1" x14ac:dyDescent="0.25">
      <c r="G303" s="191" t="s">
        <v>217</v>
      </c>
      <c r="H303" s="191" t="s">
        <v>217</v>
      </c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153"/>
    </row>
    <row r="304" spans="7:27" ht="15" customHeight="1" x14ac:dyDescent="0.25">
      <c r="G304" s="191" t="s">
        <v>217</v>
      </c>
      <c r="H304" s="191" t="s">
        <v>217</v>
      </c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  <c r="AA304" s="153"/>
    </row>
    <row r="305" spans="7:27" ht="15" customHeight="1" x14ac:dyDescent="0.25">
      <c r="G305" s="191" t="s">
        <v>217</v>
      </c>
      <c r="H305" s="191" t="s">
        <v>217</v>
      </c>
      <c r="M305" s="153"/>
      <c r="N305" s="153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  <c r="AA305" s="153"/>
    </row>
    <row r="306" spans="7:27" ht="15" customHeight="1" x14ac:dyDescent="0.25">
      <c r="G306" s="191" t="s">
        <v>217</v>
      </c>
      <c r="H306" s="191" t="s">
        <v>217</v>
      </c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153"/>
    </row>
    <row r="307" spans="7:27" ht="15" customHeight="1" x14ac:dyDescent="0.25">
      <c r="G307" s="191" t="s">
        <v>217</v>
      </c>
      <c r="H307" s="191" t="s">
        <v>217</v>
      </c>
      <c r="M307" s="153"/>
      <c r="N307" s="153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  <c r="AA307" s="153"/>
    </row>
    <row r="308" spans="7:27" ht="15" customHeight="1" x14ac:dyDescent="0.25">
      <c r="G308" s="191" t="s">
        <v>217</v>
      </c>
      <c r="H308" s="191" t="s">
        <v>217</v>
      </c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  <c r="AA308" s="153"/>
    </row>
    <row r="309" spans="7:27" ht="15" customHeight="1" x14ac:dyDescent="0.25">
      <c r="G309" s="191" t="s">
        <v>217</v>
      </c>
      <c r="H309" s="191" t="s">
        <v>217</v>
      </c>
      <c r="M309" s="153"/>
      <c r="N309" s="153"/>
      <c r="O309" s="153"/>
      <c r="P309" s="153"/>
      <c r="Q309" s="153"/>
      <c r="R309" s="153"/>
      <c r="S309" s="153"/>
      <c r="T309" s="153"/>
      <c r="U309" s="153"/>
      <c r="V309" s="153"/>
      <c r="W309" s="153"/>
      <c r="X309" s="153"/>
      <c r="Y309" s="153"/>
      <c r="Z309" s="153"/>
      <c r="AA309" s="153"/>
    </row>
    <row r="310" spans="7:27" ht="15" customHeight="1" x14ac:dyDescent="0.25">
      <c r="G310" s="191" t="s">
        <v>217</v>
      </c>
      <c r="H310" s="191" t="s">
        <v>217</v>
      </c>
      <c r="M310" s="153"/>
      <c r="N310" s="153"/>
      <c r="O310" s="153"/>
      <c r="P310" s="153"/>
      <c r="Q310" s="153"/>
      <c r="R310" s="153"/>
      <c r="S310" s="153"/>
      <c r="T310" s="153"/>
      <c r="U310" s="153"/>
      <c r="V310" s="153"/>
      <c r="W310" s="153"/>
      <c r="X310" s="153"/>
      <c r="Y310" s="153"/>
      <c r="Z310" s="153"/>
      <c r="AA310" s="153"/>
    </row>
    <row r="311" spans="7:27" ht="15" customHeight="1" x14ac:dyDescent="0.25">
      <c r="G311" s="191" t="s">
        <v>217</v>
      </c>
      <c r="H311" s="191" t="s">
        <v>217</v>
      </c>
      <c r="M311" s="153"/>
      <c r="N311" s="153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  <c r="AA311" s="153"/>
    </row>
    <row r="312" spans="7:27" ht="15" customHeight="1" x14ac:dyDescent="0.25">
      <c r="G312" s="191" t="s">
        <v>217</v>
      </c>
      <c r="H312" s="191" t="s">
        <v>217</v>
      </c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</row>
    <row r="313" spans="7:27" ht="15" customHeight="1" x14ac:dyDescent="0.25">
      <c r="G313" s="191" t="s">
        <v>217</v>
      </c>
      <c r="H313" s="191" t="s">
        <v>217</v>
      </c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</row>
    <row r="314" spans="7:27" ht="15" customHeight="1" x14ac:dyDescent="0.25">
      <c r="G314" s="191" t="s">
        <v>217</v>
      </c>
      <c r="H314" s="191" t="s">
        <v>217</v>
      </c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</row>
    <row r="315" spans="7:27" ht="15" customHeight="1" x14ac:dyDescent="0.25">
      <c r="G315" s="191" t="s">
        <v>217</v>
      </c>
      <c r="H315" s="191" t="s">
        <v>217</v>
      </c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</row>
    <row r="316" spans="7:27" ht="15" customHeight="1" x14ac:dyDescent="0.25">
      <c r="G316" s="191" t="s">
        <v>217</v>
      </c>
      <c r="H316" s="191" t="s">
        <v>217</v>
      </c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</row>
    <row r="317" spans="7:27" ht="15" customHeight="1" x14ac:dyDescent="0.25">
      <c r="G317" s="191" t="s">
        <v>217</v>
      </c>
      <c r="H317" s="191" t="s">
        <v>217</v>
      </c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</row>
    <row r="318" spans="7:27" ht="15" customHeight="1" x14ac:dyDescent="0.25">
      <c r="G318" s="191" t="s">
        <v>217</v>
      </c>
      <c r="H318" s="191" t="s">
        <v>217</v>
      </c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</row>
    <row r="319" spans="7:27" ht="15" customHeight="1" x14ac:dyDescent="0.25">
      <c r="G319" s="191" t="s">
        <v>217</v>
      </c>
      <c r="H319" s="191" t="s">
        <v>217</v>
      </c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153"/>
    </row>
    <row r="320" spans="7:27" ht="15" customHeight="1" x14ac:dyDescent="0.25">
      <c r="G320" s="191" t="s">
        <v>217</v>
      </c>
      <c r="H320" s="191" t="s">
        <v>217</v>
      </c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</row>
    <row r="321" spans="7:27" ht="15" customHeight="1" x14ac:dyDescent="0.25">
      <c r="G321" s="191" t="s">
        <v>217</v>
      </c>
      <c r="H321" s="191" t="s">
        <v>217</v>
      </c>
      <c r="M321" s="153"/>
      <c r="N321" s="153"/>
      <c r="O321" s="153"/>
      <c r="P321" s="153"/>
      <c r="Q321" s="153"/>
      <c r="R321" s="153"/>
      <c r="S321" s="153"/>
      <c r="T321" s="153"/>
      <c r="U321" s="153"/>
      <c r="V321" s="153"/>
      <c r="W321" s="153"/>
      <c r="X321" s="153"/>
      <c r="Y321" s="153"/>
      <c r="Z321" s="153"/>
      <c r="AA321" s="153"/>
    </row>
    <row r="322" spans="7:27" ht="15" customHeight="1" x14ac:dyDescent="0.25">
      <c r="G322" s="191" t="s">
        <v>217</v>
      </c>
      <c r="H322" s="191" t="s">
        <v>217</v>
      </c>
      <c r="M322" s="153"/>
      <c r="N322" s="153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3"/>
      <c r="Z322" s="153"/>
      <c r="AA322" s="153"/>
    </row>
    <row r="323" spans="7:27" ht="15" customHeight="1" x14ac:dyDescent="0.25">
      <c r="G323" s="191" t="s">
        <v>217</v>
      </c>
      <c r="H323" s="191" t="s">
        <v>217</v>
      </c>
      <c r="M323" s="153"/>
      <c r="N323" s="153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3"/>
      <c r="Z323" s="153"/>
      <c r="AA323" s="153"/>
    </row>
    <row r="324" spans="7:27" ht="15" customHeight="1" x14ac:dyDescent="0.25">
      <c r="G324" s="191" t="s">
        <v>217</v>
      </c>
      <c r="H324" s="191" t="s">
        <v>217</v>
      </c>
      <c r="M324" s="153"/>
      <c r="N324" s="153"/>
      <c r="O324" s="153"/>
      <c r="P324" s="153"/>
      <c r="Q324" s="153"/>
      <c r="R324" s="153"/>
      <c r="S324" s="153"/>
      <c r="T324" s="153"/>
      <c r="U324" s="153"/>
      <c r="V324" s="153"/>
      <c r="W324" s="153"/>
      <c r="X324" s="153"/>
      <c r="Y324" s="153"/>
      <c r="Z324" s="153"/>
      <c r="AA324" s="153"/>
    </row>
    <row r="325" spans="7:27" ht="15" customHeight="1" x14ac:dyDescent="0.25">
      <c r="G325" s="191" t="s">
        <v>217</v>
      </c>
      <c r="H325" s="191" t="s">
        <v>217</v>
      </c>
      <c r="M325" s="153"/>
      <c r="N325" s="153"/>
      <c r="O325" s="153"/>
      <c r="P325" s="153"/>
      <c r="Q325" s="153"/>
      <c r="R325" s="153"/>
      <c r="S325" s="153"/>
      <c r="T325" s="153"/>
      <c r="U325" s="153"/>
      <c r="V325" s="153"/>
      <c r="W325" s="153"/>
      <c r="X325" s="153"/>
      <c r="Y325" s="153"/>
      <c r="Z325" s="153"/>
      <c r="AA325" s="153"/>
    </row>
    <row r="326" spans="7:27" ht="15" customHeight="1" x14ac:dyDescent="0.25">
      <c r="G326" s="191" t="s">
        <v>217</v>
      </c>
      <c r="H326" s="191" t="s">
        <v>217</v>
      </c>
      <c r="M326" s="153"/>
      <c r="N326" s="153"/>
      <c r="O326" s="153"/>
      <c r="P326" s="153"/>
      <c r="Q326" s="153"/>
      <c r="R326" s="153"/>
      <c r="S326" s="153"/>
      <c r="T326" s="153"/>
      <c r="U326" s="153"/>
      <c r="V326" s="153"/>
      <c r="W326" s="153"/>
      <c r="X326" s="153"/>
      <c r="Y326" s="153"/>
      <c r="Z326" s="153"/>
      <c r="AA326" s="153"/>
    </row>
    <row r="327" spans="7:27" ht="15" customHeight="1" x14ac:dyDescent="0.25">
      <c r="G327" s="191" t="s">
        <v>217</v>
      </c>
      <c r="H327" s="191" t="s">
        <v>217</v>
      </c>
      <c r="M327" s="153"/>
      <c r="N327" s="153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  <c r="AA327" s="153"/>
    </row>
    <row r="328" spans="7:27" ht="15" customHeight="1" x14ac:dyDescent="0.25">
      <c r="G328" s="191" t="s">
        <v>217</v>
      </c>
      <c r="H328" s="191" t="s">
        <v>217</v>
      </c>
      <c r="M328" s="153"/>
      <c r="N328" s="153"/>
      <c r="O328" s="153"/>
      <c r="P328" s="153"/>
      <c r="Q328" s="153"/>
      <c r="R328" s="153"/>
      <c r="S328" s="153"/>
      <c r="T328" s="153"/>
      <c r="U328" s="153"/>
      <c r="V328" s="153"/>
      <c r="W328" s="153"/>
      <c r="X328" s="153"/>
      <c r="Y328" s="153"/>
      <c r="Z328" s="153"/>
      <c r="AA328" s="153"/>
    </row>
    <row r="329" spans="7:27" ht="15" customHeight="1" x14ac:dyDescent="0.25">
      <c r="G329" s="191" t="s">
        <v>217</v>
      </c>
      <c r="H329" s="191" t="s">
        <v>217</v>
      </c>
      <c r="M329" s="153"/>
      <c r="N329" s="153"/>
      <c r="O329" s="153"/>
      <c r="P329" s="153"/>
      <c r="Q329" s="153"/>
      <c r="R329" s="153"/>
      <c r="S329" s="153"/>
      <c r="T329" s="153"/>
      <c r="U329" s="153"/>
      <c r="V329" s="153"/>
      <c r="W329" s="153"/>
      <c r="X329" s="153"/>
      <c r="Y329" s="153"/>
      <c r="Z329" s="153"/>
      <c r="AA329" s="153"/>
    </row>
    <row r="330" spans="7:27" ht="15" customHeight="1" x14ac:dyDescent="0.25">
      <c r="G330" s="191" t="s">
        <v>217</v>
      </c>
      <c r="H330" s="191" t="s">
        <v>217</v>
      </c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</row>
    <row r="331" spans="7:27" ht="15" customHeight="1" x14ac:dyDescent="0.25">
      <c r="G331" s="191" t="s">
        <v>217</v>
      </c>
      <c r="H331" s="191" t="s">
        <v>217</v>
      </c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</row>
    <row r="332" spans="7:27" ht="15" customHeight="1" x14ac:dyDescent="0.25">
      <c r="G332" s="191" t="s">
        <v>217</v>
      </c>
      <c r="H332" s="191" t="s">
        <v>217</v>
      </c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</row>
    <row r="333" spans="7:27" ht="15" customHeight="1" x14ac:dyDescent="0.25">
      <c r="G333" s="191" t="s">
        <v>217</v>
      </c>
      <c r="H333" s="191" t="s">
        <v>217</v>
      </c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</row>
    <row r="334" spans="7:27" ht="15" customHeight="1" x14ac:dyDescent="0.25">
      <c r="G334" s="191" t="s">
        <v>217</v>
      </c>
      <c r="H334" s="191" t="s">
        <v>217</v>
      </c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</row>
    <row r="335" spans="7:27" ht="15" customHeight="1" x14ac:dyDescent="0.25">
      <c r="G335" s="191" t="s">
        <v>217</v>
      </c>
      <c r="H335" s="191" t="s">
        <v>217</v>
      </c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</row>
    <row r="336" spans="7:27" ht="15" customHeight="1" x14ac:dyDescent="0.25">
      <c r="G336" s="191" t="s">
        <v>217</v>
      </c>
      <c r="H336" s="191" t="s">
        <v>217</v>
      </c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</row>
    <row r="337" spans="7:27" ht="15" customHeight="1" x14ac:dyDescent="0.25">
      <c r="G337" s="191" t="s">
        <v>217</v>
      </c>
      <c r="H337" s="191" t="s">
        <v>217</v>
      </c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</row>
    <row r="338" spans="7:27" ht="15" customHeight="1" x14ac:dyDescent="0.25">
      <c r="G338" s="191" t="s">
        <v>217</v>
      </c>
      <c r="H338" s="191" t="s">
        <v>217</v>
      </c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</row>
    <row r="339" spans="7:27" ht="15" customHeight="1" x14ac:dyDescent="0.25">
      <c r="G339" s="191" t="s">
        <v>217</v>
      </c>
      <c r="H339" s="191" t="s">
        <v>217</v>
      </c>
      <c r="M339" s="153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  <c r="AA339" s="153"/>
    </row>
    <row r="340" spans="7:27" ht="15" customHeight="1" x14ac:dyDescent="0.25">
      <c r="G340" s="191" t="s">
        <v>217</v>
      </c>
      <c r="H340" s="191" t="s">
        <v>217</v>
      </c>
      <c r="M340" s="153"/>
      <c r="N340" s="153"/>
      <c r="O340" s="153"/>
      <c r="P340" s="153"/>
      <c r="Q340" s="153"/>
      <c r="R340" s="153"/>
      <c r="S340" s="153"/>
      <c r="T340" s="153"/>
      <c r="U340" s="153"/>
      <c r="V340" s="153"/>
      <c r="W340" s="153"/>
      <c r="X340" s="153"/>
      <c r="Y340" s="153"/>
      <c r="Z340" s="153"/>
      <c r="AA340" s="153"/>
    </row>
    <row r="341" spans="7:27" ht="15" customHeight="1" x14ac:dyDescent="0.25">
      <c r="G341" s="191" t="s">
        <v>217</v>
      </c>
      <c r="H341" s="191" t="s">
        <v>217</v>
      </c>
      <c r="M341" s="153"/>
      <c r="N341" s="153"/>
      <c r="O341" s="153"/>
      <c r="P341" s="153"/>
      <c r="Q341" s="153"/>
      <c r="R341" s="153"/>
      <c r="S341" s="153"/>
      <c r="T341" s="153"/>
      <c r="U341" s="153"/>
      <c r="V341" s="153"/>
      <c r="W341" s="153"/>
      <c r="X341" s="153"/>
      <c r="Y341" s="153"/>
      <c r="Z341" s="153"/>
      <c r="AA341" s="153"/>
    </row>
    <row r="342" spans="7:27" ht="15" customHeight="1" x14ac:dyDescent="0.25">
      <c r="G342" s="191" t="s">
        <v>217</v>
      </c>
      <c r="H342" s="191" t="s">
        <v>217</v>
      </c>
      <c r="M342" s="153"/>
      <c r="N342" s="153"/>
      <c r="O342" s="153"/>
      <c r="P342" s="153"/>
      <c r="Q342" s="153"/>
      <c r="R342" s="153"/>
      <c r="S342" s="153"/>
      <c r="T342" s="153"/>
      <c r="U342" s="153"/>
      <c r="V342" s="153"/>
      <c r="W342" s="153"/>
      <c r="X342" s="153"/>
      <c r="Y342" s="153"/>
      <c r="Z342" s="153"/>
      <c r="AA342" s="153"/>
    </row>
    <row r="343" spans="7:27" ht="15" customHeight="1" x14ac:dyDescent="0.25">
      <c r="G343" s="191" t="s">
        <v>217</v>
      </c>
      <c r="H343" s="191" t="s">
        <v>217</v>
      </c>
      <c r="M343" s="153"/>
      <c r="N343" s="153"/>
      <c r="O343" s="153"/>
      <c r="P343" s="153"/>
      <c r="Q343" s="153"/>
      <c r="R343" s="153"/>
      <c r="S343" s="153"/>
      <c r="T343" s="153"/>
      <c r="U343" s="153"/>
      <c r="V343" s="153"/>
      <c r="W343" s="153"/>
      <c r="X343" s="153"/>
      <c r="Y343" s="153"/>
      <c r="Z343" s="153"/>
      <c r="AA343" s="153"/>
    </row>
    <row r="344" spans="7:27" ht="15" customHeight="1" x14ac:dyDescent="0.25">
      <c r="G344" s="191" t="s">
        <v>217</v>
      </c>
      <c r="H344" s="191" t="s">
        <v>217</v>
      </c>
      <c r="M344" s="153"/>
      <c r="N344" s="153"/>
      <c r="O344" s="153"/>
      <c r="P344" s="153"/>
      <c r="Q344" s="153"/>
      <c r="R344" s="153"/>
      <c r="S344" s="153"/>
      <c r="T344" s="153"/>
      <c r="U344" s="153"/>
      <c r="V344" s="153"/>
      <c r="W344" s="153"/>
      <c r="X344" s="153"/>
      <c r="Y344" s="153"/>
      <c r="Z344" s="153"/>
      <c r="AA344" s="153"/>
    </row>
    <row r="345" spans="7:27" ht="15" customHeight="1" x14ac:dyDescent="0.25">
      <c r="G345" s="191" t="s">
        <v>217</v>
      </c>
      <c r="H345" s="191" t="s">
        <v>217</v>
      </c>
      <c r="M345" s="153"/>
      <c r="N345" s="153"/>
      <c r="O345" s="153"/>
      <c r="P345" s="153"/>
      <c r="Q345" s="153"/>
      <c r="R345" s="153"/>
      <c r="S345" s="153"/>
      <c r="T345" s="153"/>
      <c r="U345" s="153"/>
      <c r="V345" s="153"/>
      <c r="W345" s="153"/>
      <c r="X345" s="153"/>
      <c r="Y345" s="153"/>
      <c r="Z345" s="153"/>
      <c r="AA345" s="153"/>
    </row>
    <row r="346" spans="7:27" ht="15" customHeight="1" x14ac:dyDescent="0.25">
      <c r="G346" s="191" t="s">
        <v>217</v>
      </c>
      <c r="H346" s="191" t="s">
        <v>217</v>
      </c>
      <c r="M346" s="153"/>
      <c r="N346" s="153"/>
      <c r="O346" s="153"/>
      <c r="P346" s="153"/>
      <c r="Q346" s="153"/>
      <c r="R346" s="153"/>
      <c r="S346" s="153"/>
      <c r="T346" s="153"/>
      <c r="U346" s="153"/>
      <c r="V346" s="153"/>
      <c r="W346" s="153"/>
      <c r="X346" s="153"/>
      <c r="Y346" s="153"/>
      <c r="Z346" s="153"/>
      <c r="AA346" s="153"/>
    </row>
    <row r="347" spans="7:27" ht="15" customHeight="1" x14ac:dyDescent="0.25">
      <c r="G347" s="191" t="s">
        <v>217</v>
      </c>
      <c r="H347" s="191" t="s">
        <v>217</v>
      </c>
      <c r="M347" s="153"/>
      <c r="N347" s="153"/>
      <c r="O347" s="153"/>
      <c r="P347" s="153"/>
      <c r="Q347" s="153"/>
      <c r="R347" s="153"/>
      <c r="S347" s="153"/>
      <c r="T347" s="153"/>
      <c r="U347" s="153"/>
      <c r="V347" s="153"/>
      <c r="W347" s="153"/>
      <c r="X347" s="153"/>
      <c r="Y347" s="153"/>
      <c r="Z347" s="153"/>
      <c r="AA347" s="153"/>
    </row>
    <row r="348" spans="7:27" ht="15" customHeight="1" x14ac:dyDescent="0.25">
      <c r="G348" s="191" t="s">
        <v>217</v>
      </c>
      <c r="H348" s="191" t="s">
        <v>217</v>
      </c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</row>
    <row r="349" spans="7:27" ht="15" customHeight="1" x14ac:dyDescent="0.25">
      <c r="G349" s="191" t="s">
        <v>217</v>
      </c>
      <c r="H349" s="191" t="s">
        <v>217</v>
      </c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</row>
    <row r="350" spans="7:27" ht="15" customHeight="1" x14ac:dyDescent="0.25">
      <c r="G350" s="191" t="s">
        <v>217</v>
      </c>
      <c r="H350" s="191" t="s">
        <v>217</v>
      </c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</row>
    <row r="351" spans="7:27" ht="15" customHeight="1" x14ac:dyDescent="0.25">
      <c r="G351" s="191" t="s">
        <v>217</v>
      </c>
      <c r="H351" s="191" t="s">
        <v>217</v>
      </c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</row>
    <row r="352" spans="7:27" ht="15" customHeight="1" x14ac:dyDescent="0.25">
      <c r="G352" s="191" t="s">
        <v>217</v>
      </c>
      <c r="H352" s="191" t="s">
        <v>217</v>
      </c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</row>
    <row r="353" spans="7:27" ht="15" customHeight="1" x14ac:dyDescent="0.25">
      <c r="G353" s="191" t="s">
        <v>217</v>
      </c>
      <c r="H353" s="191" t="s">
        <v>217</v>
      </c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</row>
    <row r="354" spans="7:27" ht="15" customHeight="1" x14ac:dyDescent="0.25"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</row>
    <row r="355" spans="7:27" ht="15" customHeight="1" x14ac:dyDescent="0.25"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</row>
    <row r="356" spans="7:27" ht="15" customHeight="1" x14ac:dyDescent="0.25"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</row>
    <row r="357" spans="7:27" ht="15" customHeight="1" x14ac:dyDescent="0.25">
      <c r="M357" s="153"/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  <c r="Z357" s="153"/>
      <c r="AA357" s="153"/>
    </row>
    <row r="358" spans="7:27" ht="15" customHeight="1" x14ac:dyDescent="0.25">
      <c r="M358" s="153"/>
      <c r="N358" s="153"/>
      <c r="O358" s="153"/>
      <c r="P358" s="153"/>
      <c r="Q358" s="153"/>
      <c r="R358" s="153"/>
      <c r="S358" s="153"/>
      <c r="T358" s="153"/>
      <c r="U358" s="153"/>
      <c r="V358" s="153"/>
      <c r="W358" s="153"/>
      <c r="X358" s="153"/>
      <c r="Y358" s="153"/>
      <c r="Z358" s="153"/>
      <c r="AA358" s="153"/>
    </row>
    <row r="359" spans="7:27" ht="15" customHeight="1" x14ac:dyDescent="0.25"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  <c r="AA359" s="153"/>
    </row>
    <row r="360" spans="7:27" ht="15" customHeight="1" x14ac:dyDescent="0.25">
      <c r="M360" s="153"/>
      <c r="N360" s="153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  <c r="Z360" s="153"/>
      <c r="AA360" s="153"/>
    </row>
    <row r="361" spans="7:27" ht="15" customHeight="1" x14ac:dyDescent="0.25"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  <c r="AA361" s="153"/>
    </row>
    <row r="362" spans="7:27" ht="15" customHeight="1" x14ac:dyDescent="0.25">
      <c r="M362" s="153"/>
      <c r="N362" s="153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  <c r="Z362" s="153"/>
      <c r="AA362" s="153"/>
    </row>
    <row r="363" spans="7:27" ht="15" customHeight="1" x14ac:dyDescent="0.25"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  <c r="AA363" s="153"/>
    </row>
    <row r="364" spans="7:27" ht="15" customHeight="1" x14ac:dyDescent="0.25"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  <c r="AA364" s="153"/>
    </row>
    <row r="365" spans="7:27" ht="15" customHeight="1" x14ac:dyDescent="0.25">
      <c r="M365" s="153"/>
      <c r="N365" s="153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  <c r="AA365" s="153"/>
    </row>
    <row r="366" spans="7:27" ht="15" customHeight="1" x14ac:dyDescent="0.25"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</row>
    <row r="367" spans="7:27" ht="15" customHeight="1" x14ac:dyDescent="0.25"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</row>
    <row r="368" spans="7:27" ht="15" customHeight="1" x14ac:dyDescent="0.25"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</row>
    <row r="369" spans="13:27" ht="15" customHeight="1" x14ac:dyDescent="0.25"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</row>
    <row r="370" spans="13:27" ht="15" customHeight="1" x14ac:dyDescent="0.25"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</row>
    <row r="371" spans="13:27" ht="15" customHeight="1" x14ac:dyDescent="0.25"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153"/>
    </row>
    <row r="372" spans="13:27" ht="15" customHeight="1" x14ac:dyDescent="0.25"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153"/>
    </row>
    <row r="373" spans="13:27" ht="15" customHeight="1" x14ac:dyDescent="0.25"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153"/>
    </row>
    <row r="374" spans="13:27" ht="15" customHeight="1" x14ac:dyDescent="0.25"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</row>
    <row r="375" spans="13:27" ht="15" customHeight="1" x14ac:dyDescent="0.25">
      <c r="M375" s="153"/>
      <c r="N375" s="153"/>
      <c r="O375" s="153"/>
      <c r="P375" s="153"/>
      <c r="Q375" s="153"/>
      <c r="R375" s="153"/>
      <c r="S375" s="153"/>
      <c r="T375" s="153"/>
      <c r="U375" s="153"/>
      <c r="V375" s="153"/>
      <c r="W375" s="153"/>
      <c r="X375" s="153"/>
      <c r="Y375" s="153"/>
      <c r="Z375" s="153"/>
      <c r="AA375" s="153"/>
    </row>
    <row r="376" spans="13:27" ht="15" customHeight="1" x14ac:dyDescent="0.25">
      <c r="M376" s="153"/>
      <c r="N376" s="153"/>
      <c r="O376" s="153"/>
      <c r="P376" s="153"/>
      <c r="Q376" s="153"/>
      <c r="R376" s="153"/>
      <c r="S376" s="153"/>
      <c r="T376" s="153"/>
      <c r="U376" s="153"/>
      <c r="V376" s="153"/>
      <c r="W376" s="153"/>
      <c r="X376" s="153"/>
      <c r="Y376" s="153"/>
      <c r="Z376" s="153"/>
      <c r="AA376" s="153"/>
    </row>
    <row r="377" spans="13:27" ht="15" customHeight="1" x14ac:dyDescent="0.25">
      <c r="M377" s="153"/>
      <c r="N377" s="153"/>
      <c r="O377" s="153"/>
      <c r="P377" s="153"/>
      <c r="Q377" s="153"/>
      <c r="R377" s="153"/>
      <c r="S377" s="153"/>
      <c r="T377" s="153"/>
      <c r="U377" s="153"/>
      <c r="V377" s="153"/>
      <c r="W377" s="153"/>
      <c r="X377" s="153"/>
      <c r="Y377" s="153"/>
      <c r="Z377" s="153"/>
      <c r="AA377" s="153"/>
    </row>
    <row r="378" spans="13:27" ht="15" customHeight="1" x14ac:dyDescent="0.25">
      <c r="M378" s="153"/>
      <c r="N378" s="153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  <c r="AA378" s="153"/>
    </row>
    <row r="379" spans="13:27" ht="15" customHeight="1" x14ac:dyDescent="0.25">
      <c r="M379" s="153"/>
      <c r="N379" s="153"/>
      <c r="O379" s="153"/>
      <c r="P379" s="153"/>
      <c r="Q379" s="153"/>
      <c r="R379" s="153"/>
      <c r="S379" s="153"/>
      <c r="T379" s="153"/>
      <c r="U379" s="153"/>
      <c r="V379" s="153"/>
      <c r="W379" s="153"/>
      <c r="X379" s="153"/>
      <c r="Y379" s="153"/>
      <c r="Z379" s="153"/>
      <c r="AA379" s="153"/>
    </row>
    <row r="380" spans="13:27" ht="15" customHeight="1" x14ac:dyDescent="0.25">
      <c r="M380" s="153"/>
      <c r="N380" s="153"/>
      <c r="O380" s="153"/>
      <c r="P380" s="153"/>
      <c r="Q380" s="153"/>
      <c r="R380" s="153"/>
      <c r="S380" s="153"/>
      <c r="T380" s="153"/>
      <c r="U380" s="153"/>
      <c r="V380" s="153"/>
      <c r="W380" s="153"/>
      <c r="X380" s="153"/>
      <c r="Y380" s="153"/>
      <c r="Z380" s="153"/>
      <c r="AA380" s="153"/>
    </row>
    <row r="381" spans="13:27" ht="15" customHeight="1" x14ac:dyDescent="0.25">
      <c r="M381" s="153"/>
      <c r="N381" s="153"/>
      <c r="O381" s="153"/>
      <c r="P381" s="153"/>
      <c r="Q381" s="153"/>
      <c r="R381" s="153"/>
      <c r="S381" s="153"/>
      <c r="T381" s="153"/>
      <c r="U381" s="153"/>
      <c r="V381" s="153"/>
      <c r="W381" s="153"/>
      <c r="X381" s="153"/>
      <c r="Y381" s="153"/>
      <c r="Z381" s="153"/>
      <c r="AA381" s="153"/>
    </row>
    <row r="382" spans="13:27" ht="15" customHeight="1" x14ac:dyDescent="0.25">
      <c r="M382" s="153"/>
      <c r="N382" s="153"/>
      <c r="O382" s="153"/>
      <c r="P382" s="153"/>
      <c r="Q382" s="153"/>
      <c r="R382" s="153"/>
      <c r="S382" s="153"/>
      <c r="T382" s="153"/>
      <c r="U382" s="153"/>
      <c r="V382" s="153"/>
      <c r="W382" s="153"/>
      <c r="X382" s="153"/>
      <c r="Y382" s="153"/>
      <c r="Z382" s="153"/>
      <c r="AA382" s="153"/>
    </row>
    <row r="383" spans="13:27" ht="15" customHeight="1" x14ac:dyDescent="0.25">
      <c r="M383" s="153"/>
      <c r="N383" s="153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  <c r="AA383" s="153"/>
    </row>
    <row r="384" spans="13:27" ht="15" customHeight="1" x14ac:dyDescent="0.25"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153"/>
    </row>
    <row r="385" spans="13:27" ht="15" customHeight="1" x14ac:dyDescent="0.25"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  <c r="AA385" s="153"/>
    </row>
    <row r="386" spans="13:27" ht="15" customHeight="1" x14ac:dyDescent="0.25"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  <c r="AA386" s="153"/>
    </row>
    <row r="387" spans="13:27" ht="15" customHeight="1" x14ac:dyDescent="0.25"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  <c r="AA387" s="153"/>
    </row>
    <row r="388" spans="13:27" ht="15" customHeight="1" x14ac:dyDescent="0.25"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</row>
    <row r="389" spans="13:27" ht="15" customHeight="1" x14ac:dyDescent="0.25"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</row>
    <row r="390" spans="13:27" ht="15" customHeight="1" x14ac:dyDescent="0.25"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</row>
    <row r="391" spans="13:27" ht="15" customHeight="1" x14ac:dyDescent="0.25"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</row>
    <row r="392" spans="13:27" ht="15" customHeight="1" x14ac:dyDescent="0.25"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</row>
    <row r="393" spans="13:27" ht="15" customHeight="1" x14ac:dyDescent="0.25"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  <c r="AA393" s="153"/>
    </row>
    <row r="394" spans="13:27" ht="15" customHeight="1" x14ac:dyDescent="0.25"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  <c r="AA394" s="153"/>
    </row>
    <row r="395" spans="13:27" ht="15" customHeight="1" x14ac:dyDescent="0.25"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  <c r="AA395" s="153"/>
    </row>
    <row r="396" spans="13:27" ht="15" customHeight="1" x14ac:dyDescent="0.25"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  <c r="AA396" s="153"/>
    </row>
    <row r="397" spans="13:27" ht="15" customHeight="1" x14ac:dyDescent="0.25">
      <c r="M397" s="153"/>
      <c r="N397" s="153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  <c r="AA397" s="153"/>
    </row>
    <row r="398" spans="13:27" ht="15" customHeight="1" x14ac:dyDescent="0.25">
      <c r="M398" s="153"/>
      <c r="N398" s="153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  <c r="AA398" s="153"/>
    </row>
    <row r="399" spans="13:27" ht="15" customHeight="1" x14ac:dyDescent="0.25">
      <c r="M399" s="153"/>
      <c r="N399" s="153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  <c r="AA399" s="153"/>
    </row>
    <row r="400" spans="13:27" ht="15" customHeight="1" x14ac:dyDescent="0.25">
      <c r="M400" s="153"/>
      <c r="N400" s="153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  <c r="AA400" s="153"/>
    </row>
    <row r="401" spans="13:27" ht="15" customHeight="1" x14ac:dyDescent="0.25">
      <c r="M401" s="153"/>
      <c r="N401" s="153"/>
      <c r="O401" s="153"/>
      <c r="P401" s="153"/>
      <c r="Q401" s="153"/>
      <c r="R401" s="153"/>
      <c r="S401" s="153"/>
      <c r="T401" s="153"/>
      <c r="U401" s="153"/>
      <c r="V401" s="153"/>
      <c r="W401" s="153"/>
      <c r="X401" s="153"/>
      <c r="Y401" s="153"/>
      <c r="Z401" s="153"/>
      <c r="AA401" s="153"/>
    </row>
    <row r="402" spans="13:27" ht="15" customHeight="1" x14ac:dyDescent="0.25"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</row>
    <row r="403" spans="13:27" ht="15" customHeight="1" x14ac:dyDescent="0.25"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</row>
    <row r="404" spans="13:27" ht="15" customHeight="1" x14ac:dyDescent="0.25"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</row>
    <row r="405" spans="13:27" ht="15" customHeight="1" x14ac:dyDescent="0.25"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</row>
    <row r="406" spans="13:27" ht="15" customHeight="1" x14ac:dyDescent="0.25"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</row>
    <row r="407" spans="13:27" ht="15" customHeight="1" x14ac:dyDescent="0.25"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</row>
    <row r="408" spans="13:27" ht="15" customHeight="1" x14ac:dyDescent="0.25"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</row>
    <row r="409" spans="13:27" ht="15" customHeight="1" x14ac:dyDescent="0.25"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</row>
    <row r="410" spans="13:27" ht="15" customHeight="1" x14ac:dyDescent="0.25"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</row>
    <row r="411" spans="13:27" ht="15" customHeight="1" x14ac:dyDescent="0.25"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</row>
    <row r="412" spans="13:27" ht="15" customHeight="1" x14ac:dyDescent="0.25">
      <c r="M412" s="153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</row>
    <row r="413" spans="13:27" ht="15" customHeight="1" x14ac:dyDescent="0.25">
      <c r="M413" s="153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</row>
    <row r="414" spans="13:27" ht="15" customHeight="1" x14ac:dyDescent="0.25">
      <c r="M414" s="153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</row>
    <row r="415" spans="13:27" ht="15" customHeight="1" x14ac:dyDescent="0.25">
      <c r="M415" s="153"/>
      <c r="N415" s="153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  <c r="AA415" s="153"/>
    </row>
    <row r="416" spans="13:27" ht="15" customHeight="1" x14ac:dyDescent="0.25">
      <c r="M416" s="153"/>
      <c r="N416" s="153"/>
      <c r="O416" s="153"/>
      <c r="P416" s="153"/>
      <c r="Q416" s="153"/>
      <c r="R416" s="153"/>
      <c r="S416" s="153"/>
      <c r="T416" s="153"/>
      <c r="U416" s="153"/>
      <c r="V416" s="153"/>
      <c r="W416" s="153"/>
      <c r="X416" s="153"/>
      <c r="Y416" s="153"/>
      <c r="Z416" s="153"/>
      <c r="AA416" s="153"/>
    </row>
    <row r="417" spans="13:27" ht="15" customHeight="1" x14ac:dyDescent="0.25">
      <c r="M417" s="153"/>
      <c r="N417" s="153"/>
      <c r="O417" s="153"/>
      <c r="P417" s="153"/>
      <c r="Q417" s="153"/>
      <c r="R417" s="153"/>
      <c r="S417" s="153"/>
      <c r="T417" s="153"/>
      <c r="U417" s="153"/>
      <c r="V417" s="153"/>
      <c r="W417" s="153"/>
      <c r="X417" s="153"/>
      <c r="Y417" s="153"/>
      <c r="Z417" s="153"/>
      <c r="AA417" s="153"/>
    </row>
    <row r="418" spans="13:27" ht="15" customHeight="1" x14ac:dyDescent="0.25">
      <c r="M418" s="153"/>
      <c r="N418" s="153"/>
      <c r="O418" s="153"/>
      <c r="P418" s="153"/>
      <c r="Q418" s="153"/>
      <c r="R418" s="153"/>
      <c r="S418" s="153"/>
      <c r="T418" s="153"/>
      <c r="U418" s="153"/>
      <c r="V418" s="153"/>
      <c r="W418" s="153"/>
      <c r="X418" s="153"/>
      <c r="Y418" s="153"/>
      <c r="Z418" s="153"/>
      <c r="AA418" s="153"/>
    </row>
    <row r="419" spans="13:27" ht="15" customHeight="1" x14ac:dyDescent="0.25">
      <c r="M419" s="153"/>
      <c r="N419" s="153"/>
      <c r="O419" s="153"/>
      <c r="P419" s="153"/>
      <c r="Q419" s="153"/>
      <c r="R419" s="153"/>
      <c r="S419" s="153"/>
      <c r="T419" s="153"/>
      <c r="U419" s="153"/>
      <c r="V419" s="153"/>
      <c r="W419" s="153"/>
      <c r="X419" s="153"/>
      <c r="Y419" s="153"/>
      <c r="Z419" s="153"/>
      <c r="AA419" s="153"/>
    </row>
    <row r="420" spans="13:27" ht="15" customHeight="1" x14ac:dyDescent="0.25"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</row>
    <row r="421" spans="13:27" ht="15" customHeight="1" x14ac:dyDescent="0.25"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</row>
    <row r="422" spans="13:27" ht="15" customHeight="1" x14ac:dyDescent="0.25"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</row>
    <row r="423" spans="13:27" ht="15" customHeight="1" x14ac:dyDescent="0.25"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</row>
    <row r="424" spans="13:27" ht="15" customHeight="1" x14ac:dyDescent="0.25"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</row>
    <row r="425" spans="13:27" ht="15" customHeight="1" x14ac:dyDescent="0.25"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</row>
    <row r="426" spans="13:27" ht="15" customHeight="1" x14ac:dyDescent="0.25"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</row>
    <row r="427" spans="13:27" ht="15" customHeight="1" x14ac:dyDescent="0.25"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</row>
    <row r="428" spans="13:27" ht="15" customHeight="1" x14ac:dyDescent="0.25"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</row>
    <row r="429" spans="13:27" ht="15" customHeight="1" x14ac:dyDescent="0.25">
      <c r="M429" s="153"/>
      <c r="N429" s="153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  <c r="AA429" s="153"/>
    </row>
    <row r="430" spans="13:27" ht="15" customHeight="1" x14ac:dyDescent="0.25"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</row>
    <row r="431" spans="13:27" ht="15" customHeight="1" x14ac:dyDescent="0.25">
      <c r="M431" s="153"/>
      <c r="N431" s="153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  <c r="AA431" s="153"/>
    </row>
    <row r="432" spans="13:27" ht="15" customHeight="1" x14ac:dyDescent="0.25">
      <c r="M432" s="153"/>
      <c r="N432" s="153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  <c r="AA432" s="153"/>
    </row>
    <row r="433" spans="13:27" ht="15" customHeight="1" x14ac:dyDescent="0.25">
      <c r="M433" s="153"/>
      <c r="N433" s="153"/>
      <c r="O433" s="153"/>
      <c r="P433" s="153"/>
      <c r="Q433" s="153"/>
      <c r="R433" s="153"/>
      <c r="S433" s="153"/>
      <c r="T433" s="153"/>
      <c r="U433" s="153"/>
      <c r="V433" s="153"/>
      <c r="W433" s="153"/>
      <c r="X433" s="153"/>
      <c r="Y433" s="153"/>
      <c r="Z433" s="153"/>
      <c r="AA433" s="153"/>
    </row>
    <row r="434" spans="13:27" ht="15" customHeight="1" x14ac:dyDescent="0.25">
      <c r="M434" s="153"/>
      <c r="N434" s="153"/>
      <c r="O434" s="153"/>
      <c r="P434" s="153"/>
      <c r="Q434" s="153"/>
      <c r="R434" s="153"/>
      <c r="S434" s="153"/>
      <c r="T434" s="153"/>
      <c r="U434" s="153"/>
      <c r="V434" s="153"/>
      <c r="W434" s="153"/>
      <c r="X434" s="153"/>
      <c r="Y434" s="153"/>
      <c r="Z434" s="153"/>
      <c r="AA434" s="153"/>
    </row>
    <row r="435" spans="13:27" ht="15" customHeight="1" x14ac:dyDescent="0.25">
      <c r="M435" s="153"/>
      <c r="N435" s="153"/>
      <c r="O435" s="153"/>
      <c r="P435" s="153"/>
      <c r="Q435" s="153"/>
      <c r="R435" s="153"/>
      <c r="S435" s="153"/>
      <c r="T435" s="153"/>
      <c r="U435" s="153"/>
      <c r="V435" s="153"/>
      <c r="W435" s="153"/>
      <c r="X435" s="153"/>
      <c r="Y435" s="153"/>
      <c r="Z435" s="153"/>
      <c r="AA435" s="153"/>
    </row>
    <row r="436" spans="13:27" ht="15" customHeight="1" x14ac:dyDescent="0.25">
      <c r="M436" s="153"/>
      <c r="N436" s="153"/>
      <c r="O436" s="153"/>
      <c r="P436" s="153"/>
      <c r="Q436" s="153"/>
      <c r="R436" s="153"/>
      <c r="S436" s="153"/>
      <c r="T436" s="153"/>
      <c r="U436" s="153"/>
      <c r="V436" s="153"/>
      <c r="W436" s="153"/>
      <c r="X436" s="153"/>
      <c r="Y436" s="153"/>
      <c r="Z436" s="153"/>
      <c r="AA436" s="153"/>
    </row>
    <row r="437" spans="13:27" ht="15" customHeight="1" x14ac:dyDescent="0.25">
      <c r="M437" s="153"/>
      <c r="N437" s="153"/>
      <c r="O437" s="153"/>
      <c r="P437" s="153"/>
      <c r="Q437" s="153"/>
      <c r="R437" s="153"/>
      <c r="S437" s="153"/>
      <c r="T437" s="153"/>
      <c r="U437" s="153"/>
      <c r="V437" s="153"/>
      <c r="W437" s="153"/>
      <c r="X437" s="153"/>
      <c r="Y437" s="153"/>
      <c r="Z437" s="153"/>
      <c r="AA437" s="153"/>
    </row>
    <row r="438" spans="13:27" ht="15" customHeight="1" x14ac:dyDescent="0.25"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</row>
    <row r="439" spans="13:27" ht="15" customHeight="1" x14ac:dyDescent="0.25"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</row>
    <row r="440" spans="13:27" ht="15" customHeight="1" x14ac:dyDescent="0.25"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</row>
    <row r="441" spans="13:27" ht="15" customHeight="1" x14ac:dyDescent="0.25"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</row>
    <row r="442" spans="13:27" ht="15" customHeight="1" x14ac:dyDescent="0.25"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</row>
    <row r="443" spans="13:27" ht="15" customHeight="1" x14ac:dyDescent="0.25"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</row>
    <row r="444" spans="13:27" ht="15" customHeight="1" x14ac:dyDescent="0.25"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</row>
    <row r="445" spans="13:27" ht="15" customHeight="1" x14ac:dyDescent="0.25"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</row>
    <row r="446" spans="13:27" ht="15" customHeight="1" x14ac:dyDescent="0.25"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</row>
    <row r="447" spans="13:27" ht="15" customHeight="1" x14ac:dyDescent="0.25">
      <c r="M447" s="153"/>
      <c r="N447" s="153"/>
      <c r="O447" s="153"/>
      <c r="P447" s="153"/>
      <c r="Q447" s="153"/>
      <c r="R447" s="153"/>
      <c r="S447" s="153"/>
      <c r="T447" s="153"/>
      <c r="U447" s="153"/>
      <c r="V447" s="153"/>
      <c r="W447" s="153"/>
      <c r="X447" s="153"/>
      <c r="Y447" s="153"/>
      <c r="Z447" s="153"/>
      <c r="AA447" s="153"/>
    </row>
    <row r="448" spans="13:27" ht="15" customHeight="1" x14ac:dyDescent="0.25">
      <c r="M448" s="153"/>
      <c r="N448" s="153"/>
      <c r="O448" s="153"/>
      <c r="P448" s="153"/>
      <c r="Q448" s="153"/>
      <c r="R448" s="153"/>
      <c r="S448" s="153"/>
      <c r="T448" s="153"/>
      <c r="U448" s="153"/>
      <c r="V448" s="153"/>
      <c r="W448" s="153"/>
      <c r="X448" s="153"/>
      <c r="Y448" s="153"/>
      <c r="Z448" s="153"/>
      <c r="AA448" s="153"/>
    </row>
    <row r="449" spans="13:27" ht="15" customHeight="1" x14ac:dyDescent="0.25">
      <c r="M449" s="153"/>
      <c r="N449" s="153"/>
      <c r="O449" s="153"/>
      <c r="P449" s="153"/>
      <c r="Q449" s="153"/>
      <c r="R449" s="153"/>
      <c r="S449" s="153"/>
      <c r="T449" s="153"/>
      <c r="U449" s="153"/>
      <c r="V449" s="153"/>
      <c r="W449" s="153"/>
      <c r="X449" s="153"/>
      <c r="Y449" s="153"/>
      <c r="Z449" s="153"/>
      <c r="AA449" s="153"/>
    </row>
    <row r="450" spans="13:27" ht="15" customHeight="1" x14ac:dyDescent="0.25">
      <c r="M450" s="153"/>
      <c r="N450" s="153"/>
      <c r="O450" s="153"/>
      <c r="P450" s="153"/>
      <c r="Q450" s="153"/>
      <c r="R450" s="153"/>
      <c r="S450" s="153"/>
      <c r="T450" s="153"/>
      <c r="U450" s="153"/>
      <c r="V450" s="153"/>
      <c r="W450" s="153"/>
      <c r="X450" s="153"/>
      <c r="Y450" s="153"/>
      <c r="Z450" s="153"/>
      <c r="AA450" s="153"/>
    </row>
    <row r="451" spans="13:27" ht="15" customHeight="1" x14ac:dyDescent="0.25">
      <c r="M451" s="153"/>
      <c r="N451" s="153"/>
      <c r="O451" s="153"/>
      <c r="P451" s="153"/>
      <c r="Q451" s="153"/>
      <c r="R451" s="153"/>
      <c r="S451" s="153"/>
      <c r="T451" s="153"/>
      <c r="U451" s="153"/>
      <c r="V451" s="153"/>
      <c r="W451" s="153"/>
      <c r="X451" s="153"/>
      <c r="Y451" s="153"/>
      <c r="Z451" s="153"/>
      <c r="AA451" s="153"/>
    </row>
    <row r="452" spans="13:27" ht="15" customHeight="1" x14ac:dyDescent="0.25">
      <c r="M452" s="153"/>
      <c r="N452" s="153"/>
      <c r="O452" s="153"/>
      <c r="P452" s="153"/>
      <c r="Q452" s="153"/>
      <c r="R452" s="153"/>
      <c r="S452" s="153"/>
      <c r="T452" s="153"/>
      <c r="U452" s="153"/>
      <c r="V452" s="153"/>
      <c r="W452" s="153"/>
      <c r="X452" s="153"/>
      <c r="Y452" s="153"/>
      <c r="Z452" s="153"/>
      <c r="AA452" s="153"/>
    </row>
    <row r="453" spans="13:27" ht="15" customHeight="1" x14ac:dyDescent="0.25">
      <c r="M453" s="153"/>
      <c r="N453" s="153"/>
      <c r="O453" s="153"/>
      <c r="P453" s="153"/>
      <c r="Q453" s="153"/>
      <c r="R453" s="153"/>
      <c r="S453" s="153"/>
      <c r="T453" s="153"/>
      <c r="U453" s="153"/>
      <c r="V453" s="153"/>
      <c r="W453" s="153"/>
      <c r="X453" s="153"/>
      <c r="Y453" s="153"/>
      <c r="Z453" s="153"/>
      <c r="AA453" s="153"/>
    </row>
    <row r="454" spans="13:27" ht="15" customHeight="1" x14ac:dyDescent="0.25">
      <c r="M454" s="153"/>
      <c r="N454" s="153"/>
      <c r="O454" s="153"/>
      <c r="P454" s="153"/>
      <c r="Q454" s="153"/>
      <c r="R454" s="153"/>
      <c r="S454" s="153"/>
      <c r="T454" s="153"/>
      <c r="U454" s="153"/>
      <c r="V454" s="153"/>
      <c r="W454" s="153"/>
      <c r="X454" s="153"/>
      <c r="Y454" s="153"/>
      <c r="Z454" s="153"/>
      <c r="AA454" s="153"/>
    </row>
    <row r="455" spans="13:27" ht="15" customHeight="1" x14ac:dyDescent="0.25">
      <c r="M455" s="153"/>
      <c r="N455" s="153"/>
      <c r="O455" s="153"/>
      <c r="P455" s="153"/>
      <c r="Q455" s="153"/>
      <c r="R455" s="153"/>
      <c r="S455" s="153"/>
      <c r="T455" s="153"/>
      <c r="U455" s="153"/>
      <c r="V455" s="153"/>
      <c r="W455" s="153"/>
      <c r="X455" s="153"/>
      <c r="Y455" s="153"/>
      <c r="Z455" s="153"/>
      <c r="AA455" s="153"/>
    </row>
    <row r="456" spans="13:27" ht="15" customHeight="1" x14ac:dyDescent="0.25"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</row>
    <row r="457" spans="13:27" ht="15" customHeight="1" x14ac:dyDescent="0.25"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</row>
    <row r="458" spans="13:27" ht="15" customHeight="1" x14ac:dyDescent="0.25"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</row>
    <row r="459" spans="13:27" ht="15" customHeight="1" x14ac:dyDescent="0.25"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</row>
    <row r="460" spans="13:27" ht="15" customHeight="1" x14ac:dyDescent="0.25"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</row>
    <row r="461" spans="13:27" ht="15" customHeight="1" x14ac:dyDescent="0.25"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</row>
    <row r="462" spans="13:27" ht="15" customHeight="1" x14ac:dyDescent="0.25"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</row>
    <row r="463" spans="13:27" ht="15" customHeight="1" x14ac:dyDescent="0.25"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</row>
    <row r="464" spans="13:27" ht="15" customHeight="1" x14ac:dyDescent="0.25"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</row>
    <row r="465" spans="13:27" ht="15" customHeight="1" x14ac:dyDescent="0.25">
      <c r="M465" s="153"/>
      <c r="N465" s="153"/>
      <c r="O465" s="153"/>
      <c r="P465" s="153"/>
      <c r="Q465" s="153"/>
      <c r="R465" s="153"/>
      <c r="S465" s="153"/>
      <c r="T465" s="153"/>
      <c r="U465" s="153"/>
      <c r="V465" s="153"/>
      <c r="W465" s="153"/>
      <c r="X465" s="153"/>
      <c r="Y465" s="153"/>
      <c r="Z465" s="153"/>
      <c r="AA465" s="153"/>
    </row>
    <row r="466" spans="13:27" ht="15" customHeight="1" x14ac:dyDescent="0.25">
      <c r="M466" s="153"/>
      <c r="N466" s="153"/>
      <c r="O466" s="153"/>
      <c r="P466" s="153"/>
      <c r="Q466" s="153"/>
      <c r="R466" s="153"/>
      <c r="S466" s="153"/>
      <c r="T466" s="153"/>
      <c r="U466" s="153"/>
      <c r="V466" s="153"/>
      <c r="W466" s="153"/>
      <c r="X466" s="153"/>
      <c r="Y466" s="153"/>
      <c r="Z466" s="153"/>
      <c r="AA466" s="153"/>
    </row>
    <row r="467" spans="13:27" ht="15" customHeight="1" x14ac:dyDescent="0.25">
      <c r="M467" s="153"/>
      <c r="N467" s="153"/>
      <c r="O467" s="153"/>
      <c r="P467" s="153"/>
      <c r="Q467" s="153"/>
      <c r="R467" s="153"/>
      <c r="S467" s="153"/>
      <c r="T467" s="153"/>
      <c r="U467" s="153"/>
      <c r="V467" s="153"/>
      <c r="W467" s="153"/>
      <c r="X467" s="153"/>
      <c r="Y467" s="153"/>
      <c r="Z467" s="153"/>
      <c r="AA467" s="153"/>
    </row>
    <row r="468" spans="13:27" ht="15" customHeight="1" x14ac:dyDescent="0.25">
      <c r="M468" s="153"/>
      <c r="N468" s="153"/>
      <c r="O468" s="153"/>
      <c r="P468" s="153"/>
      <c r="Q468" s="153"/>
      <c r="R468" s="153"/>
      <c r="S468" s="153"/>
      <c r="T468" s="153"/>
      <c r="U468" s="153"/>
      <c r="V468" s="153"/>
      <c r="W468" s="153"/>
      <c r="X468" s="153"/>
      <c r="Y468" s="153"/>
      <c r="Z468" s="153"/>
      <c r="AA468" s="153"/>
    </row>
    <row r="469" spans="13:27" ht="15" customHeight="1" x14ac:dyDescent="0.25">
      <c r="M469" s="153"/>
      <c r="N469" s="153"/>
      <c r="O469" s="153"/>
      <c r="P469" s="153"/>
      <c r="Q469" s="153"/>
      <c r="R469" s="153"/>
      <c r="S469" s="153"/>
      <c r="T469" s="153"/>
      <c r="U469" s="153"/>
      <c r="V469" s="153"/>
      <c r="W469" s="153"/>
      <c r="X469" s="153"/>
      <c r="Y469" s="153"/>
      <c r="Z469" s="153"/>
      <c r="AA469" s="153"/>
    </row>
    <row r="470" spans="13:27" ht="15" customHeight="1" x14ac:dyDescent="0.25">
      <c r="M470" s="153"/>
      <c r="N470" s="153"/>
      <c r="O470" s="153"/>
      <c r="P470" s="153"/>
      <c r="Q470" s="153"/>
      <c r="R470" s="153"/>
      <c r="S470" s="153"/>
      <c r="T470" s="153"/>
      <c r="U470" s="153"/>
      <c r="V470" s="153"/>
      <c r="W470" s="153"/>
      <c r="X470" s="153"/>
      <c r="Y470" s="153"/>
      <c r="Z470" s="153"/>
      <c r="AA470" s="153"/>
    </row>
    <row r="471" spans="13:27" ht="15" customHeight="1" x14ac:dyDescent="0.25">
      <c r="M471" s="153"/>
      <c r="N471" s="153"/>
      <c r="O471" s="153"/>
      <c r="P471" s="153"/>
      <c r="Q471" s="153"/>
      <c r="R471" s="153"/>
      <c r="S471" s="153"/>
      <c r="T471" s="153"/>
      <c r="U471" s="153"/>
      <c r="V471" s="153"/>
      <c r="W471" s="153"/>
      <c r="X471" s="153"/>
      <c r="Y471" s="153"/>
      <c r="Z471" s="153"/>
      <c r="AA471" s="153"/>
    </row>
    <row r="472" spans="13:27" ht="15" customHeight="1" x14ac:dyDescent="0.25">
      <c r="M472" s="153"/>
      <c r="N472" s="153"/>
      <c r="O472" s="153"/>
      <c r="P472" s="153"/>
      <c r="Q472" s="153"/>
      <c r="R472" s="153"/>
      <c r="S472" s="153"/>
      <c r="T472" s="153"/>
      <c r="U472" s="153"/>
      <c r="V472" s="153"/>
      <c r="W472" s="153"/>
      <c r="X472" s="153"/>
      <c r="Y472" s="153"/>
      <c r="Z472" s="153"/>
      <c r="AA472" s="153"/>
    </row>
    <row r="473" spans="13:27" ht="15" customHeight="1" x14ac:dyDescent="0.25">
      <c r="M473" s="153"/>
      <c r="N473" s="153"/>
      <c r="O473" s="153"/>
      <c r="P473" s="153"/>
      <c r="Q473" s="153"/>
      <c r="R473" s="153"/>
      <c r="S473" s="153"/>
      <c r="T473" s="153"/>
      <c r="U473" s="153"/>
      <c r="V473" s="153"/>
      <c r="W473" s="153"/>
      <c r="X473" s="153"/>
      <c r="Y473" s="153"/>
      <c r="Z473" s="153"/>
      <c r="AA473" s="153"/>
    </row>
    <row r="474" spans="13:27" ht="15" customHeight="1" x14ac:dyDescent="0.25"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153"/>
    </row>
    <row r="475" spans="13:27" ht="15" customHeight="1" x14ac:dyDescent="0.25"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</row>
    <row r="476" spans="13:27" ht="15" customHeight="1" x14ac:dyDescent="0.25"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153"/>
    </row>
    <row r="477" spans="13:27" ht="15" customHeight="1" x14ac:dyDescent="0.25"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153"/>
    </row>
    <row r="478" spans="13:27" ht="15" customHeight="1" x14ac:dyDescent="0.25"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</row>
    <row r="479" spans="13:27" ht="15" customHeight="1" x14ac:dyDescent="0.25"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</row>
    <row r="480" spans="13:27" ht="15" customHeight="1" x14ac:dyDescent="0.25"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</row>
    <row r="481" spans="13:27" ht="15" customHeight="1" x14ac:dyDescent="0.25"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</row>
    <row r="482" spans="13:27" ht="15" customHeight="1" x14ac:dyDescent="0.25"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</row>
    <row r="483" spans="13:27" ht="15" customHeight="1" x14ac:dyDescent="0.25">
      <c r="M483" s="153"/>
      <c r="N483" s="153"/>
      <c r="O483" s="153"/>
      <c r="P483" s="153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  <c r="AA483" s="153"/>
    </row>
    <row r="484" spans="13:27" ht="15" customHeight="1" x14ac:dyDescent="0.25">
      <c r="M484" s="153"/>
      <c r="N484" s="153"/>
      <c r="O484" s="153"/>
      <c r="P484" s="153"/>
      <c r="Q484" s="153"/>
      <c r="R484" s="153"/>
      <c r="S484" s="153"/>
      <c r="T484" s="153"/>
      <c r="U484" s="153"/>
      <c r="V484" s="153"/>
      <c r="W484" s="153"/>
      <c r="X484" s="153"/>
      <c r="Y484" s="153"/>
      <c r="Z484" s="153"/>
      <c r="AA484" s="153"/>
    </row>
    <row r="485" spans="13:27" ht="15" customHeight="1" x14ac:dyDescent="0.25">
      <c r="M485" s="153"/>
      <c r="N485" s="153"/>
      <c r="O485" s="153"/>
      <c r="P485" s="153"/>
      <c r="Q485" s="153"/>
      <c r="R485" s="153"/>
      <c r="S485" s="153"/>
      <c r="T485" s="153"/>
      <c r="U485" s="153"/>
      <c r="V485" s="153"/>
      <c r="W485" s="153"/>
      <c r="X485" s="153"/>
      <c r="Y485" s="153"/>
      <c r="Z485" s="153"/>
      <c r="AA485" s="153"/>
    </row>
    <row r="486" spans="13:27" ht="15" customHeight="1" x14ac:dyDescent="0.25">
      <c r="M486" s="153"/>
      <c r="N486" s="153"/>
      <c r="O486" s="153"/>
      <c r="P486" s="153"/>
      <c r="Q486" s="153"/>
      <c r="R486" s="153"/>
      <c r="S486" s="153"/>
      <c r="T486" s="153"/>
      <c r="U486" s="153"/>
      <c r="V486" s="153"/>
      <c r="W486" s="153"/>
      <c r="X486" s="153"/>
      <c r="Y486" s="153"/>
      <c r="Z486" s="153"/>
      <c r="AA486" s="153"/>
    </row>
    <row r="487" spans="13:27" ht="15" customHeight="1" x14ac:dyDescent="0.25">
      <c r="M487" s="153"/>
      <c r="N487" s="153"/>
      <c r="O487" s="153"/>
      <c r="P487" s="153"/>
      <c r="Q487" s="153"/>
      <c r="R487" s="153"/>
      <c r="S487" s="153"/>
      <c r="T487" s="153"/>
      <c r="U487" s="153"/>
      <c r="V487" s="153"/>
      <c r="W487" s="153"/>
      <c r="X487" s="153"/>
      <c r="Y487" s="153"/>
      <c r="Z487" s="153"/>
      <c r="AA487" s="153"/>
    </row>
    <row r="488" spans="13:27" ht="15" customHeight="1" x14ac:dyDescent="0.25">
      <c r="M488" s="153"/>
      <c r="N488" s="153"/>
      <c r="O488" s="153"/>
      <c r="P488" s="153"/>
      <c r="Q488" s="153"/>
      <c r="R488" s="153"/>
      <c r="S488" s="153"/>
      <c r="T488" s="153"/>
      <c r="U488" s="153"/>
      <c r="V488" s="153"/>
      <c r="W488" s="153"/>
      <c r="X488" s="153"/>
      <c r="Y488" s="153"/>
      <c r="Z488" s="153"/>
      <c r="AA488" s="153"/>
    </row>
    <row r="489" spans="13:27" ht="15" customHeight="1" x14ac:dyDescent="0.25">
      <c r="M489" s="153"/>
      <c r="N489" s="153"/>
      <c r="O489" s="153"/>
      <c r="P489" s="153"/>
      <c r="Q489" s="153"/>
      <c r="R489" s="153"/>
      <c r="S489" s="153"/>
      <c r="T489" s="153"/>
      <c r="U489" s="153"/>
      <c r="V489" s="153"/>
      <c r="W489" s="153"/>
      <c r="X489" s="153"/>
      <c r="Y489" s="153"/>
      <c r="Z489" s="153"/>
      <c r="AA489" s="153"/>
    </row>
    <row r="490" spans="13:27" ht="15" customHeight="1" x14ac:dyDescent="0.25">
      <c r="M490" s="153"/>
      <c r="N490" s="153"/>
      <c r="O490" s="153"/>
      <c r="P490" s="153"/>
      <c r="Q490" s="153"/>
      <c r="R490" s="153"/>
      <c r="S490" s="153"/>
      <c r="T490" s="153"/>
      <c r="U490" s="153"/>
      <c r="V490" s="153"/>
      <c r="W490" s="153"/>
      <c r="X490" s="153"/>
      <c r="Y490" s="153"/>
      <c r="Z490" s="153"/>
      <c r="AA490" s="153"/>
    </row>
    <row r="491" spans="13:27" ht="15" customHeight="1" x14ac:dyDescent="0.25">
      <c r="M491" s="153"/>
      <c r="N491" s="153"/>
      <c r="O491" s="153"/>
      <c r="P491" s="153"/>
      <c r="Q491" s="153"/>
      <c r="R491" s="153"/>
      <c r="S491" s="153"/>
      <c r="T491" s="153"/>
      <c r="U491" s="153"/>
      <c r="V491" s="153"/>
      <c r="W491" s="153"/>
      <c r="X491" s="153"/>
      <c r="Y491" s="153"/>
      <c r="Z491" s="153"/>
      <c r="AA491" s="153"/>
    </row>
    <row r="492" spans="13:27" ht="15" customHeight="1" x14ac:dyDescent="0.25"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  <c r="AA492" s="153"/>
    </row>
    <row r="493" spans="13:27" ht="15" customHeight="1" x14ac:dyDescent="0.25"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  <c r="Z493" s="153"/>
      <c r="AA493" s="153"/>
    </row>
    <row r="494" spans="13:27" ht="15" customHeight="1" x14ac:dyDescent="0.25"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  <c r="Z494" s="153"/>
      <c r="AA494" s="153"/>
    </row>
    <row r="495" spans="13:27" ht="15" customHeight="1" x14ac:dyDescent="0.25"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  <c r="Z495" s="153"/>
      <c r="AA495" s="153"/>
    </row>
    <row r="496" spans="13:27" ht="15" customHeight="1" x14ac:dyDescent="0.25"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  <c r="AA496" s="153"/>
    </row>
    <row r="497" spans="13:27" ht="15" customHeight="1" x14ac:dyDescent="0.25"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</row>
    <row r="498" spans="13:27" ht="15" customHeight="1" x14ac:dyDescent="0.25"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</row>
    <row r="499" spans="13:27" ht="15" customHeight="1" x14ac:dyDescent="0.25"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</row>
    <row r="500" spans="13:27" ht="15" customHeight="1" x14ac:dyDescent="0.25"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</row>
    <row r="501" spans="13:27" ht="15" customHeight="1" x14ac:dyDescent="0.25">
      <c r="M501" s="153"/>
      <c r="N501" s="153"/>
      <c r="O501" s="153"/>
      <c r="P501" s="153"/>
      <c r="Q501" s="153"/>
      <c r="R501" s="153"/>
      <c r="S501" s="153"/>
      <c r="T501" s="153"/>
      <c r="U501" s="153"/>
      <c r="V501" s="153"/>
      <c r="W501" s="153"/>
      <c r="X501" s="153"/>
      <c r="Y501" s="153"/>
      <c r="Z501" s="153"/>
      <c r="AA501" s="153"/>
    </row>
    <row r="502" spans="13:27" ht="15" customHeight="1" x14ac:dyDescent="0.25">
      <c r="M502" s="153"/>
      <c r="N502" s="153"/>
      <c r="O502" s="153"/>
      <c r="P502" s="153"/>
      <c r="Q502" s="153"/>
      <c r="R502" s="153"/>
      <c r="S502" s="153"/>
      <c r="T502" s="153"/>
      <c r="U502" s="153"/>
      <c r="V502" s="153"/>
      <c r="W502" s="153"/>
      <c r="X502" s="153"/>
      <c r="Y502" s="153"/>
      <c r="Z502" s="153"/>
      <c r="AA502" s="153"/>
    </row>
    <row r="503" spans="13:27" ht="15" customHeight="1" x14ac:dyDescent="0.25">
      <c r="M503" s="153"/>
      <c r="N503" s="153"/>
      <c r="O503" s="153"/>
      <c r="P503" s="153"/>
      <c r="Q503" s="153"/>
      <c r="R503" s="153"/>
      <c r="S503" s="153"/>
      <c r="T503" s="153"/>
      <c r="U503" s="153"/>
      <c r="V503" s="153"/>
      <c r="W503" s="153"/>
      <c r="X503" s="153"/>
      <c r="Y503" s="153"/>
      <c r="Z503" s="153"/>
      <c r="AA503" s="153"/>
    </row>
    <row r="504" spans="13:27" ht="15" customHeight="1" x14ac:dyDescent="0.25">
      <c r="M504" s="153"/>
      <c r="N504" s="153"/>
      <c r="O504" s="153"/>
      <c r="P504" s="153"/>
      <c r="Q504" s="153"/>
      <c r="R504" s="153"/>
      <c r="S504" s="153"/>
      <c r="T504" s="153"/>
      <c r="U504" s="153"/>
      <c r="V504" s="153"/>
      <c r="W504" s="153"/>
      <c r="X504" s="153"/>
      <c r="Y504" s="153"/>
      <c r="Z504" s="153"/>
      <c r="AA504" s="153"/>
    </row>
    <row r="505" spans="13:27" ht="15" customHeight="1" x14ac:dyDescent="0.25">
      <c r="M505" s="153"/>
      <c r="N505" s="153"/>
      <c r="O505" s="153"/>
      <c r="P505" s="153"/>
      <c r="Q505" s="153"/>
      <c r="R505" s="153"/>
      <c r="S505" s="153"/>
      <c r="T505" s="153"/>
      <c r="U505" s="153"/>
      <c r="V505" s="153"/>
      <c r="W505" s="153"/>
      <c r="X505" s="153"/>
      <c r="Y505" s="153"/>
      <c r="Z505" s="153"/>
      <c r="AA505" s="153"/>
    </row>
    <row r="506" spans="13:27" ht="15" customHeight="1" x14ac:dyDescent="0.25">
      <c r="M506" s="153"/>
      <c r="N506" s="153"/>
      <c r="O506" s="153"/>
      <c r="P506" s="153"/>
      <c r="Q506" s="153"/>
      <c r="R506" s="153"/>
      <c r="S506" s="153"/>
      <c r="T506" s="153"/>
      <c r="U506" s="153"/>
      <c r="V506" s="153"/>
      <c r="W506" s="153"/>
      <c r="X506" s="153"/>
      <c r="Y506" s="153"/>
      <c r="Z506" s="153"/>
      <c r="AA506" s="153"/>
    </row>
    <row r="507" spans="13:27" ht="15" customHeight="1" x14ac:dyDescent="0.25">
      <c r="M507" s="153"/>
      <c r="N507" s="153"/>
      <c r="O507" s="153"/>
      <c r="P507" s="153"/>
      <c r="Q507" s="153"/>
      <c r="R507" s="153"/>
      <c r="S507" s="153"/>
      <c r="T507" s="153"/>
      <c r="U507" s="153"/>
      <c r="V507" s="153"/>
      <c r="W507" s="153"/>
      <c r="X507" s="153"/>
      <c r="Y507" s="153"/>
      <c r="Z507" s="153"/>
      <c r="AA507" s="153"/>
    </row>
    <row r="508" spans="13:27" ht="15" customHeight="1" x14ac:dyDescent="0.25">
      <c r="M508" s="153"/>
      <c r="N508" s="153"/>
      <c r="O508" s="153"/>
      <c r="P508" s="153"/>
      <c r="Q508" s="153"/>
      <c r="R508" s="153"/>
      <c r="S508" s="153"/>
      <c r="T508" s="153"/>
      <c r="U508" s="153"/>
      <c r="V508" s="153"/>
      <c r="W508" s="153"/>
      <c r="X508" s="153"/>
      <c r="Y508" s="153"/>
      <c r="Z508" s="153"/>
      <c r="AA508" s="153"/>
    </row>
    <row r="509" spans="13:27" ht="15" customHeight="1" x14ac:dyDescent="0.25">
      <c r="M509" s="153"/>
      <c r="N509" s="153"/>
      <c r="O509" s="153"/>
      <c r="P509" s="153"/>
      <c r="Q509" s="153"/>
      <c r="R509" s="153"/>
      <c r="S509" s="153"/>
      <c r="T509" s="153"/>
      <c r="U509" s="153"/>
      <c r="V509" s="153"/>
      <c r="W509" s="153"/>
      <c r="X509" s="153"/>
      <c r="Y509" s="153"/>
      <c r="Z509" s="153"/>
      <c r="AA509" s="153"/>
    </row>
    <row r="510" spans="13:27" ht="15" customHeight="1" x14ac:dyDescent="0.25"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</row>
    <row r="511" spans="13:27" ht="15" customHeight="1" x14ac:dyDescent="0.25"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</row>
    <row r="512" spans="13:27" ht="15" customHeight="1" x14ac:dyDescent="0.25"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</row>
    <row r="513" spans="7:27" ht="15" customHeight="1" x14ac:dyDescent="0.25"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</row>
    <row r="514" spans="7:27" ht="15" customHeight="1" x14ac:dyDescent="0.25"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</row>
    <row r="515" spans="7:27" ht="15" customHeight="1" x14ac:dyDescent="0.25">
      <c r="G515" s="194"/>
      <c r="H515" s="194"/>
      <c r="I515" s="194"/>
      <c r="J515" s="194"/>
      <c r="K515" s="194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</row>
    <row r="516" spans="7:27" ht="15" customHeight="1" x14ac:dyDescent="0.25"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</row>
    <row r="517" spans="7:27" ht="15" customHeight="1" x14ac:dyDescent="0.25"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</row>
    <row r="518" spans="7:27" ht="15" customHeight="1" x14ac:dyDescent="0.25"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</row>
    <row r="519" spans="7:27" ht="15" customHeight="1" x14ac:dyDescent="0.25"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  <c r="AA519" s="153"/>
    </row>
    <row r="520" spans="7:27" ht="15" customHeight="1" x14ac:dyDescent="0.25">
      <c r="M520" s="153"/>
      <c r="N520" s="153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  <c r="AA520" s="153"/>
    </row>
    <row r="521" spans="7:27" ht="15" customHeight="1" x14ac:dyDescent="0.25">
      <c r="M521" s="153"/>
      <c r="N521" s="153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3"/>
      <c r="AA521" s="153"/>
    </row>
    <row r="522" spans="7:27" ht="15" customHeight="1" x14ac:dyDescent="0.25">
      <c r="M522" s="153"/>
      <c r="N522" s="153"/>
      <c r="O522" s="153"/>
      <c r="P522" s="15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  <c r="AA522" s="153"/>
    </row>
    <row r="523" spans="7:27" ht="15" customHeight="1" x14ac:dyDescent="0.25">
      <c r="M523" s="153"/>
      <c r="N523" s="153"/>
      <c r="O523" s="153"/>
      <c r="P523" s="153"/>
      <c r="Q523" s="153"/>
      <c r="R523" s="153"/>
      <c r="S523" s="153"/>
      <c r="T523" s="153"/>
      <c r="U523" s="153"/>
      <c r="V523" s="153"/>
      <c r="W523" s="153"/>
      <c r="X523" s="153"/>
      <c r="Y523" s="153"/>
      <c r="Z523" s="153"/>
      <c r="AA523" s="153"/>
    </row>
    <row r="524" spans="7:27" ht="15" customHeight="1" x14ac:dyDescent="0.25">
      <c r="M524" s="153"/>
      <c r="N524" s="153"/>
      <c r="O524" s="153"/>
      <c r="P524" s="153"/>
      <c r="Q524" s="153"/>
      <c r="R524" s="153"/>
      <c r="S524" s="153"/>
      <c r="T524" s="153"/>
      <c r="U524" s="153"/>
      <c r="V524" s="153"/>
      <c r="W524" s="153"/>
      <c r="X524" s="153"/>
      <c r="Y524" s="153"/>
      <c r="Z524" s="153"/>
      <c r="AA524" s="153"/>
    </row>
    <row r="525" spans="7:27" ht="15" customHeight="1" x14ac:dyDescent="0.25">
      <c r="M525" s="153"/>
      <c r="N525" s="153"/>
      <c r="O525" s="153"/>
      <c r="P525" s="153"/>
      <c r="Q525" s="153"/>
      <c r="R525" s="153"/>
      <c r="S525" s="153"/>
      <c r="T525" s="153"/>
      <c r="U525" s="153"/>
      <c r="V525" s="153"/>
      <c r="W525" s="153"/>
      <c r="X525" s="153"/>
      <c r="Y525" s="153"/>
      <c r="Z525" s="153"/>
      <c r="AA525" s="153"/>
    </row>
    <row r="526" spans="7:27" ht="15" customHeight="1" x14ac:dyDescent="0.25">
      <c r="M526" s="153"/>
      <c r="N526" s="153"/>
      <c r="O526" s="153"/>
      <c r="P526" s="153"/>
      <c r="Q526" s="153"/>
      <c r="R526" s="153"/>
      <c r="S526" s="153"/>
      <c r="T526" s="153"/>
      <c r="U526" s="153"/>
      <c r="V526" s="153"/>
      <c r="W526" s="153"/>
      <c r="X526" s="153"/>
      <c r="Y526" s="153"/>
      <c r="Z526" s="153"/>
      <c r="AA526" s="153"/>
    </row>
    <row r="527" spans="7:27" ht="15" customHeight="1" x14ac:dyDescent="0.25">
      <c r="M527" s="153"/>
      <c r="N527" s="153"/>
      <c r="O527" s="153"/>
      <c r="P527" s="153"/>
      <c r="Q527" s="153"/>
      <c r="R527" s="153"/>
      <c r="S527" s="153"/>
      <c r="T527" s="153"/>
      <c r="U527" s="153"/>
      <c r="V527" s="153"/>
      <c r="W527" s="153"/>
      <c r="X527" s="153"/>
      <c r="Y527" s="153"/>
      <c r="Z527" s="153"/>
      <c r="AA527" s="153"/>
    </row>
    <row r="528" spans="7:27" ht="15" customHeight="1" x14ac:dyDescent="0.25"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</row>
    <row r="529" spans="13:27" ht="15" customHeight="1" x14ac:dyDescent="0.25"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</row>
    <row r="530" spans="13:27" ht="15" customHeight="1" x14ac:dyDescent="0.25"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</row>
    <row r="531" spans="13:27" ht="15" customHeight="1" x14ac:dyDescent="0.25"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</row>
    <row r="532" spans="13:27" ht="15" customHeight="1" x14ac:dyDescent="0.25"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</row>
    <row r="533" spans="13:27" ht="15" customHeight="1" x14ac:dyDescent="0.25"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</row>
    <row r="534" spans="13:27" ht="15" customHeight="1" x14ac:dyDescent="0.25"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</row>
    <row r="535" spans="13:27" ht="15" customHeight="1" x14ac:dyDescent="0.25"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</row>
    <row r="536" spans="13:27" ht="15" customHeight="1" x14ac:dyDescent="0.25"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</row>
    <row r="537" spans="13:27" ht="15" customHeight="1" x14ac:dyDescent="0.25">
      <c r="M537" s="153"/>
      <c r="N537" s="153"/>
      <c r="O537" s="153"/>
      <c r="P537" s="153"/>
      <c r="Q537" s="153"/>
      <c r="R537" s="153"/>
      <c r="S537" s="153"/>
      <c r="T537" s="153"/>
      <c r="U537" s="153"/>
      <c r="V537" s="153"/>
      <c r="W537" s="153"/>
      <c r="X537" s="153"/>
      <c r="Y537" s="153"/>
      <c r="Z537" s="153"/>
      <c r="AA537" s="153"/>
    </row>
    <row r="538" spans="13:27" ht="15" customHeight="1" x14ac:dyDescent="0.25">
      <c r="M538" s="153"/>
      <c r="N538" s="153"/>
      <c r="O538" s="153"/>
      <c r="P538" s="153"/>
      <c r="Q538" s="153"/>
      <c r="R538" s="153"/>
      <c r="S538" s="153"/>
      <c r="T538" s="153"/>
      <c r="U538" s="153"/>
      <c r="V538" s="153"/>
      <c r="W538" s="153"/>
      <c r="X538" s="153"/>
      <c r="Y538" s="153"/>
      <c r="Z538" s="153"/>
      <c r="AA538" s="153"/>
    </row>
    <row r="539" spans="13:27" ht="15" customHeight="1" x14ac:dyDescent="0.25">
      <c r="M539" s="153"/>
      <c r="N539" s="153"/>
      <c r="O539" s="153"/>
      <c r="P539" s="153"/>
      <c r="Q539" s="153"/>
      <c r="R539" s="153"/>
      <c r="S539" s="153"/>
      <c r="T539" s="153"/>
      <c r="U539" s="153"/>
      <c r="V539" s="153"/>
      <c r="W539" s="153"/>
      <c r="X539" s="153"/>
      <c r="Y539" s="153"/>
      <c r="Z539" s="153"/>
      <c r="AA539" s="153"/>
    </row>
    <row r="540" spans="13:27" ht="15" customHeight="1" x14ac:dyDescent="0.25">
      <c r="M540" s="153"/>
      <c r="N540" s="153"/>
      <c r="O540" s="153"/>
      <c r="P540" s="153"/>
      <c r="Q540" s="153"/>
      <c r="R540" s="153"/>
      <c r="S540" s="153"/>
      <c r="T540" s="153"/>
      <c r="U540" s="153"/>
      <c r="V540" s="153"/>
      <c r="W540" s="153"/>
      <c r="X540" s="153"/>
      <c r="Y540" s="153"/>
      <c r="Z540" s="153"/>
      <c r="AA540" s="153"/>
    </row>
    <row r="541" spans="13:27" ht="15" customHeight="1" x14ac:dyDescent="0.25">
      <c r="M541" s="153"/>
      <c r="N541" s="153"/>
      <c r="O541" s="153"/>
      <c r="P541" s="153"/>
      <c r="Q541" s="153"/>
      <c r="R541" s="153"/>
      <c r="S541" s="153"/>
      <c r="T541" s="153"/>
      <c r="U541" s="153"/>
      <c r="V541" s="153"/>
      <c r="W541" s="153"/>
      <c r="X541" s="153"/>
      <c r="Y541" s="153"/>
      <c r="Z541" s="153"/>
      <c r="AA541" s="153"/>
    </row>
    <row r="542" spans="13:27" ht="15" customHeight="1" x14ac:dyDescent="0.25">
      <c r="M542" s="153"/>
      <c r="N542" s="153"/>
      <c r="O542" s="153"/>
      <c r="P542" s="153"/>
      <c r="Q542" s="153"/>
      <c r="R542" s="153"/>
      <c r="S542" s="153"/>
      <c r="T542" s="153"/>
      <c r="U542" s="153"/>
      <c r="V542" s="153"/>
      <c r="W542" s="153"/>
      <c r="X542" s="153"/>
      <c r="Y542" s="153"/>
      <c r="Z542" s="153"/>
      <c r="AA542" s="153"/>
    </row>
    <row r="543" spans="13:27" ht="15" customHeight="1" x14ac:dyDescent="0.25">
      <c r="M543" s="153"/>
      <c r="N543" s="153"/>
      <c r="O543" s="153"/>
      <c r="P543" s="153"/>
      <c r="Q543" s="153"/>
      <c r="R543" s="153"/>
      <c r="S543" s="153"/>
      <c r="T543" s="153"/>
      <c r="U543" s="153"/>
      <c r="V543" s="153"/>
      <c r="W543" s="153"/>
      <c r="X543" s="153"/>
      <c r="Y543" s="153"/>
      <c r="Z543" s="153"/>
      <c r="AA543" s="153"/>
    </row>
    <row r="544" spans="13:27" ht="15" customHeight="1" x14ac:dyDescent="0.25">
      <c r="M544" s="153"/>
      <c r="N544" s="153"/>
      <c r="O544" s="153"/>
      <c r="P544" s="153"/>
      <c r="Q544" s="153"/>
      <c r="R544" s="153"/>
      <c r="S544" s="153"/>
      <c r="T544" s="153"/>
      <c r="U544" s="153"/>
      <c r="V544" s="153"/>
      <c r="W544" s="153"/>
      <c r="X544" s="153"/>
      <c r="Y544" s="153"/>
      <c r="Z544" s="153"/>
      <c r="AA544" s="153"/>
    </row>
    <row r="545" spans="13:27" ht="15" customHeight="1" x14ac:dyDescent="0.25">
      <c r="M545" s="153"/>
      <c r="N545" s="153"/>
      <c r="O545" s="153"/>
      <c r="P545" s="153"/>
      <c r="Q545" s="153"/>
      <c r="R545" s="153"/>
      <c r="S545" s="153"/>
      <c r="T545" s="153"/>
      <c r="U545" s="153"/>
      <c r="V545" s="153"/>
      <c r="W545" s="153"/>
      <c r="X545" s="153"/>
      <c r="Y545" s="153"/>
      <c r="Z545" s="153"/>
      <c r="AA545" s="153"/>
    </row>
    <row r="546" spans="13:27" ht="15" customHeight="1" x14ac:dyDescent="0.25"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</row>
    <row r="547" spans="13:27" ht="15" customHeight="1" x14ac:dyDescent="0.25"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</row>
    <row r="548" spans="13:27" ht="15" customHeight="1" x14ac:dyDescent="0.25"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</row>
    <row r="549" spans="13:27" ht="15" customHeight="1" x14ac:dyDescent="0.25"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</row>
    <row r="550" spans="13:27" ht="15" customHeight="1" x14ac:dyDescent="0.25"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</row>
    <row r="551" spans="13:27" ht="15" customHeight="1" x14ac:dyDescent="0.25"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</row>
    <row r="552" spans="13:27" ht="15" customHeight="1" x14ac:dyDescent="0.25"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</row>
    <row r="553" spans="13:27" ht="15" customHeight="1" x14ac:dyDescent="0.25"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</row>
    <row r="554" spans="13:27" ht="15" customHeight="1" x14ac:dyDescent="0.25">
      <c r="M554" s="153"/>
      <c r="N554" s="153"/>
      <c r="O554" s="153"/>
      <c r="P554" s="153"/>
      <c r="Q554" s="153"/>
      <c r="R554" s="153"/>
      <c r="S554" s="153"/>
      <c r="T554" s="153"/>
      <c r="U554" s="153"/>
      <c r="V554" s="153"/>
      <c r="W554" s="153"/>
      <c r="X554" s="153"/>
      <c r="Y554" s="153"/>
      <c r="Z554" s="153"/>
      <c r="AA554" s="153"/>
    </row>
    <row r="555" spans="13:27" ht="15" customHeight="1" x14ac:dyDescent="0.25">
      <c r="M555" s="153"/>
      <c r="N555" s="153"/>
      <c r="O555" s="153"/>
      <c r="P555" s="153"/>
      <c r="Q555" s="153"/>
      <c r="R555" s="153"/>
      <c r="S555" s="153"/>
      <c r="T555" s="153"/>
      <c r="U555" s="153"/>
      <c r="V555" s="153"/>
      <c r="W555" s="153"/>
      <c r="X555" s="153"/>
      <c r="Y555" s="153"/>
      <c r="Z555" s="153"/>
      <c r="AA555" s="153"/>
    </row>
    <row r="556" spans="13:27" ht="15" customHeight="1" x14ac:dyDescent="0.25">
      <c r="M556" s="153"/>
      <c r="N556" s="153"/>
      <c r="O556" s="153"/>
      <c r="P556" s="153"/>
      <c r="Q556" s="153"/>
      <c r="R556" s="153"/>
      <c r="S556" s="153"/>
      <c r="T556" s="153"/>
      <c r="U556" s="153"/>
      <c r="V556" s="153"/>
      <c r="W556" s="153"/>
      <c r="X556" s="153"/>
      <c r="Y556" s="153"/>
      <c r="Z556" s="153"/>
      <c r="AA556" s="153"/>
    </row>
    <row r="557" spans="13:27" ht="15" customHeight="1" x14ac:dyDescent="0.25">
      <c r="M557" s="153"/>
      <c r="N557" s="153"/>
      <c r="O557" s="153"/>
      <c r="P557" s="153"/>
      <c r="Q557" s="153"/>
      <c r="R557" s="153"/>
      <c r="S557" s="153"/>
      <c r="T557" s="153"/>
      <c r="U557" s="153"/>
      <c r="V557" s="153"/>
      <c r="W557" s="153"/>
      <c r="X557" s="153"/>
      <c r="Y557" s="153"/>
      <c r="Z557" s="153"/>
      <c r="AA557" s="153"/>
    </row>
    <row r="558" spans="13:27" ht="15" customHeight="1" x14ac:dyDescent="0.25">
      <c r="M558" s="153"/>
      <c r="N558" s="153"/>
      <c r="O558" s="153"/>
      <c r="P558" s="153"/>
      <c r="Q558" s="153"/>
      <c r="R558" s="153"/>
      <c r="S558" s="153"/>
      <c r="T558" s="153"/>
      <c r="U558" s="153"/>
      <c r="V558" s="153"/>
      <c r="W558" s="153"/>
      <c r="X558" s="153"/>
      <c r="Y558" s="153"/>
      <c r="Z558" s="153"/>
      <c r="AA558" s="153"/>
    </row>
    <row r="559" spans="13:27" ht="15" customHeight="1" x14ac:dyDescent="0.25">
      <c r="M559" s="153"/>
      <c r="N559" s="153"/>
      <c r="O559" s="153"/>
      <c r="P559" s="153"/>
      <c r="Q559" s="153"/>
      <c r="R559" s="153"/>
      <c r="S559" s="153"/>
      <c r="T559" s="153"/>
      <c r="U559" s="153"/>
      <c r="V559" s="153"/>
      <c r="W559" s="153"/>
      <c r="X559" s="153"/>
      <c r="Y559" s="153"/>
      <c r="Z559" s="153"/>
      <c r="AA559" s="153"/>
    </row>
    <row r="560" spans="13:27" ht="15" customHeight="1" x14ac:dyDescent="0.25">
      <c r="M560" s="153"/>
      <c r="N560" s="153"/>
      <c r="O560" s="153"/>
      <c r="P560" s="153"/>
      <c r="Q560" s="153"/>
      <c r="R560" s="153"/>
      <c r="S560" s="153"/>
      <c r="T560" s="153"/>
      <c r="U560" s="153"/>
      <c r="V560" s="153"/>
      <c r="W560" s="153"/>
      <c r="X560" s="153"/>
      <c r="Y560" s="153"/>
      <c r="Z560" s="153"/>
      <c r="AA560" s="153"/>
    </row>
    <row r="561" spans="13:27" ht="15" customHeight="1" x14ac:dyDescent="0.25">
      <c r="M561" s="153"/>
      <c r="N561" s="153"/>
      <c r="O561" s="153"/>
      <c r="P561" s="153"/>
      <c r="Q561" s="153"/>
      <c r="R561" s="153"/>
      <c r="S561" s="153"/>
      <c r="T561" s="153"/>
      <c r="U561" s="153"/>
      <c r="V561" s="153"/>
      <c r="W561" s="153"/>
      <c r="X561" s="153"/>
      <c r="Y561" s="153"/>
      <c r="Z561" s="153"/>
      <c r="AA561" s="153"/>
    </row>
    <row r="562" spans="13:27" ht="15" customHeight="1" x14ac:dyDescent="0.25">
      <c r="M562" s="153"/>
      <c r="N562" s="153"/>
      <c r="O562" s="153"/>
      <c r="P562" s="153"/>
      <c r="Q562" s="153"/>
      <c r="R562" s="153"/>
      <c r="S562" s="153"/>
      <c r="T562" s="153"/>
      <c r="U562" s="153"/>
      <c r="V562" s="153"/>
      <c r="W562" s="153"/>
      <c r="X562" s="153"/>
      <c r="Y562" s="153"/>
      <c r="Z562" s="153"/>
      <c r="AA562" s="153"/>
    </row>
    <row r="563" spans="13:27" ht="15" customHeight="1" x14ac:dyDescent="0.25">
      <c r="M563" s="153"/>
      <c r="N563" s="153"/>
      <c r="O563" s="153"/>
      <c r="P563" s="153"/>
      <c r="Q563" s="153"/>
      <c r="R563" s="153"/>
      <c r="S563" s="153"/>
      <c r="T563" s="153"/>
      <c r="U563" s="153"/>
      <c r="V563" s="153"/>
      <c r="W563" s="153"/>
      <c r="X563" s="153"/>
      <c r="Y563" s="153"/>
      <c r="Z563" s="153"/>
      <c r="AA563" s="153"/>
    </row>
    <row r="564" spans="13:27" ht="15" customHeight="1" x14ac:dyDescent="0.25"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</row>
    <row r="565" spans="13:27" ht="15" customHeight="1" x14ac:dyDescent="0.25"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</row>
    <row r="566" spans="13:27" ht="15" customHeight="1" x14ac:dyDescent="0.25"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</row>
    <row r="567" spans="13:27" ht="15" customHeight="1" x14ac:dyDescent="0.25"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</row>
    <row r="568" spans="13:27" ht="15" customHeight="1" x14ac:dyDescent="0.25"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</row>
    <row r="569" spans="13:27" ht="15" customHeight="1" x14ac:dyDescent="0.25"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</row>
    <row r="570" spans="13:27" ht="15" customHeight="1" x14ac:dyDescent="0.25"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</row>
    <row r="571" spans="13:27" ht="15" customHeight="1" x14ac:dyDescent="0.25"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</row>
    <row r="572" spans="13:27" ht="15" customHeight="1" x14ac:dyDescent="0.25"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</row>
    <row r="573" spans="13:27" ht="15" customHeight="1" x14ac:dyDescent="0.25">
      <c r="M573" s="153"/>
      <c r="N573" s="153"/>
      <c r="O573" s="153"/>
      <c r="P573" s="153"/>
      <c r="Q573" s="153"/>
      <c r="R573" s="153"/>
      <c r="S573" s="153"/>
      <c r="T573" s="153"/>
      <c r="U573" s="153"/>
      <c r="V573" s="153"/>
      <c r="W573" s="153"/>
      <c r="X573" s="153"/>
      <c r="Y573" s="153"/>
      <c r="Z573" s="153"/>
      <c r="AA573" s="153"/>
    </row>
    <row r="574" spans="13:27" ht="15" customHeight="1" x14ac:dyDescent="0.25">
      <c r="M574" s="153"/>
      <c r="N574" s="153"/>
      <c r="O574" s="153"/>
      <c r="P574" s="153"/>
      <c r="Q574" s="153"/>
      <c r="R574" s="153"/>
      <c r="S574" s="153"/>
      <c r="T574" s="153"/>
      <c r="U574" s="153"/>
      <c r="V574" s="153"/>
      <c r="W574" s="153"/>
      <c r="X574" s="153"/>
      <c r="Y574" s="153"/>
      <c r="Z574" s="153"/>
      <c r="AA574" s="153"/>
    </row>
    <row r="575" spans="13:27" ht="15" customHeight="1" x14ac:dyDescent="0.25">
      <c r="M575" s="153"/>
      <c r="N575" s="153"/>
      <c r="O575" s="153"/>
      <c r="P575" s="153"/>
      <c r="Q575" s="153"/>
      <c r="R575" s="153"/>
      <c r="S575" s="153"/>
      <c r="T575" s="153"/>
      <c r="U575" s="153"/>
      <c r="V575" s="153"/>
      <c r="W575" s="153"/>
      <c r="X575" s="153"/>
      <c r="Y575" s="153"/>
      <c r="Z575" s="153"/>
      <c r="AA575" s="153"/>
    </row>
    <row r="576" spans="13:27" ht="15" customHeight="1" x14ac:dyDescent="0.25">
      <c r="M576" s="153"/>
      <c r="N576" s="153"/>
      <c r="O576" s="153"/>
      <c r="P576" s="153"/>
      <c r="Q576" s="153"/>
      <c r="R576" s="153"/>
      <c r="S576" s="153"/>
      <c r="T576" s="153"/>
      <c r="U576" s="153"/>
      <c r="V576" s="153"/>
      <c r="W576" s="153"/>
      <c r="X576" s="153"/>
      <c r="Y576" s="153"/>
      <c r="Z576" s="153"/>
      <c r="AA576" s="153"/>
    </row>
    <row r="577" spans="13:27" ht="15" customHeight="1" x14ac:dyDescent="0.25">
      <c r="M577" s="153"/>
      <c r="N577" s="153"/>
      <c r="O577" s="153"/>
      <c r="P577" s="153"/>
      <c r="Q577" s="153"/>
      <c r="R577" s="153"/>
      <c r="S577" s="153"/>
      <c r="T577" s="153"/>
      <c r="U577" s="153"/>
      <c r="V577" s="153"/>
      <c r="W577" s="153"/>
      <c r="X577" s="153"/>
      <c r="Y577" s="153"/>
      <c r="Z577" s="153"/>
      <c r="AA577" s="153"/>
    </row>
    <row r="578" spans="13:27" ht="15" customHeight="1" x14ac:dyDescent="0.25">
      <c r="M578" s="153"/>
      <c r="N578" s="153"/>
      <c r="O578" s="153"/>
      <c r="P578" s="153"/>
      <c r="Q578" s="153"/>
      <c r="R578" s="153"/>
      <c r="S578" s="153"/>
      <c r="T578" s="153"/>
      <c r="U578" s="153"/>
      <c r="V578" s="153"/>
      <c r="W578" s="153"/>
      <c r="X578" s="153"/>
      <c r="Y578" s="153"/>
      <c r="Z578" s="153"/>
      <c r="AA578" s="153"/>
    </row>
    <row r="579" spans="13:27" ht="15" customHeight="1" x14ac:dyDescent="0.25">
      <c r="M579" s="153"/>
      <c r="N579" s="153"/>
      <c r="O579" s="153"/>
      <c r="P579" s="153"/>
      <c r="Q579" s="153"/>
      <c r="R579" s="153"/>
      <c r="S579" s="153"/>
      <c r="T579" s="153"/>
      <c r="U579" s="153"/>
      <c r="V579" s="153"/>
      <c r="W579" s="153"/>
      <c r="X579" s="153"/>
      <c r="Y579" s="153"/>
      <c r="Z579" s="153"/>
      <c r="AA579" s="153"/>
    </row>
    <row r="580" spans="13:27" ht="15" customHeight="1" x14ac:dyDescent="0.25">
      <c r="M580" s="153"/>
      <c r="N580" s="153"/>
      <c r="O580" s="153"/>
      <c r="P580" s="153"/>
      <c r="Q580" s="153"/>
      <c r="R580" s="153"/>
      <c r="S580" s="153"/>
      <c r="T580" s="153"/>
      <c r="U580" s="153"/>
      <c r="V580" s="153"/>
      <c r="W580" s="153"/>
      <c r="X580" s="153"/>
      <c r="Y580" s="153"/>
      <c r="Z580" s="153"/>
      <c r="AA580" s="153"/>
    </row>
    <row r="581" spans="13:27" ht="15" customHeight="1" x14ac:dyDescent="0.25">
      <c r="M581" s="153"/>
      <c r="N581" s="153"/>
      <c r="O581" s="153"/>
      <c r="P581" s="153"/>
      <c r="Q581" s="153"/>
      <c r="R581" s="153"/>
      <c r="S581" s="153"/>
      <c r="T581" s="153"/>
      <c r="U581" s="153"/>
      <c r="V581" s="153"/>
      <c r="W581" s="153"/>
      <c r="X581" s="153"/>
      <c r="Y581" s="153"/>
      <c r="Z581" s="153"/>
      <c r="AA581" s="153"/>
    </row>
    <row r="582" spans="13:27" ht="15" customHeight="1" x14ac:dyDescent="0.25"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</row>
    <row r="583" spans="13:27" ht="15" customHeight="1" x14ac:dyDescent="0.25"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</row>
    <row r="584" spans="13:27" ht="15" customHeight="1" x14ac:dyDescent="0.25"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</row>
    <row r="585" spans="13:27" ht="15" customHeight="1" x14ac:dyDescent="0.25">
      <c r="M585" s="153"/>
      <c r="N585" s="153"/>
      <c r="O585" s="153"/>
      <c r="P585" s="153"/>
      <c r="Q585" s="153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</row>
    <row r="586" spans="13:27" ht="15" customHeight="1" x14ac:dyDescent="0.25">
      <c r="M586" s="153"/>
      <c r="N586" s="153"/>
      <c r="O586" s="153"/>
      <c r="P586" s="153"/>
      <c r="Q586" s="153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</row>
    <row r="587" spans="13:27" ht="15" customHeight="1" x14ac:dyDescent="0.25"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</row>
    <row r="588" spans="13:27" ht="15" customHeight="1" x14ac:dyDescent="0.25">
      <c r="M588" s="153"/>
      <c r="N588" s="153"/>
      <c r="O588" s="153"/>
      <c r="P588" s="153"/>
      <c r="Q588" s="153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</row>
    <row r="589" spans="13:27" ht="15" customHeight="1" x14ac:dyDescent="0.25">
      <c r="M589" s="153"/>
      <c r="N589" s="153"/>
      <c r="O589" s="153"/>
      <c r="P589" s="153"/>
      <c r="Q589" s="153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</row>
    <row r="590" spans="13:27" ht="15" customHeight="1" x14ac:dyDescent="0.25">
      <c r="M590" s="153"/>
      <c r="N590" s="153"/>
      <c r="O590" s="153"/>
      <c r="P590" s="153"/>
      <c r="Q590" s="153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</row>
    <row r="591" spans="13:27" ht="15" customHeight="1" x14ac:dyDescent="0.25">
      <c r="M591" s="153"/>
      <c r="N591" s="153"/>
      <c r="O591" s="153"/>
      <c r="P591" s="153"/>
      <c r="Q591" s="153"/>
      <c r="R591" s="153"/>
      <c r="S591" s="153"/>
      <c r="T591" s="153"/>
      <c r="U591" s="153"/>
      <c r="V591" s="153"/>
      <c r="W591" s="153"/>
      <c r="X591" s="153"/>
      <c r="Y591" s="153"/>
      <c r="Z591" s="153"/>
      <c r="AA591" s="153"/>
    </row>
    <row r="592" spans="13:27" ht="15" customHeight="1" x14ac:dyDescent="0.25">
      <c r="M592" s="153"/>
      <c r="N592" s="153"/>
      <c r="O592" s="153"/>
      <c r="P592" s="153"/>
      <c r="Q592" s="153"/>
      <c r="R592" s="153"/>
      <c r="S592" s="153"/>
      <c r="T592" s="153"/>
      <c r="U592" s="153"/>
      <c r="V592" s="153"/>
      <c r="W592" s="153"/>
      <c r="X592" s="153"/>
      <c r="Y592" s="153"/>
      <c r="Z592" s="153"/>
      <c r="AA592" s="153"/>
    </row>
    <row r="593" spans="13:27" ht="15" customHeight="1" x14ac:dyDescent="0.25">
      <c r="M593" s="153"/>
      <c r="N593" s="153"/>
      <c r="O593" s="153"/>
      <c r="P593" s="153"/>
      <c r="Q593" s="153"/>
      <c r="R593" s="153"/>
      <c r="S593" s="153"/>
      <c r="T593" s="153"/>
      <c r="U593" s="153"/>
      <c r="V593" s="153"/>
      <c r="W593" s="153"/>
      <c r="X593" s="153"/>
      <c r="Y593" s="153"/>
      <c r="Z593" s="153"/>
      <c r="AA593" s="153"/>
    </row>
    <row r="594" spans="13:27" ht="15" customHeight="1" x14ac:dyDescent="0.25">
      <c r="M594" s="153"/>
      <c r="N594" s="153"/>
      <c r="O594" s="153"/>
      <c r="P594" s="153"/>
      <c r="Q594" s="153"/>
      <c r="R594" s="153"/>
      <c r="S594" s="153"/>
      <c r="T594" s="153"/>
      <c r="U594" s="153"/>
      <c r="V594" s="153"/>
      <c r="W594" s="153"/>
      <c r="X594" s="153"/>
      <c r="Y594" s="153"/>
      <c r="Z594" s="153"/>
      <c r="AA594" s="153"/>
    </row>
    <row r="595" spans="13:27" ht="15" customHeight="1" x14ac:dyDescent="0.25">
      <c r="M595" s="153"/>
      <c r="N595" s="153"/>
      <c r="O595" s="153"/>
      <c r="P595" s="153"/>
      <c r="Q595" s="153"/>
      <c r="R595" s="153"/>
      <c r="S595" s="153"/>
      <c r="T595" s="153"/>
      <c r="U595" s="153"/>
      <c r="V595" s="153"/>
      <c r="W595" s="153"/>
      <c r="X595" s="153"/>
      <c r="Y595" s="153"/>
      <c r="Z595" s="153"/>
      <c r="AA595" s="153"/>
    </row>
    <row r="596" spans="13:27" ht="15" customHeight="1" x14ac:dyDescent="0.25">
      <c r="M596" s="153"/>
      <c r="N596" s="153"/>
      <c r="O596" s="153"/>
      <c r="P596" s="153"/>
      <c r="Q596" s="153"/>
      <c r="R596" s="153"/>
      <c r="S596" s="153"/>
      <c r="T596" s="153"/>
      <c r="U596" s="153"/>
      <c r="V596" s="153"/>
      <c r="W596" s="153"/>
      <c r="X596" s="153"/>
      <c r="Y596" s="153"/>
      <c r="Z596" s="153"/>
      <c r="AA596" s="153"/>
    </row>
    <row r="597" spans="13:27" ht="15" customHeight="1" x14ac:dyDescent="0.25">
      <c r="M597" s="153"/>
      <c r="N597" s="153"/>
      <c r="O597" s="153"/>
      <c r="P597" s="153"/>
      <c r="Q597" s="153"/>
      <c r="R597" s="153"/>
      <c r="S597" s="153"/>
      <c r="T597" s="153"/>
      <c r="U597" s="153"/>
      <c r="V597" s="153"/>
      <c r="W597" s="153"/>
      <c r="X597" s="153"/>
      <c r="Y597" s="153"/>
      <c r="Z597" s="153"/>
      <c r="AA597" s="153"/>
    </row>
    <row r="598" spans="13:27" ht="15" customHeight="1" x14ac:dyDescent="0.25">
      <c r="M598" s="153"/>
      <c r="N598" s="153"/>
      <c r="O598" s="153"/>
      <c r="P598" s="153"/>
      <c r="Q598" s="153"/>
      <c r="R598" s="153"/>
      <c r="S598" s="153"/>
      <c r="T598" s="153"/>
      <c r="U598" s="153"/>
      <c r="V598" s="153"/>
      <c r="W598" s="153"/>
      <c r="X598" s="153"/>
      <c r="Y598" s="153"/>
      <c r="Z598" s="153"/>
      <c r="AA598" s="153"/>
    </row>
    <row r="599" spans="13:27" ht="15" customHeight="1" x14ac:dyDescent="0.25">
      <c r="M599" s="153"/>
      <c r="N599" s="153"/>
      <c r="O599" s="153"/>
      <c r="P599" s="153"/>
      <c r="Q599" s="153"/>
      <c r="R599" s="153"/>
      <c r="S599" s="153"/>
      <c r="T599" s="153"/>
      <c r="U599" s="153"/>
      <c r="V599" s="153"/>
      <c r="W599" s="153"/>
      <c r="X599" s="153"/>
      <c r="Y599" s="153"/>
      <c r="Z599" s="153"/>
      <c r="AA599" s="153"/>
    </row>
    <row r="600" spans="13:27" ht="15" customHeight="1" x14ac:dyDescent="0.25">
      <c r="M600" s="153"/>
      <c r="N600" s="153"/>
      <c r="O600" s="153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</row>
    <row r="601" spans="13:27" ht="15" customHeight="1" x14ac:dyDescent="0.25">
      <c r="M601" s="153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</row>
    <row r="602" spans="13:27" ht="15" customHeight="1" x14ac:dyDescent="0.25">
      <c r="M602" s="153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</row>
    <row r="603" spans="13:27" ht="15" customHeight="1" x14ac:dyDescent="0.25">
      <c r="M603" s="153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</row>
    <row r="604" spans="13:27" ht="15" customHeight="1" x14ac:dyDescent="0.25">
      <c r="M604" s="153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</row>
    <row r="605" spans="13:27" ht="15" customHeight="1" x14ac:dyDescent="0.25">
      <c r="M605" s="153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</row>
    <row r="606" spans="13:27" ht="15" customHeight="1" x14ac:dyDescent="0.25">
      <c r="M606" s="153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</row>
    <row r="607" spans="13:27" ht="15" customHeight="1" x14ac:dyDescent="0.25">
      <c r="M607" s="153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</row>
    <row r="608" spans="13:27" ht="15" customHeight="1" x14ac:dyDescent="0.25"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  <c r="AA608" s="153"/>
    </row>
    <row r="609" spans="13:27" ht="15" customHeight="1" x14ac:dyDescent="0.25">
      <c r="M609" s="153"/>
      <c r="N609" s="153"/>
      <c r="O609" s="153"/>
      <c r="P609" s="153"/>
      <c r="Q609" s="153"/>
      <c r="R609" s="153"/>
      <c r="S609" s="153"/>
      <c r="T609" s="153"/>
      <c r="U609" s="153"/>
      <c r="V609" s="153"/>
      <c r="W609" s="153"/>
      <c r="X609" s="153"/>
      <c r="Y609" s="153"/>
      <c r="Z609" s="153"/>
      <c r="AA609" s="153"/>
    </row>
    <row r="610" spans="13:27" ht="15" customHeight="1" x14ac:dyDescent="0.25">
      <c r="M610" s="153"/>
      <c r="N610" s="153"/>
      <c r="O610" s="153"/>
      <c r="P610" s="153"/>
      <c r="Q610" s="153"/>
      <c r="R610" s="153"/>
      <c r="S610" s="153"/>
      <c r="T610" s="153"/>
      <c r="U610" s="153"/>
      <c r="V610" s="153"/>
      <c r="W610" s="153"/>
      <c r="X610" s="153"/>
      <c r="Y610" s="153"/>
      <c r="Z610" s="153"/>
      <c r="AA610" s="153"/>
    </row>
    <row r="611" spans="13:27" ht="15" customHeight="1" x14ac:dyDescent="0.25">
      <c r="M611" s="153"/>
      <c r="N611" s="153"/>
      <c r="O611" s="153"/>
      <c r="P611" s="153"/>
      <c r="Q611" s="153"/>
      <c r="R611" s="153"/>
      <c r="S611" s="153"/>
      <c r="T611" s="153"/>
      <c r="U611" s="153"/>
      <c r="V611" s="153"/>
      <c r="W611" s="153"/>
      <c r="X611" s="153"/>
      <c r="Y611" s="153"/>
      <c r="Z611" s="153"/>
      <c r="AA611" s="153"/>
    </row>
    <row r="612" spans="13:27" ht="15" customHeight="1" x14ac:dyDescent="0.25">
      <c r="M612" s="153"/>
      <c r="N612" s="153"/>
      <c r="O612" s="153"/>
      <c r="P612" s="153"/>
      <c r="Q612" s="153"/>
      <c r="R612" s="153"/>
      <c r="S612" s="153"/>
      <c r="T612" s="153"/>
      <c r="U612" s="153"/>
      <c r="V612" s="153"/>
      <c r="W612" s="153"/>
      <c r="X612" s="153"/>
      <c r="Y612" s="153"/>
      <c r="Z612" s="153"/>
      <c r="AA612" s="153"/>
    </row>
    <row r="613" spans="13:27" ht="15" customHeight="1" x14ac:dyDescent="0.25">
      <c r="M613" s="153"/>
      <c r="N613" s="153"/>
      <c r="O613" s="153"/>
      <c r="P613" s="153"/>
      <c r="Q613" s="153"/>
      <c r="R613" s="153"/>
      <c r="S613" s="153"/>
      <c r="T613" s="153"/>
      <c r="U613" s="153"/>
      <c r="V613" s="153"/>
      <c r="W613" s="153"/>
      <c r="X613" s="153"/>
      <c r="Y613" s="153"/>
      <c r="Z613" s="153"/>
      <c r="AA613" s="153"/>
    </row>
    <row r="614" spans="13:27" ht="15" customHeight="1" x14ac:dyDescent="0.25">
      <c r="M614" s="153"/>
      <c r="N614" s="153"/>
      <c r="O614" s="153"/>
      <c r="P614" s="153"/>
      <c r="Q614" s="153"/>
      <c r="R614" s="153"/>
      <c r="S614" s="153"/>
      <c r="T614" s="153"/>
      <c r="U614" s="153"/>
      <c r="V614" s="153"/>
      <c r="W614" s="153"/>
      <c r="X614" s="153"/>
      <c r="Y614" s="153"/>
      <c r="Z614" s="153"/>
      <c r="AA614" s="153"/>
    </row>
    <row r="615" spans="13:27" ht="15" customHeight="1" x14ac:dyDescent="0.25">
      <c r="M615" s="153"/>
      <c r="N615" s="153"/>
      <c r="O615" s="153"/>
      <c r="P615" s="153"/>
      <c r="Q615" s="153"/>
      <c r="R615" s="153"/>
      <c r="S615" s="153"/>
      <c r="T615" s="153"/>
      <c r="U615" s="153"/>
      <c r="V615" s="153"/>
      <c r="W615" s="153"/>
      <c r="X615" s="153"/>
      <c r="Y615" s="153"/>
      <c r="Z615" s="153"/>
      <c r="AA615" s="153"/>
    </row>
    <row r="616" spans="13:27" ht="15" customHeight="1" x14ac:dyDescent="0.25">
      <c r="M616" s="153"/>
      <c r="N616" s="153"/>
      <c r="O616" s="153"/>
      <c r="P616" s="153"/>
      <c r="Q616" s="153"/>
      <c r="R616" s="153"/>
      <c r="S616" s="153"/>
      <c r="T616" s="153"/>
      <c r="U616" s="153"/>
      <c r="V616" s="153"/>
      <c r="W616" s="153"/>
      <c r="X616" s="153"/>
      <c r="Y616" s="153"/>
      <c r="Z616" s="153"/>
      <c r="AA616" s="153"/>
    </row>
    <row r="617" spans="13:27" ht="15" customHeight="1" x14ac:dyDescent="0.25">
      <c r="M617" s="153"/>
      <c r="N617" s="153"/>
      <c r="O617" s="153"/>
      <c r="P617" s="153"/>
      <c r="Q617" s="153"/>
      <c r="R617" s="153"/>
      <c r="S617" s="153"/>
      <c r="T617" s="153"/>
      <c r="U617" s="153"/>
      <c r="V617" s="153"/>
      <c r="W617" s="153"/>
      <c r="X617" s="153"/>
      <c r="Y617" s="153"/>
      <c r="Z617" s="153"/>
      <c r="AA617" s="153"/>
    </row>
    <row r="618" spans="13:27" ht="15" customHeight="1" x14ac:dyDescent="0.25"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</row>
    <row r="619" spans="13:27" ht="15" customHeight="1" x14ac:dyDescent="0.25"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</row>
    <row r="620" spans="13:27" ht="15" customHeight="1" x14ac:dyDescent="0.25"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</row>
    <row r="621" spans="13:27" ht="15" customHeight="1" x14ac:dyDescent="0.25"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</row>
    <row r="622" spans="13:27" ht="15" customHeight="1" x14ac:dyDescent="0.25"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</row>
    <row r="623" spans="13:27" ht="15" customHeight="1" x14ac:dyDescent="0.25"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</row>
    <row r="624" spans="13:27" ht="15" customHeight="1" x14ac:dyDescent="0.25"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</row>
    <row r="625" spans="13:27" ht="15" customHeight="1" x14ac:dyDescent="0.25"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</row>
    <row r="626" spans="13:27" ht="15" customHeight="1" x14ac:dyDescent="0.25"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</row>
    <row r="627" spans="13:27" ht="15" customHeight="1" x14ac:dyDescent="0.25">
      <c r="M627" s="153"/>
      <c r="N627" s="153"/>
      <c r="O627" s="153"/>
      <c r="P627" s="153"/>
      <c r="Q627" s="153"/>
      <c r="R627" s="153"/>
      <c r="S627" s="153"/>
      <c r="T627" s="153"/>
      <c r="U627" s="153"/>
      <c r="V627" s="153"/>
      <c r="W627" s="153"/>
      <c r="X627" s="153"/>
      <c r="Y627" s="153"/>
      <c r="Z627" s="153"/>
      <c r="AA627" s="153"/>
    </row>
    <row r="628" spans="13:27" ht="15" customHeight="1" x14ac:dyDescent="0.25">
      <c r="M628" s="153"/>
      <c r="N628" s="153"/>
      <c r="O628" s="153"/>
      <c r="P628" s="153"/>
      <c r="Q628" s="153"/>
      <c r="R628" s="153"/>
      <c r="S628" s="153"/>
      <c r="T628" s="153"/>
      <c r="U628" s="153"/>
      <c r="V628" s="153"/>
      <c r="W628" s="153"/>
      <c r="X628" s="153"/>
      <c r="Y628" s="153"/>
      <c r="Z628" s="153"/>
      <c r="AA628" s="153"/>
    </row>
    <row r="629" spans="13:27" ht="15" customHeight="1" x14ac:dyDescent="0.25">
      <c r="M629" s="153"/>
      <c r="N629" s="153"/>
      <c r="O629" s="153"/>
      <c r="P629" s="153"/>
      <c r="Q629" s="153"/>
      <c r="R629" s="153"/>
      <c r="S629" s="153"/>
      <c r="T629" s="153"/>
      <c r="U629" s="153"/>
      <c r="V629" s="153"/>
      <c r="W629" s="153"/>
      <c r="X629" s="153"/>
      <c r="Y629" s="153"/>
      <c r="Z629" s="153"/>
      <c r="AA629" s="153"/>
    </row>
    <row r="630" spans="13:27" ht="15" customHeight="1" x14ac:dyDescent="0.25">
      <c r="M630" s="153"/>
      <c r="N630" s="153"/>
      <c r="O630" s="153"/>
      <c r="P630" s="153"/>
      <c r="Q630" s="153"/>
      <c r="R630" s="153"/>
      <c r="S630" s="153"/>
      <c r="T630" s="153"/>
      <c r="U630" s="153"/>
      <c r="V630" s="153"/>
      <c r="W630" s="153"/>
      <c r="X630" s="153"/>
      <c r="Y630" s="153"/>
      <c r="Z630" s="153"/>
      <c r="AA630" s="153"/>
    </row>
    <row r="631" spans="13:27" ht="15" customHeight="1" x14ac:dyDescent="0.25">
      <c r="M631" s="153"/>
      <c r="N631" s="153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3"/>
      <c r="AA631" s="153"/>
    </row>
    <row r="632" spans="13:27" ht="15" customHeight="1" x14ac:dyDescent="0.25">
      <c r="M632" s="153"/>
      <c r="N632" s="153"/>
      <c r="O632" s="153"/>
      <c r="P632" s="153"/>
      <c r="Q632" s="153"/>
      <c r="R632" s="153"/>
      <c r="S632" s="153"/>
      <c r="T632" s="153"/>
      <c r="U632" s="153"/>
      <c r="V632" s="153"/>
      <c r="W632" s="153"/>
      <c r="X632" s="153"/>
      <c r="Y632" s="153"/>
      <c r="Z632" s="153"/>
      <c r="AA632" s="153"/>
    </row>
    <row r="633" spans="13:27" ht="15" customHeight="1" x14ac:dyDescent="0.25">
      <c r="M633" s="153"/>
      <c r="N633" s="153"/>
      <c r="O633" s="153"/>
      <c r="P633" s="153"/>
      <c r="Q633" s="153"/>
      <c r="R633" s="153"/>
      <c r="S633" s="153"/>
      <c r="T633" s="153"/>
      <c r="U633" s="153"/>
      <c r="V633" s="153"/>
      <c r="W633" s="153"/>
      <c r="X633" s="153"/>
      <c r="Y633" s="153"/>
      <c r="Z633" s="153"/>
      <c r="AA633" s="153"/>
    </row>
    <row r="634" spans="13:27" ht="15" customHeight="1" x14ac:dyDescent="0.25">
      <c r="M634" s="153"/>
      <c r="N634" s="153"/>
      <c r="O634" s="153"/>
      <c r="P634" s="153"/>
      <c r="Q634" s="153"/>
      <c r="R634" s="153"/>
      <c r="S634" s="153"/>
      <c r="T634" s="153"/>
      <c r="U634" s="153"/>
      <c r="V634" s="153"/>
      <c r="W634" s="153"/>
      <c r="X634" s="153"/>
      <c r="Y634" s="153"/>
      <c r="Z634" s="153"/>
      <c r="AA634" s="153"/>
    </row>
    <row r="635" spans="13:27" ht="15" customHeight="1" x14ac:dyDescent="0.25">
      <c r="M635" s="153"/>
      <c r="N635" s="153"/>
      <c r="O635" s="153"/>
      <c r="P635" s="153"/>
      <c r="Q635" s="153"/>
      <c r="R635" s="153"/>
      <c r="S635" s="153"/>
      <c r="T635" s="153"/>
      <c r="U635" s="153"/>
      <c r="V635" s="153"/>
      <c r="W635" s="153"/>
      <c r="X635" s="153"/>
      <c r="Y635" s="153"/>
      <c r="Z635" s="153"/>
      <c r="AA635" s="153"/>
    </row>
    <row r="636" spans="13:27" ht="15" customHeight="1" x14ac:dyDescent="0.25"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</row>
    <row r="637" spans="13:27" ht="15" customHeight="1" x14ac:dyDescent="0.25"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</row>
    <row r="638" spans="13:27" ht="15" customHeight="1" x14ac:dyDescent="0.25"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</row>
    <row r="639" spans="13:27" ht="15" customHeight="1" x14ac:dyDescent="0.25"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</row>
    <row r="640" spans="13:27" ht="15" customHeight="1" x14ac:dyDescent="0.25"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</row>
    <row r="641" spans="13:27" ht="15" customHeight="1" x14ac:dyDescent="0.25"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</row>
    <row r="642" spans="13:27" ht="15" customHeight="1" x14ac:dyDescent="0.25"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</row>
  </sheetData>
  <conditionalFormatting sqref="M4:N4">
    <cfRule type="expression" dxfId="141" priority="37" stopIfTrue="1">
      <formula>$H4=4</formula>
    </cfRule>
    <cfRule type="expression" dxfId="140" priority="40">
      <formula>$H4=7</formula>
    </cfRule>
    <cfRule type="expression" dxfId="139" priority="39" stopIfTrue="1">
      <formula>$H4=6</formula>
    </cfRule>
    <cfRule type="expression" dxfId="138" priority="35">
      <formula>$G4="Y"</formula>
    </cfRule>
    <cfRule type="expression" dxfId="137" priority="36" stopIfTrue="1">
      <formula>$H4=3</formula>
    </cfRule>
    <cfRule type="expression" dxfId="136" priority="27" stopIfTrue="1">
      <formula>$G4="N"</formula>
    </cfRule>
    <cfRule type="expression" dxfId="135" priority="38" stopIfTrue="1">
      <formula>$H4=5</formula>
    </cfRule>
  </conditionalFormatting>
  <conditionalFormatting sqref="M13:N13">
    <cfRule type="expression" dxfId="134" priority="46" stopIfTrue="1">
      <formula>$H13=4</formula>
    </cfRule>
    <cfRule type="expression" dxfId="133" priority="45" stopIfTrue="1">
      <formula>$H13=3</formula>
    </cfRule>
    <cfRule type="expression" dxfId="132" priority="44">
      <formula>$G13="Y"</formula>
    </cfRule>
    <cfRule type="expression" dxfId="131" priority="43" stopIfTrue="1">
      <formula>$E13="BLANK"</formula>
    </cfRule>
    <cfRule type="expression" dxfId="130" priority="42" stopIfTrue="1">
      <formula>$E13="TOTAL"</formula>
    </cfRule>
    <cfRule type="expression" dxfId="129" priority="47">
      <formula>$H13=7</formula>
    </cfRule>
  </conditionalFormatting>
  <conditionalFormatting sqref="M13:N14">
    <cfRule type="expression" dxfId="128" priority="17" stopIfTrue="1">
      <formula>$H13=5</formula>
    </cfRule>
    <cfRule type="expression" dxfId="127" priority="18" stopIfTrue="1">
      <formula>$H13=6</formula>
    </cfRule>
  </conditionalFormatting>
  <conditionalFormatting sqref="M14:N14">
    <cfRule type="expression" dxfId="126" priority="48" stopIfTrue="1">
      <formula>#REF!="TOTAL"</formula>
    </cfRule>
    <cfRule type="expression" dxfId="125" priority="49" stopIfTrue="1">
      <formula>#REF!="BLANK"</formula>
    </cfRule>
    <cfRule type="expression" dxfId="124" priority="50">
      <formula>#REF!="Y"</formula>
    </cfRule>
    <cfRule type="expression" dxfId="123" priority="51" stopIfTrue="1">
      <formula>$H14=3</formula>
    </cfRule>
    <cfRule type="expression" dxfId="122" priority="52" stopIfTrue="1">
      <formula>$H14=4</formula>
    </cfRule>
    <cfRule type="expression" dxfId="121" priority="53">
      <formula>$H14=7</formula>
    </cfRule>
  </conditionalFormatting>
  <conditionalFormatting sqref="O4:AA4">
    <cfRule type="expression" dxfId="120" priority="25">
      <formula>$H4=7</formula>
    </cfRule>
    <cfRule type="cellIs" dxfId="119" priority="26" stopIfTrue="1" operator="notEqual">
      <formula>#REF!</formula>
    </cfRule>
    <cfRule type="expression" dxfId="118" priority="19" stopIfTrue="1">
      <formula>$G4="N"</formula>
    </cfRule>
    <cfRule type="expression" dxfId="117" priority="20">
      <formula>$G4="Y"</formula>
    </cfRule>
    <cfRule type="expression" dxfId="116" priority="21" stopIfTrue="1">
      <formula>$H4=3</formula>
    </cfRule>
    <cfRule type="expression" dxfId="115" priority="22" stopIfTrue="1">
      <formula>$H4=4</formula>
    </cfRule>
    <cfRule type="expression" dxfId="114" priority="23" stopIfTrue="1">
      <formula>$H4=5</formula>
    </cfRule>
    <cfRule type="expression" dxfId="113" priority="24" stopIfTrue="1">
      <formula>$H4=6</formula>
    </cfRule>
  </conditionalFormatting>
  <conditionalFormatting sqref="O36:AA44 O47:AA55 O59:AA66 O69:AA77 O79:AA87 O90:AA98 O101:AA101 O103:AA104 O106:AA117 O119:AA124 O126:AA135 O137:AA137">
    <cfRule type="expression" dxfId="112" priority="6" stopIfTrue="1">
      <formula>$H35=5</formula>
    </cfRule>
    <cfRule type="expression" dxfId="111" priority="8">
      <formula>$H35=7</formula>
    </cfRule>
    <cfRule type="expression" dxfId="110" priority="7" stopIfTrue="1">
      <formula>$H35=6</formula>
    </cfRule>
    <cfRule type="expression" dxfId="109" priority="5" stopIfTrue="1">
      <formula>$H35=4</formula>
    </cfRule>
    <cfRule type="expression" dxfId="108" priority="4" stopIfTrue="1">
      <formula>$H35=3</formula>
    </cfRule>
    <cfRule type="expression" dxfId="107" priority="3">
      <formula>$G35="Y"</formula>
    </cfRule>
    <cfRule type="expression" dxfId="106" priority="2" stopIfTrue="1">
      <formula>$G35="N"</formula>
    </cfRule>
    <cfRule type="cellIs" dxfId="105" priority="1" stopIfTrue="1" operator="notEqual">
      <formula>#REF!</formula>
    </cfRule>
  </conditionalFormatting>
  <conditionalFormatting sqref="T23:T24">
    <cfRule type="expression" dxfId="104" priority="28" stopIfTrue="1">
      <formula>$G22="N"</formula>
    </cfRule>
    <cfRule type="cellIs" dxfId="103" priority="41" stopIfTrue="1" operator="notEqual">
      <formula>#REF!</formula>
    </cfRule>
    <cfRule type="expression" dxfId="102" priority="32" stopIfTrue="1">
      <formula>$H22=5</formula>
    </cfRule>
    <cfRule type="expression" dxfId="101" priority="33" stopIfTrue="1">
      <formula>$H22=6</formula>
    </cfRule>
    <cfRule type="expression" dxfId="100" priority="34">
      <formula>$H22=7</formula>
    </cfRule>
    <cfRule type="expression" dxfId="99" priority="30" stopIfTrue="1">
      <formula>$H22=3</formula>
    </cfRule>
    <cfRule type="expression" dxfId="98" priority="31" stopIfTrue="1">
      <formula>$H22=4</formula>
    </cfRule>
    <cfRule type="expression" dxfId="97" priority="29">
      <formula>$G22="Y"</formula>
    </cfRule>
  </conditionalFormatting>
  <dataValidations count="4">
    <dataValidation type="list" allowBlank="1" showInputMessage="1" showErrorMessage="1" sqref="N21" xr:uid="{4369A12D-2D53-450D-A6B7-55025557FD5F}">
      <formula1>$K$6:$K$10</formula1>
    </dataValidation>
    <dataValidation type="list" allowBlank="1" showInputMessage="1" showErrorMessage="1" sqref="N11" xr:uid="{30058874-736C-4594-8BDE-4D0DE1F800F5}">
      <formula1>$B$22:$B$23</formula1>
    </dataValidation>
    <dataValidation type="list" allowBlank="1" showInputMessage="1" showErrorMessage="1" sqref="N26" xr:uid="{9A11D0CB-C144-4866-A006-B472BB75F6A0}">
      <formula1>$P$1:$P$2</formula1>
    </dataValidation>
    <dataValidation type="list" allowBlank="1" showInputMessage="1" showErrorMessage="1" sqref="F14" xr:uid="{4DAB7C51-0642-44D8-8625-C1B2454C05D5}">
      <formula1>$L$6:$L$10</formula1>
    </dataValidation>
  </dataValidations>
  <pageMargins left="0.7" right="0.7" top="0.75" bottom="0.75" header="0.3" footer="0.3"/>
  <pageSetup scale="37" fitToHeight="0" orientation="landscape" r:id="rId1"/>
  <rowBreaks count="1" manualBreakCount="1">
    <brk id="108" min="11" max="26" man="1"/>
  </rowBreaks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13313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784860</xdr:colOff>
                <xdr:row>0</xdr:row>
                <xdr:rowOff>0</xdr:rowOff>
              </to>
            </anchor>
          </controlPr>
        </control>
      </mc:Choice>
      <mc:Fallback>
        <control shapeId="13313" r:id="rId5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E210-52FB-456A-A470-A51B6DD3CBD4}">
  <sheetPr codeName="Sheet5">
    <pageSetUpPr fitToPage="1"/>
  </sheetPr>
  <dimension ref="A1:AA646"/>
  <sheetViews>
    <sheetView view="pageBreakPreview" topLeftCell="N20" zoomScale="70" zoomScaleNormal="78" zoomScaleSheetLayoutView="70" workbookViewId="0">
      <selection activeCell="M33" sqref="M33:AA143"/>
    </sheetView>
  </sheetViews>
  <sheetFormatPr defaultColWidth="8.6640625" defaultRowHeight="15" customHeight="1" outlineLevelRow="1" outlineLevelCol="1" x14ac:dyDescent="0.2"/>
  <cols>
    <col min="1" max="1" width="15.109375" style="190" hidden="1" customWidth="1" outlineLevel="1"/>
    <col min="2" max="2" width="19.6640625" style="190" hidden="1" customWidth="1" outlineLevel="1"/>
    <col min="3" max="4" width="15.109375" style="190" hidden="1" customWidth="1" outlineLevel="1"/>
    <col min="5" max="5" width="41.6640625" style="190" hidden="1" customWidth="1" outlineLevel="1"/>
    <col min="6" max="7" width="16.33203125" style="190" hidden="1" customWidth="1" outlineLevel="1"/>
    <col min="8" max="8" width="5.5546875" style="190" hidden="1" customWidth="1" outlineLevel="1" collapsed="1"/>
    <col min="9" max="10" width="5.5546875" style="190" hidden="1" customWidth="1" outlineLevel="1"/>
    <col min="11" max="11" width="9.109375" style="190" hidden="1" customWidth="1" outlineLevel="1"/>
    <col min="12" max="12" width="2" style="192" customWidth="1" collapsed="1"/>
    <col min="13" max="13" width="24.5546875" style="192" customWidth="1"/>
    <col min="14" max="14" width="48.6640625" style="192" customWidth="1"/>
    <col min="15" max="27" width="19.6640625" style="192" customWidth="1"/>
    <col min="28" max="16384" width="8.6640625" style="192"/>
  </cols>
  <sheetData>
    <row r="1" spans="1:27" s="129" customFormat="1" ht="15" hidden="1" customHeight="1" outlineLevel="1" x14ac:dyDescent="0.25">
      <c r="A1" s="127" t="s">
        <v>128</v>
      </c>
      <c r="B1" s="128" t="str">
        <f>_xll.EPMReportID(B7)</f>
        <v>000</v>
      </c>
      <c r="D1" s="130" t="s">
        <v>129</v>
      </c>
      <c r="E1" s="129" t="s">
        <v>130</v>
      </c>
      <c r="J1" s="129">
        <v>2</v>
      </c>
      <c r="N1" s="131">
        <v>2</v>
      </c>
      <c r="P1" s="132" t="s">
        <v>131</v>
      </c>
      <c r="Q1" s="128" t="str">
        <f>IF(R1=1,"TRUE","FALSE")</f>
        <v>TRUE</v>
      </c>
      <c r="R1" s="128">
        <f>IF(N26=P1,1,0)</f>
        <v>1</v>
      </c>
    </row>
    <row r="2" spans="1:27" s="129" customFormat="1" ht="15" hidden="1" customHeight="1" outlineLevel="1" x14ac:dyDescent="0.25">
      <c r="A2" s="127" t="s">
        <v>132</v>
      </c>
      <c r="B2" s="133" t="s">
        <v>133</v>
      </c>
      <c r="D2" s="134" t="s">
        <v>134</v>
      </c>
      <c r="E2" s="129" t="s">
        <v>130</v>
      </c>
      <c r="N2" s="131"/>
      <c r="P2" s="132" t="s">
        <v>135</v>
      </c>
      <c r="Q2" s="129" t="str">
        <f>_xll.EPMReportOptions("000",IF(R1=1,"KeepEmptyRows =RemoveEmptyandZero","KeepEmptyRows =True"))</f>
        <v>EPMReportOptions on report 000</v>
      </c>
    </row>
    <row r="3" spans="1:27" s="129" customFormat="1" ht="15" hidden="1" customHeight="1" outlineLevel="1" x14ac:dyDescent="0.25">
      <c r="A3" s="127" t="s">
        <v>136</v>
      </c>
      <c r="B3" s="135" t="s">
        <v>137</v>
      </c>
      <c r="D3" s="136" t="s">
        <v>138</v>
      </c>
      <c r="N3" s="137"/>
    </row>
    <row r="4" spans="1:27" s="129" customFormat="1" ht="15" hidden="1" customHeight="1" outlineLevel="1" x14ac:dyDescent="0.25">
      <c r="D4" s="138" t="s">
        <v>139</v>
      </c>
      <c r="E4" s="139" t="s">
        <v>140</v>
      </c>
      <c r="G4" s="140" t="str">
        <f>_xll.EPMMemberProperty(,E4,"CALC")</f>
        <v>#Error, no current connection.</v>
      </c>
      <c r="H4" s="140" t="e">
        <f>VALUE(_xll.EPMMemberProperty(,E4,"HLEVEL"))</f>
        <v>#VALUE!</v>
      </c>
      <c r="I4" s="141"/>
      <c r="J4" s="141"/>
      <c r="K4" s="141"/>
      <c r="M4" s="142" t="e">
        <f>REPT(" ",$H4)&amp;_xll.EPMMemberDesc($E4)</f>
        <v>#VALUE!</v>
      </c>
      <c r="N4" s="142" t="e">
        <f>REPT(" ",$H4)&amp;($E4)</f>
        <v>#VALUE!</v>
      </c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s="129" customFormat="1" ht="15" hidden="1" customHeight="1" outlineLevel="1" x14ac:dyDescent="0.25">
      <c r="A5" s="127" t="s">
        <v>141</v>
      </c>
      <c r="B5" s="134" t="s">
        <v>142</v>
      </c>
      <c r="C5" s="144" t="s">
        <v>143</v>
      </c>
      <c r="D5" s="145"/>
    </row>
    <row r="6" spans="1:27" s="129" customFormat="1" ht="15" hidden="1" customHeight="1" outlineLevel="1" x14ac:dyDescent="0.25">
      <c r="A6" s="127" t="s">
        <v>144</v>
      </c>
      <c r="B6" s="134" t="s">
        <v>145</v>
      </c>
      <c r="C6" s="144" t="s">
        <v>146</v>
      </c>
      <c r="D6" s="146" t="s">
        <v>147</v>
      </c>
      <c r="E6" s="129" t="str">
        <f>_xll.EPMMemberProperty(,D6,"YEAR")</f>
        <v>#Error, no current connection.</v>
      </c>
      <c r="F6" s="129" t="str">
        <f>D6</f>
        <v>FORECAST</v>
      </c>
      <c r="K6" s="147" t="str">
        <f>_xll.EPMMemberDesc(L6)</f>
        <v>#Error, no current connection.</v>
      </c>
      <c r="L6" s="132" t="s">
        <v>148</v>
      </c>
      <c r="M6" s="148" t="str">
        <f>"LDEP(9,"&amp;L6&amp;"),"&amp;L6</f>
        <v>LDEP(9,REVENUES),REVENUES</v>
      </c>
      <c r="N6" s="129">
        <f>IFERROR(IF(VLOOKUP($N$25,$D$6:$D$7,1,FALSE)&lt;&gt;"",1,0),0)</f>
        <v>1</v>
      </c>
      <c r="O6" s="129" t="str">
        <f>_xll.EPMMemberProperty(,O16,"CURRENTMONTH")&amp;$N$6</f>
        <v>#Error, no current connection.1</v>
      </c>
      <c r="P6" s="129" t="str">
        <f>_xll.EPMMemberProperty(,P16,"CURRENTMONTH")&amp;$N$6</f>
        <v>#Error, no current connection.1</v>
      </c>
      <c r="Q6" s="129" t="str">
        <f>_xll.EPMMemberProperty(,Q16,"CURRENTMONTH")&amp;$N$6</f>
        <v>#Error, no current connection.1</v>
      </c>
      <c r="R6" s="129" t="str">
        <f>_xll.EPMMemberProperty(,R16,"CURRENTMONTH")&amp;$N$6</f>
        <v>#Error, no current connection.1</v>
      </c>
      <c r="S6" s="129" t="str">
        <f>_xll.EPMMemberProperty(,S16,"CURRENTMONTH")&amp;$N$6</f>
        <v>#Error, no current connection.1</v>
      </c>
      <c r="T6" s="129" t="str">
        <f>_xll.EPMMemberProperty(,T16,"CURRENTMONTH")&amp;$N$6</f>
        <v>#Error, no current connection.1</v>
      </c>
      <c r="U6" s="129" t="str">
        <f>_xll.EPMMemberProperty(,U16,"CURRENTMONTH")&amp;$N$6</f>
        <v>#Error, no current connection.1</v>
      </c>
      <c r="V6" s="129" t="str">
        <f>_xll.EPMMemberProperty(,V16,"CURRENTMONTH")&amp;$N$6</f>
        <v>#Error, no current connection.1</v>
      </c>
      <c r="W6" s="129" t="str">
        <f>_xll.EPMMemberProperty(,W16,"CURRENTMONTH")&amp;$N$6</f>
        <v>#Error, no current connection.1</v>
      </c>
      <c r="X6" s="129" t="str">
        <f>_xll.EPMMemberProperty(,X16,"CURRENTMONTH")&amp;$N$6</f>
        <v>#Error, no current connection.1</v>
      </c>
      <c r="Y6" s="129" t="str">
        <f>_xll.EPMMemberProperty(,Y16,"CURRENTMONTH")&amp;$N$6</f>
        <v>#Error, no current connection.1</v>
      </c>
      <c r="Z6" s="129" t="str">
        <f>_xll.EPMMemberProperty(,Z16,"CURRENTMONTH")&amp;$N$6</f>
        <v>#Error, no current connection.1</v>
      </c>
    </row>
    <row r="7" spans="1:27" s="129" customFormat="1" ht="15" hidden="1" customHeight="1" outlineLevel="1" x14ac:dyDescent="0.25">
      <c r="A7" s="127" t="s">
        <v>149</v>
      </c>
      <c r="B7" s="149" t="str">
        <f xml:space="preserve"> _xll.EPMOlapMemberO(B16,"[COSTCENTER].[PARENTH1].[1002]","1002","","000")</f>
        <v>1002</v>
      </c>
      <c r="C7" s="144" t="s">
        <v>150</v>
      </c>
      <c r="D7" s="146" t="s">
        <v>151</v>
      </c>
      <c r="E7" s="129" t="str">
        <f>_xll.EPMMemberProperty(,D7,"YEAR")</f>
        <v>#Error, no current connection.</v>
      </c>
      <c r="F7" s="129" t="str">
        <f>D7</f>
        <v>WKG_BUDGET</v>
      </c>
      <c r="K7" s="147" t="str">
        <f>_xll.EPMMemberDesc(L7)</f>
        <v>#Error, no current connection.</v>
      </c>
      <c r="L7" s="132" t="s">
        <v>152</v>
      </c>
      <c r="M7" s="148" t="str">
        <f>"LDEP(99,"&amp;L7&amp;"),"&amp;L7</f>
        <v>LDEP(99,ELECTRIC),ELECTRIC</v>
      </c>
    </row>
    <row r="8" spans="1:27" s="129" customFormat="1" ht="15" hidden="1" customHeight="1" outlineLevel="1" x14ac:dyDescent="0.25">
      <c r="A8" s="127" t="s">
        <v>153</v>
      </c>
      <c r="B8" s="134" t="s">
        <v>145</v>
      </c>
      <c r="C8" s="144" t="s">
        <v>146</v>
      </c>
      <c r="D8" s="145"/>
      <c r="E8" s="129" t="s">
        <v>154</v>
      </c>
      <c r="F8" s="129" t="str">
        <f>+F6</f>
        <v>FORECAST</v>
      </c>
      <c r="G8" s="129" t="s">
        <v>155</v>
      </c>
      <c r="H8" s="129" t="str">
        <f>_xll.EPMSelectMember("","[I_ENTITY].[PARENTH1].[IE_NA]","","",FALSE)</f>
        <v>#Error, no current connection.</v>
      </c>
      <c r="K8" s="147" t="str">
        <f>_xll.EPMMemberDesc(L8)</f>
        <v>#Error, no current connection.</v>
      </c>
      <c r="L8" s="132" t="s">
        <v>156</v>
      </c>
      <c r="M8" s="148" t="str">
        <f>"LDEP(99,"&amp;L8&amp;"),"&amp;L8</f>
        <v>LDEP(99,GAS),GAS</v>
      </c>
      <c r="O8" s="150" t="s">
        <v>157</v>
      </c>
    </row>
    <row r="9" spans="1:27" s="129" customFormat="1" ht="15" hidden="1" customHeight="1" outlineLevel="1" x14ac:dyDescent="0.25">
      <c r="A9" s="127" t="s">
        <v>158</v>
      </c>
      <c r="B9" s="149" t="str">
        <f xml:space="preserve"> _xll.EPMOlapMemberO(B17,"[ENTITY].[PARENTH1].[E_2201]","E_2201","","000")</f>
        <v>E_2201</v>
      </c>
      <c r="C9" s="144" t="s">
        <v>150</v>
      </c>
      <c r="D9" s="145"/>
      <c r="E9" s="129" t="s">
        <v>159</v>
      </c>
      <c r="F9" s="129" t="str">
        <f>+F7</f>
        <v>WKG_BUDGET</v>
      </c>
      <c r="G9" s="129" t="s">
        <v>155</v>
      </c>
      <c r="H9" s="129" t="str">
        <f>_xll.EPMSelectMember("","[I_ENTITY].[PARENTH1].[IE_NA]","","",FALSE)</f>
        <v>#Error, no current connection.</v>
      </c>
      <c r="K9" s="147" t="str">
        <f>_xll.EPMMemberDesc(L9)</f>
        <v>#Error, no current connection.</v>
      </c>
      <c r="L9" s="132" t="s">
        <v>160</v>
      </c>
      <c r="M9" s="148" t="str">
        <f>"LDEP(99,"&amp;L9&amp;"),"&amp;L9</f>
        <v>LDEP(99,UNREGULATED),UNREGULATED</v>
      </c>
      <c r="O9" s="151" t="s">
        <v>161</v>
      </c>
    </row>
    <row r="10" spans="1:27" s="129" customFormat="1" ht="15" hidden="1" customHeight="1" outlineLevel="1" x14ac:dyDescent="0.25">
      <c r="A10" s="127" t="s">
        <v>162</v>
      </c>
      <c r="B10" s="149" t="str">
        <f xml:space="preserve"> _xll.EPMOlapMemberO("[FLOW].[PARENTH1].[NO_FLOW]","","NO_FLOW","","000")</f>
        <v>NO_FLOW</v>
      </c>
      <c r="C10" s="144" t="s">
        <v>163</v>
      </c>
      <c r="D10" s="152" t="str">
        <f>IFERROR(VLOOKUP(LEFT($N$24,4),$E$6:$F$7,2,FALSE),"ACTUAL")</f>
        <v>ACTUAL</v>
      </c>
      <c r="E10" s="129" t="s">
        <v>164</v>
      </c>
      <c r="F10" s="129" t="str">
        <f>+F8</f>
        <v>FORECAST</v>
      </c>
      <c r="G10" s="129" t="s">
        <v>165</v>
      </c>
      <c r="H10" s="129" t="str">
        <f>_xll.EPMSelectMember("","[I_ENTITY].[PARENTH1].[IE_NA]","","",FALSE)</f>
        <v>#Error, no current connection.</v>
      </c>
      <c r="K10" s="147" t="str">
        <f>_xll.EPMMemberDesc(L10)</f>
        <v>#Error, no current connection.</v>
      </c>
      <c r="L10" s="132" t="s">
        <v>166</v>
      </c>
      <c r="M10" s="148" t="str">
        <f>"LDEP(99,"&amp;L10&amp;"),"&amp;L10</f>
        <v>LDEP(99,SVC_CO_REV),SVC_CO_REV</v>
      </c>
      <c r="O10" s="151" t="s">
        <v>144</v>
      </c>
    </row>
    <row r="11" spans="1:27" s="129" customFormat="1" ht="15" hidden="1" customHeight="1" outlineLevel="1" x14ac:dyDescent="0.25">
      <c r="A11" s="127" t="s">
        <v>167</v>
      </c>
      <c r="B11" s="153"/>
      <c r="C11" s="144" t="s">
        <v>163</v>
      </c>
      <c r="D11" s="145"/>
      <c r="E11" s="129" t="s">
        <v>168</v>
      </c>
      <c r="F11" s="129" t="str">
        <f>+F9</f>
        <v>WKG_BUDGET</v>
      </c>
      <c r="G11" s="129" t="s">
        <v>165</v>
      </c>
      <c r="H11" s="129" t="str">
        <f>_xll.EPMSelectMember("","[I_ENTITY].[PARENTH1].[IE_NA]","","",FALSE)</f>
        <v>#Error, no current connection.</v>
      </c>
      <c r="M11" s="154" t="s">
        <v>169</v>
      </c>
      <c r="N11" s="155" t="s">
        <v>170</v>
      </c>
      <c r="O11" s="129" t="str">
        <f>_xll.EPMSelectMember(,IFERROR(VLOOKUP(O6&amp;$N$11,$E$8:$H$11,4,FALSE),$E$12))</f>
        <v>#Error, no current connection.</v>
      </c>
      <c r="P11" s="129" t="str">
        <f>_xll.EPMSelectMember(,IFERROR(VLOOKUP(P6&amp;$N$11,$E$8:$H$11,4,FALSE),$E$12))</f>
        <v>#Error, no current connection.</v>
      </c>
      <c r="Q11" s="129" t="str">
        <f>_xll.EPMSelectMember(,IFERROR(VLOOKUP(Q6&amp;$N$11,$E$8:$H$11,4,FALSE),$E$12))</f>
        <v>#Error, no current connection.</v>
      </c>
      <c r="R11" s="129" t="str">
        <f>_xll.EPMSelectMember(,IFERROR(VLOOKUP(R6&amp;$N$11,$E$8:$H$11,4,FALSE),$E$12))</f>
        <v>#Error, no current connection.</v>
      </c>
      <c r="S11" s="129" t="str">
        <f>_xll.EPMSelectMember(,IFERROR(VLOOKUP(S6&amp;$N$11,$E$8:$H$11,4,FALSE),$E$12))</f>
        <v>#Error, no current connection.</v>
      </c>
      <c r="T11" s="129" t="str">
        <f>_xll.EPMSelectMember(,IFERROR(VLOOKUP(T6&amp;$N$11,$E$8:$H$11,4,FALSE),$E$12))</f>
        <v>#Error, no current connection.</v>
      </c>
      <c r="U11" s="129" t="str">
        <f>_xll.EPMSelectMember(,IFERROR(VLOOKUP(U6&amp;$N$11,$E$8:$H$11,4,FALSE),$E$12))</f>
        <v>#Error, no current connection.</v>
      </c>
      <c r="V11" s="129" t="str">
        <f>_xll.EPMSelectMember(,IFERROR(VLOOKUP(V6&amp;$N$11,$E$8:$H$11,4,FALSE),$E$12))</f>
        <v>#Error, no current connection.</v>
      </c>
      <c r="W11" s="129" t="str">
        <f>_xll.EPMSelectMember(,IFERROR(VLOOKUP(W6&amp;$N$11,$E$8:$H$11,4,FALSE),$E$12))</f>
        <v>#Error, no current connection.</v>
      </c>
      <c r="X11" s="129" t="str">
        <f>_xll.EPMSelectMember(,IFERROR(VLOOKUP(X6&amp;$N$11,$E$8:$H$11,4,FALSE),$E$12))</f>
        <v>#Error, no current connection.</v>
      </c>
      <c r="Y11" s="129" t="str">
        <f>_xll.EPMSelectMember(,IFERROR(VLOOKUP(Y6&amp;$N$11,$E$8:$H$11,4,FALSE),$E$12))</f>
        <v>#Error, no current connection.</v>
      </c>
      <c r="Z11" s="129" t="str">
        <f>_xll.EPMSelectMember(,IFERROR(VLOOKUP(Z6&amp;$N$11,$E$8:$H$11,4,FALSE),$E$12))</f>
        <v>#Error, no current connection.</v>
      </c>
    </row>
    <row r="12" spans="1:27" s="129" customFormat="1" ht="15" hidden="1" customHeight="1" outlineLevel="1" x14ac:dyDescent="0.25">
      <c r="A12" s="127" t="s">
        <v>171</v>
      </c>
      <c r="B12" s="149" t="str">
        <f xml:space="preserve"> _xll.EPMOlapMemberO("[RPTCURRENCY].[].[LC]","","LC","","000")</f>
        <v>LC</v>
      </c>
      <c r="C12" s="144" t="s">
        <v>163</v>
      </c>
      <c r="D12" s="145"/>
      <c r="E12" s="129" t="str">
        <f>_xll.EPMSelectMember("","[I_ENTITY].[PARENTH1].[ALL_IE_ENTITIES]","","",FALSE)</f>
        <v>#Error, no current connection.</v>
      </c>
      <c r="O12" s="156" t="s">
        <v>172</v>
      </c>
      <c r="P12" s="156" t="s">
        <v>173</v>
      </c>
      <c r="Q12" s="156" t="s">
        <v>174</v>
      </c>
      <c r="R12" s="156" t="s">
        <v>175</v>
      </c>
      <c r="S12" s="156" t="s">
        <v>176</v>
      </c>
      <c r="T12" s="156" t="s">
        <v>177</v>
      </c>
      <c r="U12" s="156" t="s">
        <v>178</v>
      </c>
      <c r="V12" s="156" t="s">
        <v>179</v>
      </c>
      <c r="W12" s="156" t="s">
        <v>180</v>
      </c>
      <c r="X12" s="156" t="s">
        <v>181</v>
      </c>
      <c r="Y12" s="156" t="s">
        <v>182</v>
      </c>
      <c r="Z12" s="156" t="s">
        <v>183</v>
      </c>
      <c r="AA12" s="156" t="s">
        <v>184</v>
      </c>
    </row>
    <row r="13" spans="1:27" s="129" customFormat="1" ht="15" hidden="1" customHeight="1" outlineLevel="1" x14ac:dyDescent="0.25">
      <c r="A13" s="127" t="s">
        <v>161</v>
      </c>
      <c r="B13" s="134" t="s">
        <v>145</v>
      </c>
      <c r="C13" s="144" t="s">
        <v>146</v>
      </c>
      <c r="D13" s="145"/>
      <c r="M13" s="157" t="s">
        <v>185</v>
      </c>
      <c r="N13" s="157" t="s">
        <v>186</v>
      </c>
      <c r="O13" s="158" t="str">
        <f t="shared" ref="O13:AA13" si="0">LEFT($N$24,5)&amp;O12</f>
        <v>2024.JAN</v>
      </c>
      <c r="P13" s="158" t="str">
        <f t="shared" si="0"/>
        <v>2024.FEB</v>
      </c>
      <c r="Q13" s="158" t="str">
        <f t="shared" si="0"/>
        <v>2024.MAR</v>
      </c>
      <c r="R13" s="158" t="str">
        <f t="shared" si="0"/>
        <v>2024.APR</v>
      </c>
      <c r="S13" s="158" t="str">
        <f t="shared" si="0"/>
        <v>2024.MAY</v>
      </c>
      <c r="T13" s="158" t="str">
        <f t="shared" si="0"/>
        <v>2024.JUN</v>
      </c>
      <c r="U13" s="158" t="str">
        <f t="shared" si="0"/>
        <v>2024.JUL</v>
      </c>
      <c r="V13" s="158" t="str">
        <f t="shared" si="0"/>
        <v>2024.AUG</v>
      </c>
      <c r="W13" s="158" t="str">
        <f t="shared" si="0"/>
        <v>2024.SEP</v>
      </c>
      <c r="X13" s="158" t="str">
        <f t="shared" si="0"/>
        <v>2024.OCT</v>
      </c>
      <c r="Y13" s="158" t="str">
        <f t="shared" si="0"/>
        <v>2024.NOV</v>
      </c>
      <c r="Z13" s="158" t="str">
        <f t="shared" si="0"/>
        <v>2024.DEC</v>
      </c>
      <c r="AA13" s="158" t="str">
        <f t="shared" si="0"/>
        <v>2024.TOTAL</v>
      </c>
    </row>
    <row r="14" spans="1:27" s="129" customFormat="1" ht="15" hidden="1" customHeight="1" outlineLevel="1" x14ac:dyDescent="0.25">
      <c r="A14" s="159" t="s">
        <v>187</v>
      </c>
      <c r="B14" s="149" t="str">
        <f xml:space="preserve"> _xll.EPMOlapMemberO("[MEASURES].[].[PERIODIC]","","PERIODIC","","000")</f>
        <v>PERIODIC</v>
      </c>
      <c r="C14" s="144" t="s">
        <v>163</v>
      </c>
      <c r="D14" s="145"/>
      <c r="E14" s="160" t="s">
        <v>188</v>
      </c>
      <c r="F14" s="155" t="s">
        <v>189</v>
      </c>
      <c r="G14" s="161" t="str">
        <f>_xll.EPMMemberDesc(F14)</f>
        <v>#Error, no current connection.</v>
      </c>
      <c r="M14" s="157" t="s">
        <v>190</v>
      </c>
      <c r="N14" s="157" t="s">
        <v>191</v>
      </c>
      <c r="O14" s="162" t="str">
        <f t="shared" ref="O14:AA14" si="1">$N$25</f>
        <v>WKG_BUDGET</v>
      </c>
      <c r="P14" s="162" t="str">
        <f t="shared" si="1"/>
        <v>WKG_BUDGET</v>
      </c>
      <c r="Q14" s="162" t="str">
        <f t="shared" si="1"/>
        <v>WKG_BUDGET</v>
      </c>
      <c r="R14" s="162" t="str">
        <f t="shared" si="1"/>
        <v>WKG_BUDGET</v>
      </c>
      <c r="S14" s="162" t="str">
        <f t="shared" si="1"/>
        <v>WKG_BUDGET</v>
      </c>
      <c r="T14" s="162" t="str">
        <f t="shared" si="1"/>
        <v>WKG_BUDGET</v>
      </c>
      <c r="U14" s="162" t="str">
        <f t="shared" si="1"/>
        <v>WKG_BUDGET</v>
      </c>
      <c r="V14" s="162" t="str">
        <f t="shared" si="1"/>
        <v>WKG_BUDGET</v>
      </c>
      <c r="W14" s="162" t="str">
        <f t="shared" si="1"/>
        <v>WKG_BUDGET</v>
      </c>
      <c r="X14" s="162" t="str">
        <f t="shared" si="1"/>
        <v>WKG_BUDGET</v>
      </c>
      <c r="Y14" s="162" t="str">
        <f t="shared" si="1"/>
        <v>WKG_BUDGET</v>
      </c>
      <c r="Z14" s="162" t="str">
        <f t="shared" si="1"/>
        <v>WKG_BUDGET</v>
      </c>
      <c r="AA14" s="162" t="str">
        <f t="shared" si="1"/>
        <v>WKG_BUDGET</v>
      </c>
    </row>
    <row r="15" spans="1:27" s="129" customFormat="1" ht="15" hidden="1" customHeight="1" outlineLevel="1" x14ac:dyDescent="0.25">
      <c r="A15" s="163" t="s">
        <v>192</v>
      </c>
      <c r="B15" s="164"/>
      <c r="O15" s="165" t="str">
        <f>_xll.EPMSelectMember(,IFERROR(VLOOKUP(O6&amp;$N$11,$E$8:$G$11,3,FALSE),VLOOKUP($N$11,$B$22:$C$23,2,FALSE)))</f>
        <v>#Error, no current connection.</v>
      </c>
      <c r="P15" s="165" t="str">
        <f>_xll.EPMSelectMember(,IFERROR(VLOOKUP(P6&amp;$N$11,$E$8:$G$11,3,FALSE),VLOOKUP($N$11,$B$22:$C$23,2,FALSE)))</f>
        <v>#Error, no current connection.</v>
      </c>
      <c r="Q15" s="165" t="str">
        <f>_xll.EPMSelectMember(,IFERROR(VLOOKUP(Q6&amp;$N$11,$E$8:$G$11,3,FALSE),VLOOKUP($N$11,$B$22:$C$23,2,FALSE)))</f>
        <v>#Error, no current connection.</v>
      </c>
      <c r="R15" s="165" t="str">
        <f>_xll.EPMSelectMember(,IFERROR(VLOOKUP(R6&amp;$N$11,$E$8:$G$11,3,FALSE),VLOOKUP($N$11,$B$22:$C$23,2,FALSE)))</f>
        <v>#Error, no current connection.</v>
      </c>
      <c r="S15" s="165" t="str">
        <f>_xll.EPMSelectMember(,IFERROR(VLOOKUP(S6&amp;$N$11,$E$8:$G$11,3,FALSE),VLOOKUP($N$11,$B$22:$C$23,2,FALSE)))</f>
        <v>#Error, no current connection.</v>
      </c>
      <c r="T15" s="165" t="str">
        <f>_xll.EPMSelectMember(,IFERROR(VLOOKUP(T6&amp;$N$11,$E$8:$G$11,3,FALSE),VLOOKUP($N$11,$B$22:$C$23,2,FALSE)))</f>
        <v>#Error, no current connection.</v>
      </c>
      <c r="U15" s="165" t="str">
        <f>_xll.EPMSelectMember(,IFERROR(VLOOKUP(U6&amp;$N$11,$E$8:$G$11,3,FALSE),VLOOKUP($N$11,$B$22:$C$23,2,FALSE)))</f>
        <v>#Error, no current connection.</v>
      </c>
      <c r="V15" s="165" t="str">
        <f>_xll.EPMSelectMember(,IFERROR(VLOOKUP(V6&amp;$N$11,$E$8:$G$11,3,FALSE),VLOOKUP($N$11,$B$22:$C$23,2,FALSE)))</f>
        <v>#Error, no current connection.</v>
      </c>
      <c r="W15" s="165" t="str">
        <f>_xll.EPMSelectMember(,IFERROR(VLOOKUP(W6&amp;$N$11,$E$8:$G$11,3,FALSE),VLOOKUP($N$11,$B$22:$C$23,2,FALSE)))</f>
        <v>#Error, no current connection.</v>
      </c>
      <c r="X15" s="165" t="str">
        <f>_xll.EPMSelectMember(,IFERROR(VLOOKUP(X6&amp;$N$11,$E$8:$G$11,3,FALSE),VLOOKUP($N$11,$B$22:$C$23,2,FALSE)))</f>
        <v>#Error, no current connection.</v>
      </c>
      <c r="Y15" s="165" t="str">
        <f>_xll.EPMSelectMember(,IFERROR(VLOOKUP(Y6&amp;$N$11,$E$8:$G$11,3,FALSE),VLOOKUP($N$11,$B$22:$C$23,2,FALSE)))</f>
        <v>#Error, no current connection.</v>
      </c>
      <c r="Z15" s="165" t="str">
        <f>_xll.EPMSelectMember(,IFERROR(VLOOKUP(Z6&amp;$N$11,$E$8:$G$11,3,FALSE),VLOOKUP($N$11,$B$22:$C$23,2,FALSE)))</f>
        <v>#Error, no current connection.</v>
      </c>
      <c r="AA15" s="165"/>
    </row>
    <row r="16" spans="1:27" s="129" customFormat="1" ht="15" hidden="1" customHeight="1" outlineLevel="1" x14ac:dyDescent="0.25">
      <c r="A16" s="127" t="s">
        <v>149</v>
      </c>
      <c r="B16" s="166" t="str">
        <f>N22</f>
        <v>1002</v>
      </c>
      <c r="C16" s="145" t="s">
        <v>193</v>
      </c>
      <c r="D16" s="129" t="str">
        <f>_xll.EPMMemberProperty(,_xll.EPMContextMember(,"COSTCENTER"),"TYPE")</f>
        <v>#Error, no current connection.</v>
      </c>
      <c r="E16" s="167" t="s">
        <v>148</v>
      </c>
      <c r="N16" s="168" t="str">
        <f xml:space="preserve"> _xll.EPMOlapMemberO("[Blank Member]","","","","000")</f>
        <v/>
      </c>
      <c r="O16" s="168" t="str">
        <f xml:space="preserve"> _xll.EPMOlapMemberO(O13,"[TIME].[PARENTH1].[2020.JAN]","2020 JAN","","000")</f>
        <v>2024.JAN</v>
      </c>
      <c r="P16" s="168" t="str">
        <f xml:space="preserve"> _xll.EPMOlapMemberO(P13,"[TIME].[PARENTH1].[2020.FEB]","2020 FEB","","000")</f>
        <v>2024.FEB</v>
      </c>
      <c r="Q16" s="168" t="str">
        <f xml:space="preserve"> _xll.EPMOlapMemberO(Q13,"[TIME].[PARENTH1].[2020.MAR]","2020 MAR","","000")</f>
        <v>2024.MAR</v>
      </c>
      <c r="R16" s="168" t="str">
        <f xml:space="preserve"> _xll.EPMOlapMemberO(R13,"[TIME].[PARENTH1].[2020.APR]","2020 APR","","000")</f>
        <v>2024.APR</v>
      </c>
      <c r="S16" s="168" t="str">
        <f xml:space="preserve"> _xll.EPMOlapMemberO(S13,"[TIME].[PARENTH1].[2020.MAY]","2020 MAY","","000")</f>
        <v>2024.MAY</v>
      </c>
      <c r="T16" s="168" t="str">
        <f xml:space="preserve"> _xll.EPMOlapMemberO(T13,"[TIME].[PARENTH1].[2020.JUN]","2020 JUN","","000")</f>
        <v>2024.JUN</v>
      </c>
      <c r="U16" s="168" t="str">
        <f xml:space="preserve"> _xll.EPMOlapMemberO(U13,"[TIME].[PARENTH1].[2020.JUL]","2020 JUL","","000")</f>
        <v>2024.JUL</v>
      </c>
      <c r="V16" s="168" t="str">
        <f xml:space="preserve"> _xll.EPMOlapMemberO(V13,"[TIME].[PARENTH1].[2020.AUG]","2020 AUG","","000")</f>
        <v>2024.AUG</v>
      </c>
      <c r="W16" s="168" t="str">
        <f xml:space="preserve"> _xll.EPMOlapMemberO(W13,"[TIME].[PARENTH1].[2020.SEP]","2020 SEP","","000")</f>
        <v>2024.SEP</v>
      </c>
      <c r="X16" s="168" t="str">
        <f xml:space="preserve"> _xll.EPMOlapMemberO(X13,"[TIME].[PARENTH1].[2020.OCT]","2020 OCT","","000")</f>
        <v>2024.OCT</v>
      </c>
      <c r="Y16" s="168" t="str">
        <f xml:space="preserve"> _xll.EPMOlapMemberO(Y13,"[TIME].[PARENTH1].[2020.NOV]","2020 NOV","","000")</f>
        <v>2024.NOV</v>
      </c>
      <c r="Z16" s="168" t="str">
        <f xml:space="preserve"> _xll.EPMOlapMemberO(Z13,"[TIME].[PARENTH1].[2020.DEC]","2020 DEC","","000")</f>
        <v>2024.DEC</v>
      </c>
      <c r="AA16" s="168" t="str">
        <f xml:space="preserve"> _xll.EPMOlapMemberO(Z13,"[TIME].[PARENTH1].[2020.DEC]","2020 DEC","","000")</f>
        <v>2024.DEC</v>
      </c>
    </row>
    <row r="17" spans="1:27" s="129" customFormat="1" ht="15" hidden="1" customHeight="1" outlineLevel="1" x14ac:dyDescent="0.25">
      <c r="A17" s="169" t="s">
        <v>158</v>
      </c>
      <c r="B17" s="166" t="str">
        <f>N23</f>
        <v>E_2201</v>
      </c>
      <c r="C17" s="145" t="s">
        <v>193</v>
      </c>
      <c r="D17" s="129" t="str">
        <f>_xll.EPMSelectMember(,IF(D16="PC",_xll.EPMContextMember(,"COSTCENTER"),"1002"))</f>
        <v>#Error, no current connection.</v>
      </c>
      <c r="E17" s="167" t="s">
        <v>194</v>
      </c>
      <c r="N17" s="168" t="str">
        <f xml:space="preserve"> _xll.EPMOlapMemberO("[Blank Member]","","","","000")</f>
        <v/>
      </c>
      <c r="O17" s="168" t="str">
        <f xml:space="preserve"> _xll.EPMOlapMemberO(O14,"[CATEGORY].[PARENTH1].[FORECAST]","FORECAST","","000")</f>
        <v>WKG_BUDGET</v>
      </c>
      <c r="P17" s="168" t="str">
        <f xml:space="preserve"> _xll.EPMOlapMemberO(P14,"[CATEGORY].[PARENTH1].[FORECAST]","FORECAST","","000")</f>
        <v>WKG_BUDGET</v>
      </c>
      <c r="Q17" s="168" t="str">
        <f xml:space="preserve"> _xll.EPMOlapMemberO(Q14,"[CATEGORY].[PARENTH1].[FORECAST]","FORECAST","","000")</f>
        <v>WKG_BUDGET</v>
      </c>
      <c r="R17" s="168" t="str">
        <f xml:space="preserve"> _xll.EPMOlapMemberO(R14,"[CATEGORY].[PARENTH1].[FORECAST]","FORECAST","","000")</f>
        <v>WKG_BUDGET</v>
      </c>
      <c r="S17" s="168" t="str">
        <f xml:space="preserve"> _xll.EPMOlapMemberO(S14,"[CATEGORY].[PARENTH1].[FORECAST]","FORECAST","","000")</f>
        <v>WKG_BUDGET</v>
      </c>
      <c r="T17" s="168" t="str">
        <f xml:space="preserve"> _xll.EPMOlapMemberO(T14,"[CATEGORY].[PARENTH1].[FORECAST]","FORECAST","","000")</f>
        <v>WKG_BUDGET</v>
      </c>
      <c r="U17" s="168" t="str">
        <f xml:space="preserve"> _xll.EPMOlapMemberO(U14,"[CATEGORY].[PARENTH1].[FORECAST]","FORECAST","","000")</f>
        <v>WKG_BUDGET</v>
      </c>
      <c r="V17" s="168" t="str">
        <f xml:space="preserve"> _xll.EPMOlapMemberO(V14,"[CATEGORY].[PARENTH1].[FORECAST]","FORECAST","","000")</f>
        <v>WKG_BUDGET</v>
      </c>
      <c r="W17" s="168" t="str">
        <f xml:space="preserve"> _xll.EPMOlapMemberO(W14,"[CATEGORY].[PARENTH1].[FORECAST]","FORECAST","","000")</f>
        <v>WKG_BUDGET</v>
      </c>
      <c r="X17" s="168" t="str">
        <f xml:space="preserve"> _xll.EPMOlapMemberO(X14,"[CATEGORY].[PARENTH1].[FORECAST]","FORECAST","","000")</f>
        <v>WKG_BUDGET</v>
      </c>
      <c r="Y17" s="168" t="str">
        <f xml:space="preserve"> _xll.EPMOlapMemberO(Y14,"[CATEGORY].[PARENTH1].[FORECAST]","FORECAST","","000")</f>
        <v>WKG_BUDGET</v>
      </c>
      <c r="Z17" s="168" t="str">
        <f xml:space="preserve"> _xll.EPMOlapMemberO(Z14,"[CATEGORY].[PARENTH1].[FORECAST]","FORECAST","","000")</f>
        <v>WKG_BUDGET</v>
      </c>
      <c r="AA17" s="168" t="str">
        <f xml:space="preserve"> _xll.EPMOlapMemberO(Z14,"[CATEGORY].[PARENTH1].[FORECAST]","FORECAST","","000")</f>
        <v>WKG_BUDGET</v>
      </c>
    </row>
    <row r="18" spans="1:27" s="129" customFormat="1" ht="15" hidden="1" customHeight="1" outlineLevel="1" x14ac:dyDescent="0.25">
      <c r="A18" s="138" t="s">
        <v>195</v>
      </c>
      <c r="B18" s="170" t="e">
        <f>_xll.EPMDimensionOverride($B$1,$A$5,VLOOKUP($N$21,$K$6:$M$10,3,FALSE))</f>
        <v>#VALUE!</v>
      </c>
      <c r="D18" s="147"/>
      <c r="E18" s="167" t="s">
        <v>156</v>
      </c>
      <c r="N18" s="168" t="str">
        <f xml:space="preserve"> _xll.EPMOlapMemberO("[Blank Member]","","","","000")</f>
        <v/>
      </c>
      <c r="O18" s="168" t="str">
        <f xml:space="preserve"> _xll.EPMOlapMemberO(O15,"[DATASOURCE].[PARENTH1].[TOTAL_REST_FI]","TOTAL_REST_FI","","000")</f>
        <v>#Error, no current connection.</v>
      </c>
      <c r="P18" s="168" t="str">
        <f xml:space="preserve"> _xll.EPMOlapMemberO(P15,"[DATASOURCE].[PARENTH1].[TOTAL_REST_FI]","TOTAL_REST_FI","","000")</f>
        <v>#Error, no current connection.</v>
      </c>
      <c r="Q18" s="168" t="str">
        <f xml:space="preserve"> _xll.EPMOlapMemberO(Q15,"[DATASOURCE].[PARENTH1].[TOTAL_REST_FI]","TOTAL_REST_FI","","000")</f>
        <v>#Error, no current connection.</v>
      </c>
      <c r="R18" s="168" t="str">
        <f xml:space="preserve"> _xll.EPMOlapMemberO(R15,"[DATASOURCE].[PARENTH1].[TOTAL_REST_FI]","TOTAL_REST_FI","","000")</f>
        <v>#Error, no current connection.</v>
      </c>
      <c r="S18" s="168" t="str">
        <f xml:space="preserve"> _xll.EPMOlapMemberO(S15,"[DATASOURCE].[PARENTH1].[TOTAL_REST_FI]","TOTAL_REST_FI","","000")</f>
        <v>#Error, no current connection.</v>
      </c>
      <c r="T18" s="168" t="str">
        <f xml:space="preserve"> _xll.EPMOlapMemberO(T15,"[DATASOURCE].[PARENTH1].[TOTAL_REST_FI]","TOTAL_REST_FI","","000")</f>
        <v>#Error, no current connection.</v>
      </c>
      <c r="U18" s="168" t="str">
        <f xml:space="preserve"> _xll.EPMOlapMemberO(U15,"[DATASOURCE].[PARENTH1].[TOTAL_REST_FI]","TOTAL_REST_FI","","000")</f>
        <v>#Error, no current connection.</v>
      </c>
      <c r="V18" s="168" t="str">
        <f xml:space="preserve"> _xll.EPMOlapMemberO(V15,"[DATASOURCE].[PARENTH1].[INPUT]","INPUT","","000")</f>
        <v>#Error, no current connection.</v>
      </c>
      <c r="W18" s="168" t="str">
        <f xml:space="preserve"> _xll.EPMOlapMemberO(W15,"[DATASOURCE].[PARENTH1].[INPUT]","INPUT","","000")</f>
        <v>#Error, no current connection.</v>
      </c>
      <c r="X18" s="168" t="str">
        <f xml:space="preserve"> _xll.EPMOlapMemberO(X15,"[DATASOURCE].[PARENTH1].[INPUT]","INPUT","","000")</f>
        <v>#Error, no current connection.</v>
      </c>
      <c r="Y18" s="168" t="str">
        <f xml:space="preserve"> _xll.EPMOlapMemberO(Y15,"[DATASOURCE].[PARENTH1].[INPUT]","INPUT","","000")</f>
        <v>#Error, no current connection.</v>
      </c>
      <c r="Z18" s="168" t="str">
        <f xml:space="preserve"> _xll.EPMOlapMemberO(Z15,"[DATASOURCE].[PARENTH1].[INPUT]","INPUT","","000")</f>
        <v>#Error, no current connection.</v>
      </c>
      <c r="AA18" s="168" t="str">
        <f xml:space="preserve"> _xll.EPMOlapMemberO(Z15,"[DATASOURCE].[PARENTH1].[INPUT]","INPUT","","000")</f>
        <v>#Error, no current connection.</v>
      </c>
    </row>
    <row r="19" spans="1:27" s="129" customFormat="1" ht="9.9" hidden="1" customHeight="1" outlineLevel="1" x14ac:dyDescent="0.25">
      <c r="E19" s="167" t="s">
        <v>160</v>
      </c>
      <c r="N19" s="168" t="str">
        <f xml:space="preserve"> _xll.FPMXLClient.TechnicalCategory.EPMLocalMember("ACCOUNT_DESC","000","000")</f>
        <v>ACCOUNT_DESC</v>
      </c>
      <c r="O19" s="168" t="str">
        <f xml:space="preserve"> _xll.EPMOlapMemberO(O11,"[I_ENTITY].[PARENTH1].[ALL_IE_ENTITIES]","ALL_IE_ENTITIES","","000")</f>
        <v>#Error, no current connection.</v>
      </c>
      <c r="P19" s="168" t="str">
        <f xml:space="preserve"> _xll.EPMOlapMemberO(P11,"[I_ENTITY].[PARENTH1].[ALL_IE_ENTITIES]","ALL_IE_ENTITIES","","000")</f>
        <v>#Error, no current connection.</v>
      </c>
      <c r="Q19" s="168" t="str">
        <f xml:space="preserve"> _xll.EPMOlapMemberO(Q11,"[I_ENTITY].[PARENTH1].[ALL_IE_ENTITIES]","ALL_IE_ENTITIES","","000")</f>
        <v>#Error, no current connection.</v>
      </c>
      <c r="R19" s="168" t="str">
        <f xml:space="preserve"> _xll.EPMOlapMemberO(R11,"[I_ENTITY].[PARENTH1].[ALL_IE_ENTITIES]","ALL_IE_ENTITIES","","000")</f>
        <v>#Error, no current connection.</v>
      </c>
      <c r="S19" s="168" t="str">
        <f xml:space="preserve"> _xll.EPMOlapMemberO(S11,"[I_ENTITY].[PARENTH1].[ALL_IE_ENTITIES]","ALL_IE_ENTITIES","","000")</f>
        <v>#Error, no current connection.</v>
      </c>
      <c r="T19" s="168" t="str">
        <f xml:space="preserve"> _xll.EPMOlapMemberO(T11,"[I_ENTITY].[PARENTH1].[ALL_IE_ENTITIES]","ALL_IE_ENTITIES","","000")</f>
        <v>#Error, no current connection.</v>
      </c>
      <c r="U19" s="168" t="str">
        <f xml:space="preserve"> _xll.EPMOlapMemberO(U11,"[I_ENTITY].[PARENTH1].[ALL_IE_ENTITIES]","ALL_IE_ENTITIES","","000")</f>
        <v>#Error, no current connection.</v>
      </c>
      <c r="V19" s="168" t="str">
        <f xml:space="preserve"> _xll.EPMOlapMemberO(V11,"[I_ENTITY].[PARENTH1].[IE_NA]","IE_NA","","000")</f>
        <v>#Error, no current connection.</v>
      </c>
      <c r="W19" s="168" t="str">
        <f xml:space="preserve"> _xll.EPMOlapMemberO(W11,"[I_ENTITY].[PARENTH1].[IE_NA]","IE_NA","","000")</f>
        <v>#Error, no current connection.</v>
      </c>
      <c r="X19" s="168" t="str">
        <f xml:space="preserve"> _xll.EPMOlapMemberO(X11,"[I_ENTITY].[PARENTH1].[IE_NA]","IE_NA","","000")</f>
        <v>#Error, no current connection.</v>
      </c>
      <c r="Y19" s="168" t="str">
        <f xml:space="preserve"> _xll.EPMOlapMemberO(Y11,"[I_ENTITY].[PARENTH1].[IE_NA]","IE_NA","","000")</f>
        <v>#Error, no current connection.</v>
      </c>
      <c r="Z19" s="168" t="str">
        <f xml:space="preserve"> _xll.EPMOlapMemberO(Z11,"[I_ENTITY].[PARENTH1].[IE_NA]","IE_NA","","000")</f>
        <v>#Error, no current connection.</v>
      </c>
      <c r="AA19" s="168" t="str">
        <f xml:space="preserve"> _xll.FPMXLClient.TechnicalCategory.EPMLocalMember("TOTAL_MONTHS","002","000")</f>
        <v>TOTAL_MONTHS</v>
      </c>
    </row>
    <row r="20" spans="1:27" s="171" customFormat="1" ht="15" customHeight="1" collapsed="1" thickBot="1" x14ac:dyDescent="0.3">
      <c r="A20" s="129"/>
      <c r="B20" s="129"/>
      <c r="C20" s="129"/>
      <c r="D20" s="129"/>
      <c r="E20" s="167" t="s">
        <v>166</v>
      </c>
      <c r="F20" s="129"/>
      <c r="G20" s="129"/>
      <c r="H20" s="129"/>
      <c r="I20" s="129"/>
      <c r="J20" s="129"/>
      <c r="K20" s="129"/>
    </row>
    <row r="21" spans="1:27" s="171" customFormat="1" ht="15" customHeight="1" thickBot="1" x14ac:dyDescent="0.3">
      <c r="A21" s="172" t="str">
        <f>IF(_xll.EPMMemberProperty(,N22,"company")="",_xll.EPMContextMember(,"entity"),_xll.EPMMemberProperty(,N22,"company"))</f>
        <v>#Error, no current connection.</v>
      </c>
      <c r="B21" s="172" t="str">
        <f>_xll.EPMContextMember(,"ENTITY")</f>
        <v>#Error, no current connection.</v>
      </c>
      <c r="C21" s="173" t="str">
        <f>IFERROR(VLOOKUP(LEFT($N$24,4),$E$6:$G$7,2,FALSE),"ACTUAL")</f>
        <v>ACTUAL</v>
      </c>
      <c r="D21" s="129"/>
      <c r="E21" s="152" t="str">
        <f>_xll.EPMContextMember(,"COSTCENTER")</f>
        <v>#Error, no current connection.</v>
      </c>
      <c r="F21" s="147" t="s">
        <v>196</v>
      </c>
      <c r="G21" s="129" t="str">
        <f>_xll.EPMSelectMember("","[C_ACCOUNT].[PARENTH1].[CUSTOMERS_SKF]","","",FALSE)</f>
        <v>#Error, no current connection.</v>
      </c>
      <c r="H21" s="129"/>
      <c r="I21" s="129"/>
      <c r="J21" s="129"/>
      <c r="K21" s="129"/>
      <c r="M21" s="160" t="s">
        <v>197</v>
      </c>
      <c r="N21" s="155" t="s">
        <v>148</v>
      </c>
    </row>
    <row r="22" spans="1:27" s="171" customFormat="1" ht="15" customHeight="1" thickBot="1" x14ac:dyDescent="0.3">
      <c r="A22" s="172">
        <v>1</v>
      </c>
      <c r="B22" s="172" t="s">
        <v>170</v>
      </c>
      <c r="C22" s="172" t="str">
        <f>_xll.EPMSelectMember("","[DATASOURCE].[PARENTH1].[TOTAL_REST_FI]","","",FALSE)</f>
        <v>#Error, no current connection.</v>
      </c>
      <c r="D22" s="129"/>
      <c r="E22" s="129"/>
      <c r="F22" s="147" t="s">
        <v>198</v>
      </c>
      <c r="G22" s="129" t="str">
        <f>_xll.EPMSelectMember("","[C_ACCOUNT].[PARENTH1].[MWHS_SKF]","","",FALSE)</f>
        <v>#Error, no current connection.</v>
      </c>
      <c r="H22" s="129"/>
      <c r="I22" s="129"/>
      <c r="J22" s="129"/>
      <c r="K22" s="129"/>
      <c r="M22" s="160" t="s">
        <v>199</v>
      </c>
      <c r="N22" s="155" t="s">
        <v>200</v>
      </c>
      <c r="O22" s="161" t="s">
        <v>201</v>
      </c>
    </row>
    <row r="23" spans="1:27" s="171" customFormat="1" ht="15" customHeight="1" thickBot="1" x14ac:dyDescent="0.3">
      <c r="A23" s="172">
        <v>2</v>
      </c>
      <c r="B23" s="172" t="s">
        <v>165</v>
      </c>
      <c r="C23" s="172" t="str">
        <f>_xll.EPMSelectMember("","[DATASOURCE].[PARENTH2].[ALLOCABLE_CO]","","",FALSE)</f>
        <v>#Error, no current connection.</v>
      </c>
      <c r="D23" s="129"/>
      <c r="E23" s="129"/>
      <c r="F23" s="147" t="s">
        <v>202</v>
      </c>
      <c r="G23" s="129" t="str">
        <f>_xll.EPMSelectMember("","[C_ACCOUNT].[PARENTH1].[THERMS_SKF]","","",FALSE)</f>
        <v>#Error, no current connection.</v>
      </c>
      <c r="H23" s="129"/>
      <c r="I23" s="129"/>
      <c r="J23" s="129"/>
      <c r="K23" s="129"/>
      <c r="M23" s="160" t="s">
        <v>203</v>
      </c>
      <c r="N23" s="155" t="s">
        <v>204</v>
      </c>
      <c r="O23" s="161" t="s">
        <v>205</v>
      </c>
      <c r="T23" s="174"/>
      <c r="U23" s="175" t="s">
        <v>206</v>
      </c>
    </row>
    <row r="24" spans="1:27" s="171" customFormat="1" ht="15" customHeight="1" thickBot="1" x14ac:dyDescent="0.3">
      <c r="A24" s="172">
        <v>3</v>
      </c>
      <c r="B24" s="172" t="s">
        <v>207</v>
      </c>
      <c r="C24" s="172" t="str">
        <f>_xll.EPMSelectMember("","[DATASOURCE].[PARENTH2].[TOTAL_CO]","","",FALSE)</f>
        <v>#Error, no current connection.</v>
      </c>
      <c r="D24" s="129"/>
      <c r="E24" s="129"/>
      <c r="F24" s="129"/>
      <c r="G24" s="129"/>
      <c r="H24" s="129"/>
      <c r="I24" s="129"/>
      <c r="J24" s="129"/>
      <c r="K24" s="129"/>
      <c r="M24" s="160" t="s">
        <v>208</v>
      </c>
      <c r="N24" s="155" t="s">
        <v>444</v>
      </c>
      <c r="O24" s="161" t="s">
        <v>210</v>
      </c>
      <c r="T24" s="176"/>
      <c r="U24" s="175" t="s">
        <v>211</v>
      </c>
    </row>
    <row r="25" spans="1:27" s="171" customFormat="1" ht="15" customHeight="1" thickBot="1" x14ac:dyDescent="0.3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M25" s="160" t="s">
        <v>212</v>
      </c>
      <c r="N25" s="155" t="s">
        <v>151</v>
      </c>
      <c r="O25" s="161" t="s">
        <v>445</v>
      </c>
      <c r="P25" s="177"/>
    </row>
    <row r="26" spans="1:27" s="171" customFormat="1" ht="15" customHeight="1" thickBot="1" x14ac:dyDescent="0.3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N26" s="155" t="s">
        <v>131</v>
      </c>
    </row>
    <row r="27" spans="1:27" s="171" customFormat="1" ht="15" customHeight="1" thickBot="1" x14ac:dyDescent="0.3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P27" s="178" t="s">
        <v>214</v>
      </c>
    </row>
    <row r="28" spans="1:27" s="171" customFormat="1" ht="8.4" customHeight="1" thickBot="1" x14ac:dyDescent="0.3">
      <c r="A28" s="129"/>
      <c r="B28" s="129"/>
      <c r="C28" s="129"/>
      <c r="D28" s="150" t="s">
        <v>157</v>
      </c>
      <c r="E28" s="151" t="s">
        <v>141</v>
      </c>
      <c r="F28" s="129"/>
      <c r="G28" s="129"/>
      <c r="H28" s="129"/>
      <c r="I28" s="129"/>
      <c r="J28" s="129"/>
      <c r="K28" s="129"/>
      <c r="M28" s="179"/>
      <c r="N28" s="180"/>
    </row>
    <row r="29" spans="1:27" s="171" customFormat="1" ht="29.1" customHeight="1" thickBot="1" x14ac:dyDescent="0.3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M29" s="181" t="s">
        <v>215</v>
      </c>
      <c r="N29" s="182"/>
      <c r="O29" s="177"/>
      <c r="P29" s="178" t="s">
        <v>216</v>
      </c>
    </row>
    <row r="30" spans="1:27" s="171" customFormat="1" ht="12" x14ac:dyDescent="0.25">
      <c r="A30" s="129"/>
      <c r="B30" s="129"/>
      <c r="C30" s="129"/>
      <c r="D30" s="129"/>
      <c r="E30" s="129"/>
      <c r="F30" s="129"/>
      <c r="G30" s="183" t="s">
        <v>217</v>
      </c>
      <c r="H30" s="183" t="s">
        <v>217</v>
      </c>
      <c r="I30" s="183"/>
      <c r="J30" s="183"/>
      <c r="K30" s="183"/>
      <c r="M30" s="184"/>
      <c r="N30" s="185"/>
      <c r="O30" s="186" t="s">
        <v>201</v>
      </c>
      <c r="P30" s="186" t="s">
        <v>201</v>
      </c>
      <c r="Q30" s="186" t="s">
        <v>201</v>
      </c>
      <c r="R30" s="186" t="s">
        <v>201</v>
      </c>
      <c r="S30" s="186" t="s">
        <v>201</v>
      </c>
      <c r="T30" s="186" t="s">
        <v>201</v>
      </c>
      <c r="U30" s="186" t="s">
        <v>201</v>
      </c>
      <c r="V30" s="186" t="s">
        <v>201</v>
      </c>
      <c r="W30" s="186" t="s">
        <v>201</v>
      </c>
      <c r="X30" s="186" t="s">
        <v>201</v>
      </c>
      <c r="Y30" s="186" t="s">
        <v>201</v>
      </c>
      <c r="Z30" s="186" t="s">
        <v>201</v>
      </c>
      <c r="AA30" s="186" t="s">
        <v>201</v>
      </c>
    </row>
    <row r="31" spans="1:27" s="171" customFormat="1" ht="12.6" customHeight="1" thickBot="1" x14ac:dyDescent="0.3">
      <c r="A31" s="129"/>
      <c r="B31" s="129"/>
      <c r="C31" s="129"/>
      <c r="D31" s="129"/>
      <c r="E31" s="129"/>
      <c r="F31" s="129"/>
      <c r="G31" s="183" t="s">
        <v>217</v>
      </c>
      <c r="H31" s="183" t="s">
        <v>217</v>
      </c>
      <c r="I31" s="183"/>
      <c r="J31" s="183"/>
      <c r="K31" s="183"/>
      <c r="M31" s="187" t="s">
        <v>218</v>
      </c>
      <c r="N31" s="188" t="s">
        <v>219</v>
      </c>
      <c r="O31" s="189" t="s">
        <v>446</v>
      </c>
      <c r="P31" s="189" t="s">
        <v>447</v>
      </c>
      <c r="Q31" s="189" t="s">
        <v>448</v>
      </c>
      <c r="R31" s="189" t="s">
        <v>449</v>
      </c>
      <c r="S31" s="189" t="s">
        <v>450</v>
      </c>
      <c r="T31" s="189" t="s">
        <v>451</v>
      </c>
      <c r="U31" s="189" t="s">
        <v>452</v>
      </c>
      <c r="V31" s="189" t="s">
        <v>453</v>
      </c>
      <c r="W31" s="189" t="s">
        <v>454</v>
      </c>
      <c r="X31" s="189" t="s">
        <v>455</v>
      </c>
      <c r="Y31" s="189" t="s">
        <v>456</v>
      </c>
      <c r="Z31" s="189" t="s">
        <v>457</v>
      </c>
      <c r="AA31" s="189" t="s">
        <v>445</v>
      </c>
    </row>
    <row r="32" spans="1:27" ht="9.9" customHeight="1" x14ac:dyDescent="0.2">
      <c r="G32" s="191" t="s">
        <v>217</v>
      </c>
      <c r="H32" s="191" t="s">
        <v>217</v>
      </c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</row>
    <row r="33" spans="7:27" ht="15" customHeight="1" x14ac:dyDescent="0.25">
      <c r="G33" s="191" t="s">
        <v>217</v>
      </c>
      <c r="H33" s="191" t="s">
        <v>217</v>
      </c>
      <c r="I33" s="194"/>
      <c r="J33" s="194"/>
      <c r="K33" s="194"/>
      <c r="M33" s="195" t="s">
        <v>232</v>
      </c>
      <c r="N33" s="196" t="s">
        <v>233</v>
      </c>
      <c r="O33" s="196">
        <v>203169868.6281884</v>
      </c>
      <c r="P33" s="196">
        <v>187385047.92751759</v>
      </c>
      <c r="Q33" s="196">
        <v>190743237.67311969</v>
      </c>
      <c r="R33" s="196">
        <v>198983993.8263672</v>
      </c>
      <c r="S33" s="196">
        <v>225477009.277419</v>
      </c>
      <c r="T33" s="196">
        <v>245623731.12540299</v>
      </c>
      <c r="U33" s="196">
        <v>256870669.11417589</v>
      </c>
      <c r="V33" s="196">
        <v>257717447.16060969</v>
      </c>
      <c r="W33" s="196">
        <v>245713418.7128551</v>
      </c>
      <c r="X33" s="196">
        <v>229888507.9535903</v>
      </c>
      <c r="Y33" s="196">
        <v>195998835.77418029</v>
      </c>
      <c r="Z33" s="196">
        <v>196175532.30008909</v>
      </c>
      <c r="AA33" s="196">
        <v>2633747299.473515</v>
      </c>
    </row>
    <row r="34" spans="7:27" ht="15" customHeight="1" x14ac:dyDescent="0.25">
      <c r="G34" s="191" t="s">
        <v>217</v>
      </c>
      <c r="H34" s="191" t="s">
        <v>217</v>
      </c>
      <c r="I34" s="194"/>
      <c r="J34" s="194"/>
      <c r="K34" s="194"/>
      <c r="M34" s="195" t="s">
        <v>152</v>
      </c>
      <c r="N34" s="196" t="s">
        <v>234</v>
      </c>
      <c r="O34" s="196">
        <v>203169868.6281884</v>
      </c>
      <c r="P34" s="196">
        <v>187385047.92751759</v>
      </c>
      <c r="Q34" s="196">
        <v>190743237.67311969</v>
      </c>
      <c r="R34" s="196">
        <v>198983993.8263672</v>
      </c>
      <c r="S34" s="196">
        <v>225477009.277419</v>
      </c>
      <c r="T34" s="196">
        <v>245623731.12540299</v>
      </c>
      <c r="U34" s="196">
        <v>256870669.11417589</v>
      </c>
      <c r="V34" s="196">
        <v>257717447.16060969</v>
      </c>
      <c r="W34" s="196">
        <v>245713418.7128551</v>
      </c>
      <c r="X34" s="196">
        <v>229888507.9535903</v>
      </c>
      <c r="Y34" s="196">
        <v>195998835.77418029</v>
      </c>
      <c r="Z34" s="196">
        <v>196175532.30008909</v>
      </c>
      <c r="AA34" s="196">
        <v>2633747299.473515</v>
      </c>
    </row>
    <row r="35" spans="7:27" ht="15" customHeight="1" x14ac:dyDescent="0.25">
      <c r="G35" s="191" t="s">
        <v>217</v>
      </c>
      <c r="H35" s="191" t="s">
        <v>217</v>
      </c>
      <c r="I35" s="194"/>
      <c r="J35" s="194"/>
      <c r="K35" s="194"/>
      <c r="M35" s="195" t="s">
        <v>235</v>
      </c>
      <c r="N35" s="196" t="s">
        <v>236</v>
      </c>
      <c r="O35" s="196">
        <v>117840422.11</v>
      </c>
      <c r="P35" s="196">
        <v>107113682.59999999</v>
      </c>
      <c r="Q35" s="196">
        <v>100445927.45999999</v>
      </c>
      <c r="R35" s="196">
        <v>106293594.08</v>
      </c>
      <c r="S35" s="196">
        <v>122554021.41</v>
      </c>
      <c r="T35" s="196">
        <v>149216461.84999999</v>
      </c>
      <c r="U35" s="196">
        <v>159452321.30000001</v>
      </c>
      <c r="V35" s="196">
        <v>157663891.53999999</v>
      </c>
      <c r="W35" s="196">
        <v>163163153.90000001</v>
      </c>
      <c r="X35" s="196">
        <v>140350876.50999999</v>
      </c>
      <c r="Y35" s="196">
        <v>113787289.52</v>
      </c>
      <c r="Z35" s="196">
        <v>107583401.38</v>
      </c>
      <c r="AA35" s="196">
        <v>1545465043.6599998</v>
      </c>
    </row>
    <row r="36" spans="7:27" ht="15" customHeight="1" x14ac:dyDescent="0.25">
      <c r="G36" s="191" t="s">
        <v>217</v>
      </c>
      <c r="H36" s="191" t="s">
        <v>217</v>
      </c>
      <c r="I36" s="194"/>
      <c r="J36" s="194"/>
      <c r="K36" s="194"/>
      <c r="M36" s="197" t="s">
        <v>237</v>
      </c>
      <c r="N36" s="198" t="s">
        <v>238</v>
      </c>
      <c r="O36" s="200">
        <v>70741545</v>
      </c>
      <c r="P36" s="200">
        <v>64544903</v>
      </c>
      <c r="Q36" s="200">
        <v>60909950</v>
      </c>
      <c r="R36" s="200">
        <v>64242026</v>
      </c>
      <c r="S36" s="200">
        <v>72852574</v>
      </c>
      <c r="T36" s="200">
        <v>87205255</v>
      </c>
      <c r="U36" s="200">
        <v>92719612</v>
      </c>
      <c r="V36" s="200">
        <v>91517073</v>
      </c>
      <c r="W36" s="200">
        <v>94903819</v>
      </c>
      <c r="X36" s="200">
        <v>82389586</v>
      </c>
      <c r="Y36" s="200">
        <v>68082638</v>
      </c>
      <c r="Z36" s="200">
        <v>65339944</v>
      </c>
      <c r="AA36" s="199">
        <v>915448925</v>
      </c>
    </row>
    <row r="37" spans="7:27" ht="15" customHeight="1" x14ac:dyDescent="0.25">
      <c r="G37" s="191" t="s">
        <v>217</v>
      </c>
      <c r="H37" s="191" t="s">
        <v>217</v>
      </c>
      <c r="I37" s="194"/>
      <c r="J37" s="194"/>
      <c r="K37" s="194"/>
      <c r="M37" s="197" t="s">
        <v>239</v>
      </c>
      <c r="N37" s="198" t="s">
        <v>240</v>
      </c>
      <c r="O37" s="200">
        <v>29076517</v>
      </c>
      <c r="P37" s="200">
        <v>26168822</v>
      </c>
      <c r="Q37" s="200">
        <v>24233759</v>
      </c>
      <c r="R37" s="200">
        <v>25866740</v>
      </c>
      <c r="S37" s="200">
        <v>30826805</v>
      </c>
      <c r="T37" s="200">
        <v>38811563</v>
      </c>
      <c r="U37" s="200">
        <v>41882599</v>
      </c>
      <c r="V37" s="200">
        <v>41500153</v>
      </c>
      <c r="W37" s="200">
        <v>42878275</v>
      </c>
      <c r="X37" s="200">
        <v>36149642</v>
      </c>
      <c r="Y37" s="200">
        <v>28201987</v>
      </c>
      <c r="Z37" s="200">
        <v>25918518</v>
      </c>
      <c r="AA37" s="199">
        <v>391515380</v>
      </c>
    </row>
    <row r="38" spans="7:27" ht="15" customHeight="1" x14ac:dyDescent="0.25">
      <c r="G38" s="191" t="s">
        <v>217</v>
      </c>
      <c r="H38" s="191" t="s">
        <v>217</v>
      </c>
      <c r="I38" s="194"/>
      <c r="J38" s="194"/>
      <c r="K38" s="194"/>
      <c r="M38" s="197" t="s">
        <v>241</v>
      </c>
      <c r="N38" s="198" t="s">
        <v>242</v>
      </c>
      <c r="O38" s="200">
        <v>476279</v>
      </c>
      <c r="P38" s="200">
        <v>433563</v>
      </c>
      <c r="Q38" s="200">
        <v>403927</v>
      </c>
      <c r="R38" s="200">
        <v>427198</v>
      </c>
      <c r="S38" s="200">
        <v>500052</v>
      </c>
      <c r="T38" s="200">
        <v>616249</v>
      </c>
      <c r="U38" s="200">
        <v>660620</v>
      </c>
      <c r="V38" s="200">
        <v>655930</v>
      </c>
      <c r="W38" s="200">
        <v>674142</v>
      </c>
      <c r="X38" s="200">
        <v>579201</v>
      </c>
      <c r="Y38" s="200">
        <v>463225</v>
      </c>
      <c r="Z38" s="200">
        <v>430080</v>
      </c>
      <c r="AA38" s="199">
        <v>6320466</v>
      </c>
    </row>
    <row r="39" spans="7:27" ht="15" customHeight="1" x14ac:dyDescent="0.25">
      <c r="G39" s="191" t="s">
        <v>217</v>
      </c>
      <c r="H39" s="191" t="s">
        <v>217</v>
      </c>
      <c r="I39" s="194"/>
      <c r="J39" s="194"/>
      <c r="K39" s="194"/>
      <c r="M39" s="197" t="s">
        <v>243</v>
      </c>
      <c r="N39" s="198" t="s">
        <v>244</v>
      </c>
      <c r="O39" s="200">
        <v>1651845</v>
      </c>
      <c r="P39" s="200">
        <v>1503719</v>
      </c>
      <c r="Q39" s="200">
        <v>1400944</v>
      </c>
      <c r="R39" s="200">
        <v>1481638</v>
      </c>
      <c r="S39" s="200">
        <v>1734279</v>
      </c>
      <c r="T39" s="200">
        <v>2137222</v>
      </c>
      <c r="U39" s="200">
        <v>2291092</v>
      </c>
      <c r="V39" s="200">
        <v>2274828</v>
      </c>
      <c r="W39" s="200">
        <v>2337984</v>
      </c>
      <c r="X39" s="200">
        <v>2008749</v>
      </c>
      <c r="Y39" s="200">
        <v>1606571</v>
      </c>
      <c r="Z39" s="200">
        <v>1491642</v>
      </c>
      <c r="AA39" s="199">
        <v>21920513</v>
      </c>
    </row>
    <row r="40" spans="7:27" ht="15" customHeight="1" x14ac:dyDescent="0.25">
      <c r="G40" s="191" t="s">
        <v>217</v>
      </c>
      <c r="H40" s="191" t="s">
        <v>217</v>
      </c>
      <c r="I40" s="194"/>
      <c r="J40" s="194"/>
      <c r="K40" s="194"/>
      <c r="M40" s="197" t="s">
        <v>245</v>
      </c>
      <c r="N40" s="198" t="s">
        <v>246</v>
      </c>
      <c r="O40" s="200">
        <v>668552</v>
      </c>
      <c r="P40" s="200">
        <v>608581</v>
      </c>
      <c r="Q40" s="200">
        <v>567024</v>
      </c>
      <c r="R40" s="200">
        <v>599675</v>
      </c>
      <c r="S40" s="200">
        <v>701890</v>
      </c>
      <c r="T40" s="200">
        <v>864957</v>
      </c>
      <c r="U40" s="200">
        <v>927225</v>
      </c>
      <c r="V40" s="200">
        <v>920658</v>
      </c>
      <c r="W40" s="200">
        <v>946213</v>
      </c>
      <c r="X40" s="200">
        <v>812974</v>
      </c>
      <c r="Y40" s="200">
        <v>650231</v>
      </c>
      <c r="Z40" s="200">
        <v>603713</v>
      </c>
      <c r="AA40" s="199">
        <v>8871693</v>
      </c>
    </row>
    <row r="41" spans="7:27" ht="15" customHeight="1" x14ac:dyDescent="0.25">
      <c r="G41" s="191" t="s">
        <v>217</v>
      </c>
      <c r="H41" s="191" t="s">
        <v>217</v>
      </c>
      <c r="I41" s="194"/>
      <c r="J41" s="194"/>
      <c r="K41" s="194"/>
      <c r="M41" s="197" t="s">
        <v>247</v>
      </c>
      <c r="N41" s="198" t="s">
        <v>248</v>
      </c>
      <c r="O41" s="200">
        <v>2327169.6800000002</v>
      </c>
      <c r="P41" s="200">
        <v>2119123.9900000002</v>
      </c>
      <c r="Q41" s="200">
        <v>1983128.96</v>
      </c>
      <c r="R41" s="200">
        <v>2095615.9</v>
      </c>
      <c r="S41" s="200">
        <v>2424336.62</v>
      </c>
      <c r="T41" s="200">
        <v>2965058.28</v>
      </c>
      <c r="U41" s="200">
        <v>3169047.24</v>
      </c>
      <c r="V41" s="200">
        <v>3135721.85</v>
      </c>
      <c r="W41" s="200">
        <v>3244430.44</v>
      </c>
      <c r="X41" s="200">
        <v>2792663.87</v>
      </c>
      <c r="Y41" s="200">
        <v>2259344.7999999998</v>
      </c>
      <c r="Z41" s="200">
        <v>2126042.65</v>
      </c>
      <c r="AA41" s="199">
        <v>30641684.280000001</v>
      </c>
    </row>
    <row r="42" spans="7:27" ht="15" customHeight="1" x14ac:dyDescent="0.25">
      <c r="G42" s="191" t="s">
        <v>217</v>
      </c>
      <c r="H42" s="191" t="s">
        <v>217</v>
      </c>
      <c r="I42" s="194"/>
      <c r="J42" s="194"/>
      <c r="K42" s="194"/>
      <c r="M42" s="197" t="s">
        <v>249</v>
      </c>
      <c r="N42" s="198" t="s">
        <v>250</v>
      </c>
      <c r="O42" s="200">
        <v>2836865.44</v>
      </c>
      <c r="P42" s="200">
        <v>2573898.2400000002</v>
      </c>
      <c r="Q42" s="200">
        <v>2410604.27</v>
      </c>
      <c r="R42" s="200">
        <v>2553983.5</v>
      </c>
      <c r="S42" s="200">
        <v>2952275.68</v>
      </c>
      <c r="T42" s="200">
        <v>3605317.89</v>
      </c>
      <c r="U42" s="200">
        <v>3856114.31</v>
      </c>
      <c r="V42" s="200">
        <v>3812236.62</v>
      </c>
      <c r="W42" s="200">
        <v>3947000.21</v>
      </c>
      <c r="X42" s="200">
        <v>3387987.87</v>
      </c>
      <c r="Y42" s="200">
        <v>2737231.72</v>
      </c>
      <c r="Z42" s="200">
        <v>2585467.12</v>
      </c>
      <c r="AA42" s="199">
        <v>37258982.869999997</v>
      </c>
    </row>
    <row r="43" spans="7:27" ht="15" customHeight="1" x14ac:dyDescent="0.25">
      <c r="G43" s="191" t="s">
        <v>217</v>
      </c>
      <c r="H43" s="191" t="s">
        <v>217</v>
      </c>
      <c r="I43" s="194"/>
      <c r="J43" s="194"/>
      <c r="K43" s="194"/>
      <c r="M43" s="197" t="s">
        <v>251</v>
      </c>
      <c r="N43" s="198" t="s">
        <v>252</v>
      </c>
      <c r="O43" s="200">
        <v>5077621.4000000004</v>
      </c>
      <c r="P43" s="200">
        <v>4624164.62</v>
      </c>
      <c r="Q43" s="200">
        <v>4309721.07</v>
      </c>
      <c r="R43" s="200">
        <v>4556318.6399999997</v>
      </c>
      <c r="S43" s="200">
        <v>5329039.83</v>
      </c>
      <c r="T43" s="200">
        <v>6562018.7300000004</v>
      </c>
      <c r="U43" s="200">
        <v>7032825.8200000003</v>
      </c>
      <c r="V43" s="200">
        <v>6983139.7800000003</v>
      </c>
      <c r="W43" s="200">
        <v>7176563.0300000003</v>
      </c>
      <c r="X43" s="200">
        <v>6168940.7300000004</v>
      </c>
      <c r="Y43" s="200">
        <v>4938637.49</v>
      </c>
      <c r="Z43" s="200">
        <v>4587476.49</v>
      </c>
      <c r="AA43" s="199">
        <v>67346467.63000001</v>
      </c>
    </row>
    <row r="44" spans="7:27" ht="15" customHeight="1" x14ac:dyDescent="0.25">
      <c r="G44" s="191" t="s">
        <v>217</v>
      </c>
      <c r="H44" s="191" t="s">
        <v>217</v>
      </c>
      <c r="I44" s="194"/>
      <c r="J44" s="194"/>
      <c r="K44" s="194"/>
      <c r="M44" s="197" t="s">
        <v>253</v>
      </c>
      <c r="N44" s="198" t="s">
        <v>254</v>
      </c>
      <c r="O44" s="200">
        <v>3302730</v>
      </c>
      <c r="P44" s="200">
        <v>3006460</v>
      </c>
      <c r="Q44" s="200">
        <v>2800962</v>
      </c>
      <c r="R44" s="200">
        <v>2962352</v>
      </c>
      <c r="S44" s="200">
        <v>3467594</v>
      </c>
      <c r="T44" s="200">
        <v>4273454</v>
      </c>
      <c r="U44" s="200">
        <v>4581183</v>
      </c>
      <c r="V44" s="200">
        <v>4548672</v>
      </c>
      <c r="W44" s="200">
        <v>4674967</v>
      </c>
      <c r="X44" s="200">
        <v>4016527</v>
      </c>
      <c r="Y44" s="200">
        <v>3212204</v>
      </c>
      <c r="Z44" s="200">
        <v>2982322</v>
      </c>
      <c r="AA44" s="199">
        <v>43829427</v>
      </c>
    </row>
    <row r="45" spans="7:27" ht="15" customHeight="1" x14ac:dyDescent="0.25">
      <c r="G45" s="191" t="s">
        <v>217</v>
      </c>
      <c r="H45" s="191" t="s">
        <v>217</v>
      </c>
      <c r="I45" s="194"/>
      <c r="J45" s="194"/>
      <c r="K45" s="194"/>
      <c r="M45" s="197" t="s">
        <v>458</v>
      </c>
      <c r="N45" s="198" t="s">
        <v>459</v>
      </c>
      <c r="O45" s="200">
        <v>1681297.59</v>
      </c>
      <c r="P45" s="200">
        <v>1530447.75</v>
      </c>
      <c r="Q45" s="200">
        <v>1425907.16</v>
      </c>
      <c r="R45" s="200">
        <v>1508047.04</v>
      </c>
      <c r="S45" s="200">
        <v>1765175.28</v>
      </c>
      <c r="T45" s="200">
        <v>2175366.9500000002</v>
      </c>
      <c r="U45" s="200">
        <v>2332002.9300000002</v>
      </c>
      <c r="V45" s="200">
        <v>2315479.29</v>
      </c>
      <c r="W45" s="200">
        <v>2379760.2200000002</v>
      </c>
      <c r="X45" s="200">
        <v>2044605.04</v>
      </c>
      <c r="Y45" s="200">
        <v>1635219.51</v>
      </c>
      <c r="Z45" s="200">
        <v>1518196.12</v>
      </c>
      <c r="AA45" s="199">
        <v>22311504.879999999</v>
      </c>
    </row>
    <row r="46" spans="7:27" ht="15" customHeight="1" x14ac:dyDescent="0.25">
      <c r="G46" s="191" t="s">
        <v>217</v>
      </c>
      <c r="H46" s="191" t="s">
        <v>217</v>
      </c>
      <c r="I46" s="194"/>
      <c r="J46" s="194"/>
      <c r="K46" s="194"/>
      <c r="M46" s="195" t="s">
        <v>255</v>
      </c>
      <c r="N46" s="196" t="s">
        <v>256</v>
      </c>
      <c r="O46" s="196">
        <v>53923950.039999999</v>
      </c>
      <c r="P46" s="196">
        <v>51219293.43</v>
      </c>
      <c r="Q46" s="196">
        <v>51672956.899999999</v>
      </c>
      <c r="R46" s="196">
        <v>54253186.539999999</v>
      </c>
      <c r="S46" s="196">
        <v>57062282.630000003</v>
      </c>
      <c r="T46" s="196">
        <v>61957798.869999997</v>
      </c>
      <c r="U46" s="196">
        <v>64090505.229999997</v>
      </c>
      <c r="V46" s="196">
        <v>64020482.200000003</v>
      </c>
      <c r="W46" s="196">
        <v>64823085.259999998</v>
      </c>
      <c r="X46" s="196">
        <v>61128549.630000003</v>
      </c>
      <c r="Y46" s="196">
        <v>56369559.460000001</v>
      </c>
      <c r="Z46" s="196">
        <v>53637011.039999999</v>
      </c>
      <c r="AA46" s="196">
        <v>694158661.23000002</v>
      </c>
    </row>
    <row r="47" spans="7:27" ht="15" customHeight="1" x14ac:dyDescent="0.25">
      <c r="G47" s="191" t="s">
        <v>217</v>
      </c>
      <c r="H47" s="191" t="s">
        <v>217</v>
      </c>
      <c r="I47" s="194"/>
      <c r="J47" s="194"/>
      <c r="K47" s="194"/>
      <c r="M47" s="195" t="s">
        <v>257</v>
      </c>
      <c r="N47" s="196" t="s">
        <v>258</v>
      </c>
      <c r="O47" s="196">
        <v>53923950.039999999</v>
      </c>
      <c r="P47" s="196">
        <v>51219293.43</v>
      </c>
      <c r="Q47" s="196">
        <v>51672956.899999999</v>
      </c>
      <c r="R47" s="196">
        <v>54253186.539999999</v>
      </c>
      <c r="S47" s="196">
        <v>57062282.630000003</v>
      </c>
      <c r="T47" s="196">
        <v>61957798.869999997</v>
      </c>
      <c r="U47" s="196">
        <v>64090505.229999997</v>
      </c>
      <c r="V47" s="196">
        <v>64020482.200000003</v>
      </c>
      <c r="W47" s="196">
        <v>64823085.259999998</v>
      </c>
      <c r="X47" s="196">
        <v>61128549.630000003</v>
      </c>
      <c r="Y47" s="196">
        <v>56369559.460000001</v>
      </c>
      <c r="Z47" s="196">
        <v>53637011.039999999</v>
      </c>
      <c r="AA47" s="196">
        <v>694158661.23000002</v>
      </c>
    </row>
    <row r="48" spans="7:27" ht="15" customHeight="1" x14ac:dyDescent="0.25">
      <c r="G48" s="191" t="s">
        <v>217</v>
      </c>
      <c r="H48" s="191" t="s">
        <v>217</v>
      </c>
      <c r="I48" s="194"/>
      <c r="J48" s="194"/>
      <c r="K48" s="194"/>
      <c r="M48" s="197" t="s">
        <v>259</v>
      </c>
      <c r="N48" s="198" t="s">
        <v>260</v>
      </c>
      <c r="O48" s="200">
        <v>28244236</v>
      </c>
      <c r="P48" s="200">
        <v>27292292</v>
      </c>
      <c r="Q48" s="200">
        <v>27392835</v>
      </c>
      <c r="R48" s="200">
        <v>28521332</v>
      </c>
      <c r="S48" s="200">
        <v>29714239</v>
      </c>
      <c r="T48" s="200">
        <v>31761807</v>
      </c>
      <c r="U48" s="200">
        <v>32638935</v>
      </c>
      <c r="V48" s="200">
        <v>32540544</v>
      </c>
      <c r="W48" s="200">
        <v>32707345</v>
      </c>
      <c r="X48" s="200">
        <v>31434528</v>
      </c>
      <c r="Y48" s="200">
        <v>29230124</v>
      </c>
      <c r="Z48" s="200">
        <v>28173806</v>
      </c>
      <c r="AA48" s="199">
        <v>359652023</v>
      </c>
    </row>
    <row r="49" spans="7:27" ht="15" customHeight="1" x14ac:dyDescent="0.25">
      <c r="G49" s="191" t="s">
        <v>217</v>
      </c>
      <c r="H49" s="191" t="s">
        <v>217</v>
      </c>
      <c r="I49" s="194"/>
      <c r="J49" s="194"/>
      <c r="K49" s="194"/>
      <c r="M49" s="197" t="s">
        <v>261</v>
      </c>
      <c r="N49" s="198" t="s">
        <v>262</v>
      </c>
      <c r="O49" s="200">
        <v>18228321</v>
      </c>
      <c r="P49" s="200">
        <v>16768255</v>
      </c>
      <c r="Q49" s="200">
        <v>17072985</v>
      </c>
      <c r="R49" s="200">
        <v>18191894</v>
      </c>
      <c r="S49" s="200">
        <v>19433288</v>
      </c>
      <c r="T49" s="200">
        <v>21641456</v>
      </c>
      <c r="U49" s="200">
        <v>22615371</v>
      </c>
      <c r="V49" s="200">
        <v>22661112</v>
      </c>
      <c r="W49" s="200">
        <v>23246551</v>
      </c>
      <c r="X49" s="200">
        <v>21245627</v>
      </c>
      <c r="Y49" s="200">
        <v>19348936</v>
      </c>
      <c r="Z49" s="200">
        <v>18030218</v>
      </c>
      <c r="AA49" s="199">
        <v>238484014</v>
      </c>
    </row>
    <row r="50" spans="7:27" ht="15" customHeight="1" x14ac:dyDescent="0.25">
      <c r="G50" s="191" t="s">
        <v>217</v>
      </c>
      <c r="H50" s="191" t="s">
        <v>217</v>
      </c>
      <c r="I50" s="194"/>
      <c r="J50" s="194"/>
      <c r="K50" s="194"/>
      <c r="M50" s="197" t="s">
        <v>263</v>
      </c>
      <c r="N50" s="198" t="s">
        <v>264</v>
      </c>
      <c r="O50" s="200">
        <v>232218</v>
      </c>
      <c r="P50" s="200">
        <v>228503</v>
      </c>
      <c r="Q50" s="200">
        <v>228864</v>
      </c>
      <c r="R50" s="200">
        <v>237806</v>
      </c>
      <c r="S50" s="200">
        <v>248327</v>
      </c>
      <c r="T50" s="200">
        <v>265184</v>
      </c>
      <c r="U50" s="200">
        <v>272690</v>
      </c>
      <c r="V50" s="200">
        <v>271501</v>
      </c>
      <c r="W50" s="200">
        <v>269173</v>
      </c>
      <c r="X50" s="200">
        <v>262606</v>
      </c>
      <c r="Y50" s="200">
        <v>242273</v>
      </c>
      <c r="Z50" s="200">
        <v>232872</v>
      </c>
      <c r="AA50" s="199">
        <v>2992017</v>
      </c>
    </row>
    <row r="51" spans="7:27" ht="15" customHeight="1" x14ac:dyDescent="0.25">
      <c r="G51" s="191" t="s">
        <v>217</v>
      </c>
      <c r="H51" s="191" t="s">
        <v>217</v>
      </c>
      <c r="I51" s="194"/>
      <c r="J51" s="194"/>
      <c r="K51" s="194"/>
      <c r="M51" s="197" t="s">
        <v>265</v>
      </c>
      <c r="N51" s="198" t="s">
        <v>266</v>
      </c>
      <c r="O51" s="200">
        <v>848438</v>
      </c>
      <c r="P51" s="200">
        <v>835190</v>
      </c>
      <c r="Q51" s="200">
        <v>836474</v>
      </c>
      <c r="R51" s="200">
        <v>868927</v>
      </c>
      <c r="S51" s="200">
        <v>907259</v>
      </c>
      <c r="T51" s="200">
        <v>968815</v>
      </c>
      <c r="U51" s="200">
        <v>995983</v>
      </c>
      <c r="V51" s="200">
        <v>991577</v>
      </c>
      <c r="W51" s="200">
        <v>982978</v>
      </c>
      <c r="X51" s="200">
        <v>959368</v>
      </c>
      <c r="Y51" s="200">
        <v>885226</v>
      </c>
      <c r="Z51" s="200">
        <v>850928</v>
      </c>
      <c r="AA51" s="199">
        <v>10931163</v>
      </c>
    </row>
    <row r="52" spans="7:27" ht="15" customHeight="1" x14ac:dyDescent="0.25">
      <c r="G52" s="191" t="s">
        <v>217</v>
      </c>
      <c r="H52" s="191" t="s">
        <v>217</v>
      </c>
      <c r="I52" s="194"/>
      <c r="J52" s="194"/>
      <c r="K52" s="194"/>
      <c r="M52" s="197" t="s">
        <v>267</v>
      </c>
      <c r="N52" s="198" t="s">
        <v>268</v>
      </c>
      <c r="O52" s="200">
        <v>377621</v>
      </c>
      <c r="P52" s="200">
        <v>347496</v>
      </c>
      <c r="Q52" s="200">
        <v>353749</v>
      </c>
      <c r="R52" s="200">
        <v>376597</v>
      </c>
      <c r="S52" s="200">
        <v>401813</v>
      </c>
      <c r="T52" s="200">
        <v>447296</v>
      </c>
      <c r="U52" s="200">
        <v>467279</v>
      </c>
      <c r="V52" s="200">
        <v>468138</v>
      </c>
      <c r="W52" s="200">
        <v>480241</v>
      </c>
      <c r="X52" s="200">
        <v>439046</v>
      </c>
      <c r="Y52" s="200">
        <v>400258</v>
      </c>
      <c r="Z52" s="200">
        <v>373544</v>
      </c>
      <c r="AA52" s="199">
        <v>4933078</v>
      </c>
    </row>
    <row r="53" spans="7:27" ht="15" customHeight="1" x14ac:dyDescent="0.25">
      <c r="G53" s="191" t="s">
        <v>217</v>
      </c>
      <c r="H53" s="191" t="s">
        <v>217</v>
      </c>
      <c r="I53" s="194"/>
      <c r="J53" s="194"/>
      <c r="K53" s="194"/>
      <c r="M53" s="197" t="s">
        <v>269</v>
      </c>
      <c r="N53" s="198" t="s">
        <v>270</v>
      </c>
      <c r="O53" s="200">
        <v>1594965.99</v>
      </c>
      <c r="P53" s="200">
        <v>1514564.32</v>
      </c>
      <c r="Q53" s="200">
        <v>1528050.44</v>
      </c>
      <c r="R53" s="200">
        <v>1604753.19</v>
      </c>
      <c r="S53" s="200">
        <v>1688259.57</v>
      </c>
      <c r="T53" s="200">
        <v>1833789.2</v>
      </c>
      <c r="U53" s="200">
        <v>1897188.36</v>
      </c>
      <c r="V53" s="200">
        <v>1895106.84</v>
      </c>
      <c r="W53" s="200">
        <v>1918965.89</v>
      </c>
      <c r="X53" s="200">
        <v>1809138.01</v>
      </c>
      <c r="Y53" s="200">
        <v>1667666.92</v>
      </c>
      <c r="Z53" s="200">
        <v>1586436.08</v>
      </c>
      <c r="AA53" s="199">
        <v>20538884.809999995</v>
      </c>
    </row>
    <row r="54" spans="7:27" ht="15" customHeight="1" x14ac:dyDescent="0.25">
      <c r="G54" s="191" t="s">
        <v>217</v>
      </c>
      <c r="H54" s="191" t="s">
        <v>217</v>
      </c>
      <c r="I54" s="194"/>
      <c r="J54" s="194"/>
      <c r="K54" s="194"/>
      <c r="M54" s="197" t="s">
        <v>271</v>
      </c>
      <c r="N54" s="198" t="s">
        <v>272</v>
      </c>
      <c r="O54" s="200">
        <v>1301475.7</v>
      </c>
      <c r="P54" s="200">
        <v>1235869.5</v>
      </c>
      <c r="Q54" s="200">
        <v>1246874.04</v>
      </c>
      <c r="R54" s="200">
        <v>1309462.22</v>
      </c>
      <c r="S54" s="200">
        <v>1377602.04</v>
      </c>
      <c r="T54" s="200">
        <v>1496351.72</v>
      </c>
      <c r="U54" s="200">
        <v>1548084.41</v>
      </c>
      <c r="V54" s="200">
        <v>1546386.05</v>
      </c>
      <c r="W54" s="200">
        <v>1565854.71</v>
      </c>
      <c r="X54" s="200">
        <v>1476237.26</v>
      </c>
      <c r="Y54" s="200">
        <v>1360799.51</v>
      </c>
      <c r="Z54" s="200">
        <v>1294516.72</v>
      </c>
      <c r="AA54" s="199">
        <v>16759513.880000001</v>
      </c>
    </row>
    <row r="55" spans="7:27" ht="15" customHeight="1" x14ac:dyDescent="0.25">
      <c r="G55" s="191" t="s">
        <v>217</v>
      </c>
      <c r="H55" s="191" t="s">
        <v>217</v>
      </c>
      <c r="I55" s="194"/>
      <c r="J55" s="194"/>
      <c r="K55" s="194"/>
      <c r="M55" s="197" t="s">
        <v>273</v>
      </c>
      <c r="N55" s="198" t="s">
        <v>274</v>
      </c>
      <c r="O55" s="200">
        <v>1367690.06</v>
      </c>
      <c r="P55" s="200">
        <v>1323781.04</v>
      </c>
      <c r="Q55" s="200">
        <v>1330574.6299999999</v>
      </c>
      <c r="R55" s="200">
        <v>1383528.72</v>
      </c>
      <c r="S55" s="200">
        <v>1444911.55</v>
      </c>
      <c r="T55" s="200">
        <v>1550538.78</v>
      </c>
      <c r="U55" s="200">
        <v>1597291.25</v>
      </c>
      <c r="V55" s="200">
        <v>1593975.23</v>
      </c>
      <c r="W55" s="200">
        <v>1598930.76</v>
      </c>
      <c r="X55" s="200">
        <v>1533170.26</v>
      </c>
      <c r="Y55" s="200">
        <v>1423495.55</v>
      </c>
      <c r="Z55" s="200">
        <v>1366863.18</v>
      </c>
      <c r="AA55" s="199">
        <v>17514751.010000002</v>
      </c>
    </row>
    <row r="56" spans="7:27" ht="15" customHeight="1" x14ac:dyDescent="0.25">
      <c r="G56" s="191" t="s">
        <v>217</v>
      </c>
      <c r="H56" s="191" t="s">
        <v>217</v>
      </c>
      <c r="I56" s="194"/>
      <c r="J56" s="194"/>
      <c r="K56" s="194"/>
      <c r="M56" s="197" t="s">
        <v>275</v>
      </c>
      <c r="N56" s="198" t="s">
        <v>276</v>
      </c>
      <c r="O56" s="200">
        <v>1373852</v>
      </c>
      <c r="P56" s="200">
        <v>1346477</v>
      </c>
      <c r="Q56" s="200">
        <v>1349822</v>
      </c>
      <c r="R56" s="200">
        <v>1404732</v>
      </c>
      <c r="S56" s="200">
        <v>1468779</v>
      </c>
      <c r="T56" s="200">
        <v>1572083</v>
      </c>
      <c r="U56" s="200">
        <v>1618458</v>
      </c>
      <c r="V56" s="200">
        <v>1612110</v>
      </c>
      <c r="W56" s="200">
        <v>1601652</v>
      </c>
      <c r="X56" s="200">
        <v>1556091</v>
      </c>
      <c r="Y56" s="200">
        <v>1434424</v>
      </c>
      <c r="Z56" s="200">
        <v>1376515</v>
      </c>
      <c r="AA56" s="199">
        <v>17714995</v>
      </c>
    </row>
    <row r="57" spans="7:27" ht="15" customHeight="1" x14ac:dyDescent="0.25">
      <c r="G57" s="191" t="s">
        <v>217</v>
      </c>
      <c r="H57" s="191" t="s">
        <v>217</v>
      </c>
      <c r="I57" s="194"/>
      <c r="J57" s="194"/>
      <c r="K57" s="194"/>
      <c r="M57" s="197" t="s">
        <v>460</v>
      </c>
      <c r="N57" s="198" t="s">
        <v>461</v>
      </c>
      <c r="O57" s="200">
        <v>355132.29</v>
      </c>
      <c r="P57" s="200">
        <v>326865.57</v>
      </c>
      <c r="Q57" s="200">
        <v>332728.78999999998</v>
      </c>
      <c r="R57" s="200">
        <v>354154.41</v>
      </c>
      <c r="S57" s="200">
        <v>377804.47</v>
      </c>
      <c r="T57" s="200">
        <v>420478.17</v>
      </c>
      <c r="U57" s="200">
        <v>439225.21</v>
      </c>
      <c r="V57" s="200">
        <v>440032.08</v>
      </c>
      <c r="W57" s="200">
        <v>451393.9</v>
      </c>
      <c r="X57" s="200">
        <v>412738.1</v>
      </c>
      <c r="Y57" s="200">
        <v>376356.48</v>
      </c>
      <c r="Z57" s="200">
        <v>351312.06</v>
      </c>
      <c r="AA57" s="199">
        <v>4638221.5299999993</v>
      </c>
    </row>
    <row r="58" spans="7:27" ht="15" customHeight="1" x14ac:dyDescent="0.25">
      <c r="G58" s="191" t="s">
        <v>217</v>
      </c>
      <c r="H58" s="191" t="s">
        <v>217</v>
      </c>
      <c r="I58" s="194"/>
      <c r="J58" s="194"/>
      <c r="K58" s="194"/>
      <c r="M58" s="195" t="s">
        <v>277</v>
      </c>
      <c r="N58" s="196" t="s">
        <v>278</v>
      </c>
      <c r="O58" s="196">
        <v>12714792.91</v>
      </c>
      <c r="P58" s="196">
        <v>12531685.99</v>
      </c>
      <c r="Q58" s="196">
        <v>12967042.470000001</v>
      </c>
      <c r="R58" s="196">
        <v>13339118.92</v>
      </c>
      <c r="S58" s="196">
        <v>13627986.52</v>
      </c>
      <c r="T58" s="196">
        <v>13501532.84</v>
      </c>
      <c r="U58" s="196">
        <v>13792136.970000001</v>
      </c>
      <c r="V58" s="196">
        <v>13699482.84</v>
      </c>
      <c r="W58" s="196">
        <v>13484838.119999999</v>
      </c>
      <c r="X58" s="196">
        <v>13426291.66</v>
      </c>
      <c r="Y58" s="196">
        <v>12927544.58</v>
      </c>
      <c r="Z58" s="196">
        <v>12877626.27</v>
      </c>
      <c r="AA58" s="196">
        <v>158890080.09000003</v>
      </c>
    </row>
    <row r="59" spans="7:27" ht="15" customHeight="1" x14ac:dyDescent="0.25">
      <c r="G59" s="191" t="s">
        <v>217</v>
      </c>
      <c r="H59" s="191" t="s">
        <v>217</v>
      </c>
      <c r="I59" s="194"/>
      <c r="J59" s="194"/>
      <c r="K59" s="194"/>
      <c r="M59" s="195" t="s">
        <v>279</v>
      </c>
      <c r="N59" s="196" t="s">
        <v>280</v>
      </c>
      <c r="O59" s="196">
        <v>4199716.41</v>
      </c>
      <c r="P59" s="196">
        <v>4159089.9</v>
      </c>
      <c r="Q59" s="196">
        <v>4284165.6500000004</v>
      </c>
      <c r="R59" s="196">
        <v>4169975.12</v>
      </c>
      <c r="S59" s="196">
        <v>4171516.32</v>
      </c>
      <c r="T59" s="196">
        <v>4048410.65</v>
      </c>
      <c r="U59" s="196">
        <v>4240243.53</v>
      </c>
      <c r="V59" s="196">
        <v>4222952.18</v>
      </c>
      <c r="W59" s="196">
        <v>4074964.43</v>
      </c>
      <c r="X59" s="196">
        <v>4210595.4800000004</v>
      </c>
      <c r="Y59" s="196">
        <v>4180156.54</v>
      </c>
      <c r="Z59" s="196">
        <v>4217436.7</v>
      </c>
      <c r="AA59" s="196">
        <v>50179222.910000004</v>
      </c>
    </row>
    <row r="60" spans="7:27" ht="15" customHeight="1" x14ac:dyDescent="0.25">
      <c r="G60" s="191" t="s">
        <v>217</v>
      </c>
      <c r="H60" s="191" t="s">
        <v>217</v>
      </c>
      <c r="I60" s="194"/>
      <c r="J60" s="194"/>
      <c r="K60" s="194"/>
      <c r="M60" s="195" t="s">
        <v>281</v>
      </c>
      <c r="N60" s="196" t="s">
        <v>282</v>
      </c>
      <c r="O60" s="196">
        <v>4199716.41</v>
      </c>
      <c r="P60" s="196">
        <v>4159089.9</v>
      </c>
      <c r="Q60" s="196">
        <v>4284165.6500000004</v>
      </c>
      <c r="R60" s="196">
        <v>4169975.12</v>
      </c>
      <c r="S60" s="196">
        <v>4171516.32</v>
      </c>
      <c r="T60" s="196">
        <v>4048410.65</v>
      </c>
      <c r="U60" s="196">
        <v>4240243.53</v>
      </c>
      <c r="V60" s="196">
        <v>4222952.18</v>
      </c>
      <c r="W60" s="196">
        <v>4074964.43</v>
      </c>
      <c r="X60" s="196">
        <v>4210595.4800000004</v>
      </c>
      <c r="Y60" s="196">
        <v>4180156.54</v>
      </c>
      <c r="Z60" s="196">
        <v>4217436.7</v>
      </c>
      <c r="AA60" s="196">
        <v>50179222.910000004</v>
      </c>
    </row>
    <row r="61" spans="7:27" ht="15" customHeight="1" x14ac:dyDescent="0.25">
      <c r="G61" s="191" t="s">
        <v>217</v>
      </c>
      <c r="H61" s="191" t="s">
        <v>217</v>
      </c>
      <c r="I61" s="194"/>
      <c r="J61" s="194"/>
      <c r="K61" s="194"/>
      <c r="M61" s="197" t="s">
        <v>283</v>
      </c>
      <c r="N61" s="198" t="s">
        <v>284</v>
      </c>
      <c r="O61" s="200">
        <v>1771265</v>
      </c>
      <c r="P61" s="200">
        <v>1854287</v>
      </c>
      <c r="Q61" s="200">
        <v>1844732</v>
      </c>
      <c r="R61" s="200">
        <v>1801505</v>
      </c>
      <c r="S61" s="200">
        <v>1746510</v>
      </c>
      <c r="T61" s="200">
        <v>1695532</v>
      </c>
      <c r="U61" s="200">
        <v>1803539</v>
      </c>
      <c r="V61" s="200">
        <v>1789747</v>
      </c>
      <c r="W61" s="200">
        <v>1721261</v>
      </c>
      <c r="X61" s="200">
        <v>1778967</v>
      </c>
      <c r="Y61" s="200">
        <v>1814449</v>
      </c>
      <c r="Z61" s="200">
        <v>1785927</v>
      </c>
      <c r="AA61" s="199">
        <v>21407721</v>
      </c>
    </row>
    <row r="62" spans="7:27" ht="15" customHeight="1" x14ac:dyDescent="0.25">
      <c r="G62" s="191" t="s">
        <v>217</v>
      </c>
      <c r="H62" s="191" t="s">
        <v>217</v>
      </c>
      <c r="I62" s="194"/>
      <c r="J62" s="194"/>
      <c r="K62" s="194"/>
      <c r="M62" s="197" t="s">
        <v>285</v>
      </c>
      <c r="N62" s="198" t="s">
        <v>286</v>
      </c>
      <c r="O62" s="200">
        <v>2112981</v>
      </c>
      <c r="P62" s="200">
        <v>1977463</v>
      </c>
      <c r="Q62" s="200">
        <v>2114783</v>
      </c>
      <c r="R62" s="200">
        <v>2049329</v>
      </c>
      <c r="S62" s="200">
        <v>2114576</v>
      </c>
      <c r="T62" s="200">
        <v>2051930</v>
      </c>
      <c r="U62" s="200">
        <v>2118700</v>
      </c>
      <c r="V62" s="200">
        <v>2117458</v>
      </c>
      <c r="W62" s="200">
        <v>2046914</v>
      </c>
      <c r="X62" s="200">
        <v>2117442</v>
      </c>
      <c r="Y62" s="200">
        <v>2043978</v>
      </c>
      <c r="Z62" s="200">
        <v>2114908</v>
      </c>
      <c r="AA62" s="199">
        <v>24980462</v>
      </c>
    </row>
    <row r="63" spans="7:27" ht="15" customHeight="1" x14ac:dyDescent="0.25">
      <c r="G63" s="191" t="s">
        <v>217</v>
      </c>
      <c r="H63" s="191" t="s">
        <v>217</v>
      </c>
      <c r="I63" s="194"/>
      <c r="J63" s="194"/>
      <c r="K63" s="194"/>
      <c r="M63" s="197" t="s">
        <v>287</v>
      </c>
      <c r="N63" s="198" t="s">
        <v>288</v>
      </c>
      <c r="O63" s="200">
        <v>22217</v>
      </c>
      <c r="P63" s="200">
        <v>23909</v>
      </c>
      <c r="Q63" s="200">
        <v>23060</v>
      </c>
      <c r="R63" s="200">
        <v>22957</v>
      </c>
      <c r="S63" s="200">
        <v>21451</v>
      </c>
      <c r="T63" s="200">
        <v>21653</v>
      </c>
      <c r="U63" s="200">
        <v>22640</v>
      </c>
      <c r="V63" s="200">
        <v>22206</v>
      </c>
      <c r="W63" s="200">
        <v>21845</v>
      </c>
      <c r="X63" s="200">
        <v>21952</v>
      </c>
      <c r="Y63" s="200">
        <v>22871</v>
      </c>
      <c r="Z63" s="200">
        <v>22554</v>
      </c>
      <c r="AA63" s="199">
        <v>269315</v>
      </c>
    </row>
    <row r="64" spans="7:27" ht="15" customHeight="1" x14ac:dyDescent="0.25">
      <c r="G64" s="191" t="s">
        <v>217</v>
      </c>
      <c r="H64" s="191" t="s">
        <v>217</v>
      </c>
      <c r="I64" s="194"/>
      <c r="J64" s="194"/>
      <c r="K64" s="194"/>
      <c r="M64" s="197" t="s">
        <v>289</v>
      </c>
      <c r="N64" s="198" t="s">
        <v>290</v>
      </c>
      <c r="O64" s="200">
        <v>83062</v>
      </c>
      <c r="P64" s="200">
        <v>89382</v>
      </c>
      <c r="Q64" s="200">
        <v>86212</v>
      </c>
      <c r="R64" s="200">
        <v>85826</v>
      </c>
      <c r="S64" s="200">
        <v>80197</v>
      </c>
      <c r="T64" s="200">
        <v>80954</v>
      </c>
      <c r="U64" s="200">
        <v>84643</v>
      </c>
      <c r="V64" s="200">
        <v>83020</v>
      </c>
      <c r="W64" s="200">
        <v>81670</v>
      </c>
      <c r="X64" s="200">
        <v>82071</v>
      </c>
      <c r="Y64" s="200">
        <v>85505</v>
      </c>
      <c r="Z64" s="200">
        <v>84319</v>
      </c>
      <c r="AA64" s="199">
        <v>1006861</v>
      </c>
    </row>
    <row r="65" spans="7:27" ht="15" customHeight="1" x14ac:dyDescent="0.25">
      <c r="G65" s="191" t="s">
        <v>217</v>
      </c>
      <c r="H65" s="191" t="s">
        <v>217</v>
      </c>
      <c r="I65" s="194"/>
      <c r="J65" s="194"/>
      <c r="K65" s="194"/>
      <c r="M65" s="197" t="s">
        <v>291</v>
      </c>
      <c r="N65" s="198" t="s">
        <v>292</v>
      </c>
      <c r="O65" s="200">
        <v>40710</v>
      </c>
      <c r="P65" s="200">
        <v>38084</v>
      </c>
      <c r="Q65" s="200">
        <v>40710</v>
      </c>
      <c r="R65" s="200">
        <v>39397</v>
      </c>
      <c r="S65" s="200">
        <v>40710</v>
      </c>
      <c r="T65" s="200">
        <v>39397</v>
      </c>
      <c r="U65" s="200">
        <v>40710</v>
      </c>
      <c r="V65" s="200">
        <v>40710</v>
      </c>
      <c r="W65" s="200">
        <v>39397</v>
      </c>
      <c r="X65" s="200">
        <v>40710</v>
      </c>
      <c r="Y65" s="200">
        <v>39397</v>
      </c>
      <c r="Z65" s="200">
        <v>40710</v>
      </c>
      <c r="AA65" s="199">
        <v>480642</v>
      </c>
    </row>
    <row r="66" spans="7:27" ht="15" customHeight="1" x14ac:dyDescent="0.25">
      <c r="G66" s="191" t="s">
        <v>217</v>
      </c>
      <c r="H66" s="191" t="s">
        <v>217</v>
      </c>
      <c r="I66" s="194"/>
      <c r="J66" s="194"/>
      <c r="K66" s="194"/>
      <c r="M66" s="197" t="s">
        <v>293</v>
      </c>
      <c r="N66" s="198" t="s">
        <v>294</v>
      </c>
      <c r="O66" s="200">
        <v>104992.82</v>
      </c>
      <c r="P66" s="200">
        <v>103977.15</v>
      </c>
      <c r="Q66" s="200">
        <v>107104.05</v>
      </c>
      <c r="R66" s="200">
        <v>104249.26</v>
      </c>
      <c r="S66" s="200">
        <v>104287.79</v>
      </c>
      <c r="T66" s="200">
        <v>101210.17</v>
      </c>
      <c r="U66" s="200">
        <v>106006.01</v>
      </c>
      <c r="V66" s="200">
        <v>105573.74</v>
      </c>
      <c r="W66" s="200">
        <v>101874.01</v>
      </c>
      <c r="X66" s="200">
        <v>105264.8</v>
      </c>
      <c r="Y66" s="200">
        <v>104503.8</v>
      </c>
      <c r="Z66" s="200">
        <v>105435.83</v>
      </c>
      <c r="AA66" s="199">
        <v>1254479.4300000002</v>
      </c>
    </row>
    <row r="67" spans="7:27" ht="15" customHeight="1" x14ac:dyDescent="0.25">
      <c r="G67" s="191" t="s">
        <v>217</v>
      </c>
      <c r="H67" s="191" t="s">
        <v>217</v>
      </c>
      <c r="I67" s="194"/>
      <c r="J67" s="194"/>
      <c r="K67" s="194"/>
      <c r="M67" s="197" t="s">
        <v>295</v>
      </c>
      <c r="N67" s="198" t="s">
        <v>296</v>
      </c>
      <c r="O67" s="200">
        <v>27354.71</v>
      </c>
      <c r="P67" s="200">
        <v>32812.07</v>
      </c>
      <c r="Q67" s="200">
        <v>29564.720000000001</v>
      </c>
      <c r="R67" s="200">
        <v>28634.09</v>
      </c>
      <c r="S67" s="200">
        <v>27197.67</v>
      </c>
      <c r="T67" s="200">
        <v>21772.720000000001</v>
      </c>
      <c r="U67" s="200">
        <v>26775.66</v>
      </c>
      <c r="V67" s="200">
        <v>27288.58</v>
      </c>
      <c r="W67" s="200">
        <v>25245.66</v>
      </c>
      <c r="X67" s="200">
        <v>27382.82</v>
      </c>
      <c r="Y67" s="200">
        <v>31017.97</v>
      </c>
      <c r="Z67" s="200">
        <v>26067.98</v>
      </c>
      <c r="AA67" s="199">
        <v>331114.65000000002</v>
      </c>
    </row>
    <row r="68" spans="7:27" ht="15" customHeight="1" x14ac:dyDescent="0.25">
      <c r="G68" s="191" t="s">
        <v>217</v>
      </c>
      <c r="H68" s="191" t="s">
        <v>217</v>
      </c>
      <c r="I68" s="194"/>
      <c r="J68" s="194"/>
      <c r="K68" s="194"/>
      <c r="M68" s="197" t="s">
        <v>297</v>
      </c>
      <c r="N68" s="198" t="s">
        <v>298</v>
      </c>
      <c r="O68" s="200">
        <v>33844</v>
      </c>
      <c r="P68" s="200">
        <v>36098</v>
      </c>
      <c r="Q68" s="200">
        <v>34710</v>
      </c>
      <c r="R68" s="200">
        <v>34894</v>
      </c>
      <c r="S68" s="200">
        <v>33297</v>
      </c>
      <c r="T68" s="200">
        <v>32778</v>
      </c>
      <c r="U68" s="200">
        <v>33940</v>
      </c>
      <c r="V68" s="200">
        <v>33659</v>
      </c>
      <c r="W68" s="200">
        <v>33574</v>
      </c>
      <c r="X68" s="200">
        <v>33516</v>
      </c>
      <c r="Y68" s="200">
        <v>35251</v>
      </c>
      <c r="Z68" s="200">
        <v>34225</v>
      </c>
      <c r="AA68" s="199">
        <v>409786</v>
      </c>
    </row>
    <row r="69" spans="7:27" ht="15" customHeight="1" x14ac:dyDescent="0.25">
      <c r="G69" s="191" t="s">
        <v>217</v>
      </c>
      <c r="H69" s="191" t="s">
        <v>217</v>
      </c>
      <c r="I69" s="194"/>
      <c r="J69" s="194"/>
      <c r="K69" s="194"/>
      <c r="M69" s="197" t="s">
        <v>462</v>
      </c>
      <c r="N69" s="198" t="s">
        <v>463</v>
      </c>
      <c r="O69" s="200">
        <v>3289.88</v>
      </c>
      <c r="P69" s="200">
        <v>3077.68</v>
      </c>
      <c r="Q69" s="200">
        <v>3289.88</v>
      </c>
      <c r="R69" s="200">
        <v>3183.77</v>
      </c>
      <c r="S69" s="200">
        <v>3289.86</v>
      </c>
      <c r="T69" s="200">
        <v>3183.76</v>
      </c>
      <c r="U69" s="200">
        <v>3289.86</v>
      </c>
      <c r="V69" s="200">
        <v>3289.86</v>
      </c>
      <c r="W69" s="200">
        <v>3183.76</v>
      </c>
      <c r="X69" s="200">
        <v>3289.86</v>
      </c>
      <c r="Y69" s="200">
        <v>3183.77</v>
      </c>
      <c r="Z69" s="200">
        <v>3289.89</v>
      </c>
      <c r="AA69" s="199">
        <v>38841.83</v>
      </c>
    </row>
    <row r="70" spans="7:27" ht="15" customHeight="1" x14ac:dyDescent="0.25">
      <c r="G70" s="191" t="s">
        <v>217</v>
      </c>
      <c r="H70" s="191" t="s">
        <v>217</v>
      </c>
      <c r="I70" s="194"/>
      <c r="J70" s="194"/>
      <c r="K70" s="194"/>
      <c r="M70" s="195" t="s">
        <v>299</v>
      </c>
      <c r="N70" s="196" t="s">
        <v>300</v>
      </c>
      <c r="O70" s="196">
        <v>8515076.5</v>
      </c>
      <c r="P70" s="196">
        <v>8372596.0899999999</v>
      </c>
      <c r="Q70" s="196">
        <v>8682876.8200000003</v>
      </c>
      <c r="R70" s="196">
        <v>9169143.8000000007</v>
      </c>
      <c r="S70" s="196">
        <v>9456470.1999999993</v>
      </c>
      <c r="T70" s="196">
        <v>9453122.1899999995</v>
      </c>
      <c r="U70" s="196">
        <v>9551893.4399999995</v>
      </c>
      <c r="V70" s="196">
        <v>9476530.6600000001</v>
      </c>
      <c r="W70" s="196">
        <v>9409873.6899999995</v>
      </c>
      <c r="X70" s="196">
        <v>9215696.1799999997</v>
      </c>
      <c r="Y70" s="196">
        <v>8747388.0399999991</v>
      </c>
      <c r="Z70" s="196">
        <v>8660189.5700000003</v>
      </c>
      <c r="AA70" s="196">
        <v>108710857.17999998</v>
      </c>
    </row>
    <row r="71" spans="7:27" ht="15" customHeight="1" x14ac:dyDescent="0.25">
      <c r="G71" s="191" t="s">
        <v>217</v>
      </c>
      <c r="H71" s="191" t="s">
        <v>217</v>
      </c>
      <c r="I71" s="194"/>
      <c r="J71" s="194"/>
      <c r="K71" s="194"/>
      <c r="M71" s="195" t="s">
        <v>301</v>
      </c>
      <c r="N71" s="196" t="s">
        <v>302</v>
      </c>
      <c r="O71" s="196">
        <v>8515076.5</v>
      </c>
      <c r="P71" s="196">
        <v>8372596.0899999999</v>
      </c>
      <c r="Q71" s="196">
        <v>8682876.8200000003</v>
      </c>
      <c r="R71" s="196">
        <v>9169143.8000000007</v>
      </c>
      <c r="S71" s="196">
        <v>9456470.1999999993</v>
      </c>
      <c r="T71" s="196">
        <v>9453122.1899999995</v>
      </c>
      <c r="U71" s="196">
        <v>9551893.4399999995</v>
      </c>
      <c r="V71" s="196">
        <v>9476530.6600000001</v>
      </c>
      <c r="W71" s="196">
        <v>9409873.6899999995</v>
      </c>
      <c r="X71" s="196">
        <v>9215696.1799999997</v>
      </c>
      <c r="Y71" s="196">
        <v>8747388.0399999991</v>
      </c>
      <c r="Z71" s="196">
        <v>8660189.5700000003</v>
      </c>
      <c r="AA71" s="196">
        <v>108710857.17999998</v>
      </c>
    </row>
    <row r="72" spans="7:27" ht="15" customHeight="1" x14ac:dyDescent="0.25">
      <c r="G72" s="191" t="s">
        <v>217</v>
      </c>
      <c r="H72" s="191" t="s">
        <v>217</v>
      </c>
      <c r="I72" s="194"/>
      <c r="J72" s="194"/>
      <c r="K72" s="194"/>
      <c r="M72" s="197" t="s">
        <v>303</v>
      </c>
      <c r="N72" s="198" t="s">
        <v>304</v>
      </c>
      <c r="O72" s="200">
        <v>3751414</v>
      </c>
      <c r="P72" s="200">
        <v>3751601</v>
      </c>
      <c r="Q72" s="200">
        <v>3850652</v>
      </c>
      <c r="R72" s="200">
        <v>4071248</v>
      </c>
      <c r="S72" s="200">
        <v>4196080</v>
      </c>
      <c r="T72" s="200">
        <v>4173749</v>
      </c>
      <c r="U72" s="200">
        <v>4202015</v>
      </c>
      <c r="V72" s="200">
        <v>4180341</v>
      </c>
      <c r="W72" s="200">
        <v>4110417</v>
      </c>
      <c r="X72" s="200">
        <v>4099874</v>
      </c>
      <c r="Y72" s="200">
        <v>3877263</v>
      </c>
      <c r="Z72" s="200">
        <v>3818275</v>
      </c>
      <c r="AA72" s="199">
        <v>48082929</v>
      </c>
    </row>
    <row r="73" spans="7:27" ht="15" customHeight="1" x14ac:dyDescent="0.25">
      <c r="G73" s="191" t="s">
        <v>217</v>
      </c>
      <c r="H73" s="191" t="s">
        <v>217</v>
      </c>
      <c r="I73" s="194"/>
      <c r="J73" s="194"/>
      <c r="K73" s="194"/>
      <c r="M73" s="197" t="s">
        <v>305</v>
      </c>
      <c r="N73" s="198" t="s">
        <v>306</v>
      </c>
      <c r="O73" s="200">
        <v>3575678</v>
      </c>
      <c r="P73" s="200">
        <v>3436963</v>
      </c>
      <c r="Q73" s="200">
        <v>3618564</v>
      </c>
      <c r="R73" s="200">
        <v>3834383</v>
      </c>
      <c r="S73" s="200">
        <v>3938866</v>
      </c>
      <c r="T73" s="200">
        <v>3953597</v>
      </c>
      <c r="U73" s="200">
        <v>4009970</v>
      </c>
      <c r="V73" s="200">
        <v>3960465</v>
      </c>
      <c r="W73" s="200">
        <v>3982434</v>
      </c>
      <c r="X73" s="200">
        <v>3814871</v>
      </c>
      <c r="Y73" s="200">
        <v>3633128</v>
      </c>
      <c r="Z73" s="200">
        <v>3623865</v>
      </c>
      <c r="AA73" s="199">
        <v>45382784</v>
      </c>
    </row>
    <row r="74" spans="7:27" ht="15" customHeight="1" x14ac:dyDescent="0.25">
      <c r="G74" s="191" t="s">
        <v>217</v>
      </c>
      <c r="H74" s="191" t="s">
        <v>217</v>
      </c>
      <c r="I74" s="194"/>
      <c r="J74" s="194"/>
      <c r="K74" s="194"/>
      <c r="M74" s="197" t="s">
        <v>307</v>
      </c>
      <c r="N74" s="198" t="s">
        <v>308</v>
      </c>
      <c r="O74" s="200">
        <v>39314</v>
      </c>
      <c r="P74" s="200">
        <v>40293</v>
      </c>
      <c r="Q74" s="200">
        <v>40999</v>
      </c>
      <c r="R74" s="200">
        <v>41475</v>
      </c>
      <c r="S74" s="200">
        <v>43901</v>
      </c>
      <c r="T74" s="200">
        <v>44004</v>
      </c>
      <c r="U74" s="200">
        <v>44571</v>
      </c>
      <c r="V74" s="200">
        <v>44824</v>
      </c>
      <c r="W74" s="200">
        <v>43327</v>
      </c>
      <c r="X74" s="200">
        <v>43905</v>
      </c>
      <c r="Y74" s="200">
        <v>41482</v>
      </c>
      <c r="Z74" s="200">
        <v>40618</v>
      </c>
      <c r="AA74" s="199">
        <v>508713</v>
      </c>
    </row>
    <row r="75" spans="7:27" ht="15" customHeight="1" x14ac:dyDescent="0.25">
      <c r="G75" s="191" t="s">
        <v>217</v>
      </c>
      <c r="H75" s="191" t="s">
        <v>217</v>
      </c>
      <c r="I75" s="194"/>
      <c r="J75" s="194"/>
      <c r="K75" s="194"/>
      <c r="M75" s="197" t="s">
        <v>309</v>
      </c>
      <c r="N75" s="198" t="s">
        <v>310</v>
      </c>
      <c r="O75" s="200">
        <v>145781</v>
      </c>
      <c r="P75" s="200">
        <v>149471</v>
      </c>
      <c r="Q75" s="200">
        <v>152195</v>
      </c>
      <c r="R75" s="200">
        <v>153896</v>
      </c>
      <c r="S75" s="200">
        <v>162940</v>
      </c>
      <c r="T75" s="200">
        <v>163124</v>
      </c>
      <c r="U75" s="200">
        <v>165174</v>
      </c>
      <c r="V75" s="200">
        <v>166113</v>
      </c>
      <c r="W75" s="200">
        <v>160556</v>
      </c>
      <c r="X75" s="200">
        <v>162768</v>
      </c>
      <c r="Y75" s="200">
        <v>153822</v>
      </c>
      <c r="Z75" s="200">
        <v>150707</v>
      </c>
      <c r="AA75" s="199">
        <v>1886547</v>
      </c>
    </row>
    <row r="76" spans="7:27" ht="15" customHeight="1" x14ac:dyDescent="0.25">
      <c r="G76" s="191" t="s">
        <v>217</v>
      </c>
      <c r="H76" s="191" t="s">
        <v>217</v>
      </c>
      <c r="I76" s="194"/>
      <c r="J76" s="194"/>
      <c r="K76" s="194"/>
      <c r="M76" s="197" t="s">
        <v>311</v>
      </c>
      <c r="N76" s="198" t="s">
        <v>312</v>
      </c>
      <c r="O76" s="200">
        <v>71600</v>
      </c>
      <c r="P76" s="200">
        <v>68891</v>
      </c>
      <c r="Q76" s="200">
        <v>72334</v>
      </c>
      <c r="R76" s="200">
        <v>76634</v>
      </c>
      <c r="S76" s="200">
        <v>78665</v>
      </c>
      <c r="T76" s="200">
        <v>79179</v>
      </c>
      <c r="U76" s="200">
        <v>80304</v>
      </c>
      <c r="V76" s="200">
        <v>79282</v>
      </c>
      <c r="W76" s="200">
        <v>79872</v>
      </c>
      <c r="X76" s="200">
        <v>76315</v>
      </c>
      <c r="Y76" s="200">
        <v>72814</v>
      </c>
      <c r="Z76" s="200">
        <v>72631</v>
      </c>
      <c r="AA76" s="199">
        <v>908521</v>
      </c>
    </row>
    <row r="77" spans="7:27" ht="15" customHeight="1" x14ac:dyDescent="0.25">
      <c r="G77" s="191" t="s">
        <v>217</v>
      </c>
      <c r="H77" s="191" t="s">
        <v>217</v>
      </c>
      <c r="I77" s="194"/>
      <c r="J77" s="194"/>
      <c r="K77" s="194"/>
      <c r="M77" s="197" t="s">
        <v>313</v>
      </c>
      <c r="N77" s="198" t="s">
        <v>314</v>
      </c>
      <c r="O77" s="200">
        <v>333554.99</v>
      </c>
      <c r="P77" s="200">
        <v>327930.67</v>
      </c>
      <c r="Q77" s="200">
        <v>340179.02</v>
      </c>
      <c r="R77" s="200">
        <v>359374.43</v>
      </c>
      <c r="S77" s="200">
        <v>370716.68</v>
      </c>
      <c r="T77" s="200">
        <v>370584.55</v>
      </c>
      <c r="U77" s="200">
        <v>374483.5</v>
      </c>
      <c r="V77" s="200">
        <v>371508.61</v>
      </c>
      <c r="W77" s="200">
        <v>368877.25</v>
      </c>
      <c r="X77" s="200">
        <v>361212.09</v>
      </c>
      <c r="Y77" s="200">
        <v>342725.59</v>
      </c>
      <c r="Z77" s="200">
        <v>339283.42</v>
      </c>
      <c r="AA77" s="199">
        <v>4260430.8</v>
      </c>
    </row>
    <row r="78" spans="7:27" ht="15" customHeight="1" x14ac:dyDescent="0.25">
      <c r="G78" s="191" t="s">
        <v>217</v>
      </c>
      <c r="H78" s="191" t="s">
        <v>217</v>
      </c>
      <c r="I78" s="194"/>
      <c r="J78" s="194"/>
      <c r="K78" s="194"/>
      <c r="M78" s="197" t="s">
        <v>315</v>
      </c>
      <c r="N78" s="198" t="s">
        <v>316</v>
      </c>
      <c r="O78" s="200">
        <v>202904.73</v>
      </c>
      <c r="P78" s="200">
        <v>199483.4</v>
      </c>
      <c r="Q78" s="200">
        <v>206934.19</v>
      </c>
      <c r="R78" s="200">
        <v>218610.94</v>
      </c>
      <c r="S78" s="200">
        <v>225510.54</v>
      </c>
      <c r="T78" s="200">
        <v>225430.16</v>
      </c>
      <c r="U78" s="200">
        <v>227801.94</v>
      </c>
      <c r="V78" s="200">
        <v>225992.28</v>
      </c>
      <c r="W78" s="200">
        <v>224391.6</v>
      </c>
      <c r="X78" s="200">
        <v>219728.81</v>
      </c>
      <c r="Y78" s="200">
        <v>208483.29</v>
      </c>
      <c r="Z78" s="200">
        <v>206389.38</v>
      </c>
      <c r="AA78" s="199">
        <v>2591661.2599999998</v>
      </c>
    </row>
    <row r="79" spans="7:27" ht="15" customHeight="1" x14ac:dyDescent="0.25">
      <c r="G79" s="191" t="s">
        <v>217</v>
      </c>
      <c r="H79" s="191" t="s">
        <v>217</v>
      </c>
      <c r="I79" s="194"/>
      <c r="J79" s="194"/>
      <c r="K79" s="194"/>
      <c r="M79" s="197" t="s">
        <v>317</v>
      </c>
      <c r="N79" s="198" t="s">
        <v>318</v>
      </c>
      <c r="O79" s="200">
        <v>145889.21</v>
      </c>
      <c r="P79" s="200">
        <v>146175.70000000001</v>
      </c>
      <c r="Q79" s="200">
        <v>146752.9</v>
      </c>
      <c r="R79" s="200">
        <v>151713.18</v>
      </c>
      <c r="S79" s="200">
        <v>165168.44</v>
      </c>
      <c r="T79" s="200">
        <v>165085.28</v>
      </c>
      <c r="U79" s="200">
        <v>166202.15</v>
      </c>
      <c r="V79" s="200">
        <v>166559.9</v>
      </c>
      <c r="W79" s="200">
        <v>163494.5</v>
      </c>
      <c r="X79" s="200">
        <v>162809.42000000001</v>
      </c>
      <c r="Y79" s="200">
        <v>157253.57</v>
      </c>
      <c r="Z79" s="200">
        <v>152683.54</v>
      </c>
      <c r="AA79" s="199">
        <v>1889787.7899999998</v>
      </c>
    </row>
    <row r="80" spans="7:27" ht="15" customHeight="1" x14ac:dyDescent="0.25">
      <c r="G80" s="191" t="s">
        <v>217</v>
      </c>
      <c r="H80" s="191" t="s">
        <v>217</v>
      </c>
      <c r="I80" s="194"/>
      <c r="J80" s="194"/>
      <c r="K80" s="194"/>
      <c r="M80" s="197" t="s">
        <v>319</v>
      </c>
      <c r="N80" s="198" t="s">
        <v>320</v>
      </c>
      <c r="O80" s="200">
        <v>206900</v>
      </c>
      <c r="P80" s="200">
        <v>210919</v>
      </c>
      <c r="Q80" s="200">
        <v>211958</v>
      </c>
      <c r="R80" s="200">
        <v>216675</v>
      </c>
      <c r="S80" s="200">
        <v>228117</v>
      </c>
      <c r="T80" s="200">
        <v>231118</v>
      </c>
      <c r="U80" s="200">
        <v>233372</v>
      </c>
      <c r="V80" s="200">
        <v>234001</v>
      </c>
      <c r="W80" s="200">
        <v>228320</v>
      </c>
      <c r="X80" s="200">
        <v>228773</v>
      </c>
      <c r="Y80" s="200">
        <v>217026</v>
      </c>
      <c r="Z80" s="200">
        <v>212849</v>
      </c>
      <c r="AA80" s="199">
        <v>2660028</v>
      </c>
    </row>
    <row r="81" spans="7:27" ht="15" customHeight="1" x14ac:dyDescent="0.25">
      <c r="G81" s="191" t="s">
        <v>217</v>
      </c>
      <c r="H81" s="191" t="s">
        <v>217</v>
      </c>
      <c r="I81" s="194"/>
      <c r="J81" s="194"/>
      <c r="K81" s="194"/>
      <c r="M81" s="197" t="s">
        <v>464</v>
      </c>
      <c r="N81" s="198" t="s">
        <v>465</v>
      </c>
      <c r="O81" s="200">
        <v>42040.57</v>
      </c>
      <c r="P81" s="200">
        <v>40868.32</v>
      </c>
      <c r="Q81" s="200">
        <v>42308.71</v>
      </c>
      <c r="R81" s="200">
        <v>45134.25</v>
      </c>
      <c r="S81" s="200">
        <v>46505.54</v>
      </c>
      <c r="T81" s="200">
        <v>47251.199999999997</v>
      </c>
      <c r="U81" s="200">
        <v>47999.85</v>
      </c>
      <c r="V81" s="200">
        <v>47443.87</v>
      </c>
      <c r="W81" s="200">
        <v>48184.34</v>
      </c>
      <c r="X81" s="200">
        <v>45439.86</v>
      </c>
      <c r="Y81" s="200">
        <v>43390.59</v>
      </c>
      <c r="Z81" s="200">
        <v>42888.23</v>
      </c>
      <c r="AA81" s="199">
        <v>539455.32999999996</v>
      </c>
    </row>
    <row r="82" spans="7:27" ht="15" customHeight="1" x14ac:dyDescent="0.25">
      <c r="G82" s="191" t="s">
        <v>217</v>
      </c>
      <c r="H82" s="191" t="s">
        <v>217</v>
      </c>
      <c r="I82" s="194"/>
      <c r="J82" s="194"/>
      <c r="K82" s="194"/>
      <c r="M82" s="195" t="s">
        <v>321</v>
      </c>
      <c r="N82" s="196" t="s">
        <v>322</v>
      </c>
      <c r="O82" s="196">
        <v>17392371.34</v>
      </c>
      <c r="P82" s="196">
        <v>17340567.07</v>
      </c>
      <c r="Q82" s="196">
        <v>17357187.949999999</v>
      </c>
      <c r="R82" s="196">
        <v>17803795.440000001</v>
      </c>
      <c r="S82" s="196">
        <v>18611594.18</v>
      </c>
      <c r="T82" s="196">
        <v>19668045.600000001</v>
      </c>
      <c r="U82" s="196">
        <v>19840465.710000001</v>
      </c>
      <c r="V82" s="196">
        <v>19998971.960000001</v>
      </c>
      <c r="W82" s="196">
        <v>20249251.550000001</v>
      </c>
      <c r="X82" s="196">
        <v>19730402.940000001</v>
      </c>
      <c r="Y82" s="196">
        <v>18246332.25</v>
      </c>
      <c r="Z82" s="196">
        <v>17582237.079999998</v>
      </c>
      <c r="AA82" s="196">
        <v>223821223.06999999</v>
      </c>
    </row>
    <row r="83" spans="7:27" ht="15" customHeight="1" x14ac:dyDescent="0.25">
      <c r="G83" s="191" t="s">
        <v>217</v>
      </c>
      <c r="H83" s="191" t="s">
        <v>217</v>
      </c>
      <c r="I83" s="194"/>
      <c r="J83" s="194"/>
      <c r="K83" s="194"/>
      <c r="M83" s="197" t="s">
        <v>323</v>
      </c>
      <c r="N83" s="198" t="s">
        <v>324</v>
      </c>
      <c r="O83" s="200">
        <v>9653399</v>
      </c>
      <c r="P83" s="200">
        <v>9723697</v>
      </c>
      <c r="Q83" s="200">
        <v>9660660</v>
      </c>
      <c r="R83" s="200">
        <v>9830621</v>
      </c>
      <c r="S83" s="200">
        <v>10146098</v>
      </c>
      <c r="T83" s="200">
        <v>10580699</v>
      </c>
      <c r="U83" s="200">
        <v>10533548</v>
      </c>
      <c r="V83" s="200">
        <v>10649483</v>
      </c>
      <c r="W83" s="200">
        <v>10816164</v>
      </c>
      <c r="X83" s="200">
        <v>10669841</v>
      </c>
      <c r="Y83" s="200">
        <v>9976642</v>
      </c>
      <c r="Z83" s="200">
        <v>9741378</v>
      </c>
      <c r="AA83" s="199">
        <v>121982230</v>
      </c>
    </row>
    <row r="84" spans="7:27" ht="15" customHeight="1" x14ac:dyDescent="0.25">
      <c r="G84" s="191" t="s">
        <v>217</v>
      </c>
      <c r="H84" s="191" t="s">
        <v>217</v>
      </c>
      <c r="I84" s="194"/>
      <c r="J84" s="194"/>
      <c r="K84" s="194"/>
      <c r="M84" s="197" t="s">
        <v>325</v>
      </c>
      <c r="N84" s="198" t="s">
        <v>326</v>
      </c>
      <c r="O84" s="200">
        <v>5708380</v>
      </c>
      <c r="P84" s="200">
        <v>5581659</v>
      </c>
      <c r="Q84" s="200">
        <v>5674086</v>
      </c>
      <c r="R84" s="200">
        <v>5900998</v>
      </c>
      <c r="S84" s="200">
        <v>6294376</v>
      </c>
      <c r="T84" s="200">
        <v>6784378</v>
      </c>
      <c r="U84" s="200">
        <v>7010860</v>
      </c>
      <c r="V84" s="200">
        <v>7027025</v>
      </c>
      <c r="W84" s="200">
        <v>7072441</v>
      </c>
      <c r="X84" s="200">
        <v>6749856</v>
      </c>
      <c r="Y84" s="200">
        <v>6145033</v>
      </c>
      <c r="Z84" s="200">
        <v>5777434</v>
      </c>
      <c r="AA84" s="199">
        <v>75726526</v>
      </c>
    </row>
    <row r="85" spans="7:27" ht="15" customHeight="1" x14ac:dyDescent="0.25">
      <c r="G85" s="191" t="s">
        <v>217</v>
      </c>
      <c r="H85" s="191" t="s">
        <v>217</v>
      </c>
      <c r="I85" s="194"/>
      <c r="J85" s="194"/>
      <c r="K85" s="194"/>
      <c r="M85" s="197" t="s">
        <v>327</v>
      </c>
      <c r="N85" s="198" t="s">
        <v>328</v>
      </c>
      <c r="O85" s="200">
        <v>67243</v>
      </c>
      <c r="P85" s="200">
        <v>68391</v>
      </c>
      <c r="Q85" s="200">
        <v>67329</v>
      </c>
      <c r="R85" s="200">
        <v>68782</v>
      </c>
      <c r="S85" s="200">
        <v>72033</v>
      </c>
      <c r="T85" s="200">
        <v>76228</v>
      </c>
      <c r="U85" s="200">
        <v>74410</v>
      </c>
      <c r="V85" s="200">
        <v>75808</v>
      </c>
      <c r="W85" s="200">
        <v>77244</v>
      </c>
      <c r="X85" s="200">
        <v>76747</v>
      </c>
      <c r="Y85" s="200">
        <v>70357</v>
      </c>
      <c r="Z85" s="200">
        <v>68854</v>
      </c>
      <c r="AA85" s="199">
        <v>863426</v>
      </c>
    </row>
    <row r="86" spans="7:27" ht="15" customHeight="1" x14ac:dyDescent="0.25">
      <c r="G86" s="191" t="s">
        <v>217</v>
      </c>
      <c r="H86" s="191" t="s">
        <v>217</v>
      </c>
      <c r="I86" s="194"/>
      <c r="J86" s="194"/>
      <c r="K86" s="194"/>
      <c r="M86" s="197" t="s">
        <v>329</v>
      </c>
      <c r="N86" s="198" t="s">
        <v>330</v>
      </c>
      <c r="O86" s="200">
        <v>250853</v>
      </c>
      <c r="P86" s="200">
        <v>255322</v>
      </c>
      <c r="Q86" s="200">
        <v>251432</v>
      </c>
      <c r="R86" s="200">
        <v>256735</v>
      </c>
      <c r="S86" s="200">
        <v>268777</v>
      </c>
      <c r="T86" s="200">
        <v>284402</v>
      </c>
      <c r="U86" s="200">
        <v>277659</v>
      </c>
      <c r="V86" s="200">
        <v>282770</v>
      </c>
      <c r="W86" s="200">
        <v>287930</v>
      </c>
      <c r="X86" s="200">
        <v>286229</v>
      </c>
      <c r="Y86" s="200">
        <v>262761</v>
      </c>
      <c r="Z86" s="200">
        <v>256995</v>
      </c>
      <c r="AA86" s="199">
        <v>3221865</v>
      </c>
    </row>
    <row r="87" spans="7:27" ht="15" customHeight="1" x14ac:dyDescent="0.25">
      <c r="G87" s="191" t="s">
        <v>217</v>
      </c>
      <c r="H87" s="191" t="s">
        <v>217</v>
      </c>
      <c r="I87" s="194"/>
      <c r="J87" s="194"/>
      <c r="K87" s="194"/>
      <c r="M87" s="197" t="s">
        <v>331</v>
      </c>
      <c r="N87" s="198" t="s">
        <v>332</v>
      </c>
      <c r="O87" s="200">
        <v>112246</v>
      </c>
      <c r="P87" s="200">
        <v>109615</v>
      </c>
      <c r="Q87" s="200">
        <v>111439</v>
      </c>
      <c r="R87" s="200">
        <v>115931</v>
      </c>
      <c r="S87" s="200">
        <v>123763</v>
      </c>
      <c r="T87" s="200">
        <v>133757</v>
      </c>
      <c r="U87" s="200">
        <v>138348</v>
      </c>
      <c r="V87" s="200">
        <v>138617</v>
      </c>
      <c r="W87" s="200">
        <v>139593</v>
      </c>
      <c r="X87" s="200">
        <v>133000</v>
      </c>
      <c r="Y87" s="200">
        <v>120842</v>
      </c>
      <c r="Z87" s="200">
        <v>113610</v>
      </c>
      <c r="AA87" s="199">
        <v>1490761</v>
      </c>
    </row>
    <row r="88" spans="7:27" ht="15" customHeight="1" x14ac:dyDescent="0.25">
      <c r="G88" s="191" t="s">
        <v>217</v>
      </c>
      <c r="H88" s="191" t="s">
        <v>217</v>
      </c>
      <c r="I88" s="194"/>
      <c r="J88" s="194"/>
      <c r="K88" s="194"/>
      <c r="M88" s="197" t="s">
        <v>333</v>
      </c>
      <c r="N88" s="198" t="s">
        <v>334</v>
      </c>
      <c r="O88" s="200">
        <v>450601.86</v>
      </c>
      <c r="P88" s="200">
        <v>449268.58</v>
      </c>
      <c r="Q88" s="200">
        <v>449700.64</v>
      </c>
      <c r="R88" s="200">
        <v>461226.72</v>
      </c>
      <c r="S88" s="200">
        <v>482071.82</v>
      </c>
      <c r="T88" s="200">
        <v>509332.25</v>
      </c>
      <c r="U88" s="200">
        <v>513784.1</v>
      </c>
      <c r="V88" s="200">
        <v>517877.01</v>
      </c>
      <c r="W88" s="200">
        <v>524337.73</v>
      </c>
      <c r="X88" s="200">
        <v>510954.38</v>
      </c>
      <c r="Y88" s="200">
        <v>472667.71</v>
      </c>
      <c r="Z88" s="200">
        <v>455536.79</v>
      </c>
      <c r="AA88" s="199">
        <v>5797359.5900000008</v>
      </c>
    </row>
    <row r="89" spans="7:27" ht="15" customHeight="1" x14ac:dyDescent="0.25">
      <c r="G89" s="191" t="s">
        <v>217</v>
      </c>
      <c r="H89" s="191" t="s">
        <v>217</v>
      </c>
      <c r="I89" s="194"/>
      <c r="J89" s="194"/>
      <c r="K89" s="194"/>
      <c r="M89" s="197" t="s">
        <v>335</v>
      </c>
      <c r="N89" s="198" t="s">
        <v>336</v>
      </c>
      <c r="O89" s="200">
        <v>259728.97</v>
      </c>
      <c r="P89" s="200">
        <v>258342.74</v>
      </c>
      <c r="Q89" s="200">
        <v>258622.82</v>
      </c>
      <c r="R89" s="200">
        <v>269375.21999999997</v>
      </c>
      <c r="S89" s="200">
        <v>288924.25</v>
      </c>
      <c r="T89" s="200">
        <v>314528.88</v>
      </c>
      <c r="U89" s="200">
        <v>318602.78000000003</v>
      </c>
      <c r="V89" s="200">
        <v>322337.67</v>
      </c>
      <c r="W89" s="200">
        <v>328307.55</v>
      </c>
      <c r="X89" s="200">
        <v>315545.11</v>
      </c>
      <c r="Y89" s="200">
        <v>279274.68</v>
      </c>
      <c r="Z89" s="200">
        <v>262981.3</v>
      </c>
      <c r="AA89" s="199">
        <v>3476571.9699999997</v>
      </c>
    </row>
    <row r="90" spans="7:27" ht="15" customHeight="1" x14ac:dyDescent="0.25">
      <c r="G90" s="191" t="s">
        <v>217</v>
      </c>
      <c r="H90" s="191" t="s">
        <v>217</v>
      </c>
      <c r="I90" s="194"/>
      <c r="J90" s="194"/>
      <c r="K90" s="194"/>
      <c r="M90" s="197" t="s">
        <v>337</v>
      </c>
      <c r="N90" s="198" t="s">
        <v>338</v>
      </c>
      <c r="O90" s="200">
        <v>438541.44</v>
      </c>
      <c r="P90" s="200">
        <v>439601.97</v>
      </c>
      <c r="Q90" s="200">
        <v>434442.89</v>
      </c>
      <c r="R90" s="200">
        <v>439059.41</v>
      </c>
      <c r="S90" s="200">
        <v>450888.94</v>
      </c>
      <c r="T90" s="200">
        <v>469014.11</v>
      </c>
      <c r="U90" s="200">
        <v>463900.73</v>
      </c>
      <c r="V90" s="200">
        <v>468212.56</v>
      </c>
      <c r="W90" s="200">
        <v>476538.25</v>
      </c>
      <c r="X90" s="200">
        <v>470474.51</v>
      </c>
      <c r="Y90" s="200">
        <v>445821.63</v>
      </c>
      <c r="Z90" s="200">
        <v>444737.22</v>
      </c>
      <c r="AA90" s="199">
        <v>5441233.6599999992</v>
      </c>
    </row>
    <row r="91" spans="7:27" ht="15" customHeight="1" x14ac:dyDescent="0.25">
      <c r="G91" s="191" t="s">
        <v>217</v>
      </c>
      <c r="H91" s="191" t="s">
        <v>217</v>
      </c>
      <c r="I91" s="194"/>
      <c r="J91" s="194"/>
      <c r="K91" s="194"/>
      <c r="M91" s="197" t="s">
        <v>339</v>
      </c>
      <c r="N91" s="198" t="s">
        <v>340</v>
      </c>
      <c r="O91" s="200">
        <v>374464</v>
      </c>
      <c r="P91" s="200">
        <v>380163</v>
      </c>
      <c r="Q91" s="200">
        <v>374085</v>
      </c>
      <c r="R91" s="200">
        <v>382485</v>
      </c>
      <c r="S91" s="200">
        <v>400666</v>
      </c>
      <c r="T91" s="200">
        <v>424383</v>
      </c>
      <c r="U91" s="200">
        <v>414662</v>
      </c>
      <c r="V91" s="200">
        <v>422234</v>
      </c>
      <c r="W91" s="200">
        <v>430891</v>
      </c>
      <c r="X91" s="200">
        <v>427103</v>
      </c>
      <c r="Y91" s="200">
        <v>391015</v>
      </c>
      <c r="Z91" s="200">
        <v>383145</v>
      </c>
      <c r="AA91" s="199">
        <v>4805296</v>
      </c>
    </row>
    <row r="92" spans="7:27" ht="15" customHeight="1" x14ac:dyDescent="0.25">
      <c r="G92" s="191" t="s">
        <v>217</v>
      </c>
      <c r="H92" s="191" t="s">
        <v>217</v>
      </c>
      <c r="I92" s="194"/>
      <c r="J92" s="194"/>
      <c r="K92" s="194"/>
      <c r="M92" s="197" t="s">
        <v>466</v>
      </c>
      <c r="N92" s="198" t="s">
        <v>467</v>
      </c>
      <c r="O92" s="200">
        <v>76914.070000000007</v>
      </c>
      <c r="P92" s="200">
        <v>74506.78</v>
      </c>
      <c r="Q92" s="200">
        <v>75390.600000000006</v>
      </c>
      <c r="R92" s="200">
        <v>78582.09</v>
      </c>
      <c r="S92" s="200">
        <v>83996.17</v>
      </c>
      <c r="T92" s="200">
        <v>91323.36</v>
      </c>
      <c r="U92" s="200">
        <v>94691.1</v>
      </c>
      <c r="V92" s="200">
        <v>94607.72</v>
      </c>
      <c r="W92" s="200">
        <v>95805.02</v>
      </c>
      <c r="X92" s="200">
        <v>90652.94</v>
      </c>
      <c r="Y92" s="200">
        <v>81918.23</v>
      </c>
      <c r="Z92" s="200">
        <v>77565.77</v>
      </c>
      <c r="AA92" s="199">
        <v>1015953.8500000001</v>
      </c>
    </row>
    <row r="93" spans="7:27" ht="15" customHeight="1" x14ac:dyDescent="0.25">
      <c r="G93" s="191" t="s">
        <v>217</v>
      </c>
      <c r="H93" s="191" t="s">
        <v>217</v>
      </c>
      <c r="I93" s="194"/>
      <c r="J93" s="194"/>
      <c r="K93" s="194"/>
      <c r="M93" s="195" t="s">
        <v>341</v>
      </c>
      <c r="N93" s="196" t="s">
        <v>342</v>
      </c>
      <c r="O93" s="196">
        <v>131395</v>
      </c>
      <c r="P93" s="196">
        <v>272867</v>
      </c>
      <c r="Q93" s="196">
        <v>87832.813014600004</v>
      </c>
      <c r="R93" s="196">
        <v>-636955.08388629998</v>
      </c>
      <c r="S93" s="196">
        <v>-143229.7087697</v>
      </c>
      <c r="T93" s="196">
        <v>-5758864.5921067996</v>
      </c>
      <c r="U93" s="196">
        <v>-6102772.0147927999</v>
      </c>
      <c r="V93" s="196">
        <v>-5842900.1982811</v>
      </c>
      <c r="W93" s="196">
        <v>-10708022.576552</v>
      </c>
      <c r="X93" s="196">
        <v>-3697566.5341445999</v>
      </c>
      <c r="Y93" s="196">
        <v>-56874.485490400002</v>
      </c>
      <c r="Z93" s="196">
        <v>53104.972339899999</v>
      </c>
      <c r="AA93" s="196">
        <v>-32401985.4086692</v>
      </c>
    </row>
    <row r="94" spans="7:27" ht="15" customHeight="1" x14ac:dyDescent="0.25">
      <c r="G94" s="191" t="s">
        <v>217</v>
      </c>
      <c r="H94" s="191" t="s">
        <v>217</v>
      </c>
      <c r="I94" s="194"/>
      <c r="J94" s="194"/>
      <c r="K94" s="194"/>
      <c r="M94" s="195" t="s">
        <v>343</v>
      </c>
      <c r="N94" s="196" t="s">
        <v>344</v>
      </c>
      <c r="O94" s="196">
        <v>131395</v>
      </c>
      <c r="P94" s="196">
        <v>272867</v>
      </c>
      <c r="Q94" s="196">
        <v>87832.813014600004</v>
      </c>
      <c r="R94" s="196">
        <v>-636955.08388629998</v>
      </c>
      <c r="S94" s="196">
        <v>-143229.7087697</v>
      </c>
      <c r="T94" s="196">
        <v>-5758864.5921067996</v>
      </c>
      <c r="U94" s="196">
        <v>-6102772.0147927999</v>
      </c>
      <c r="V94" s="196">
        <v>-5842900.1982811</v>
      </c>
      <c r="W94" s="196">
        <v>-10708022.576552</v>
      </c>
      <c r="X94" s="196">
        <v>-3697566.5341445999</v>
      </c>
      <c r="Y94" s="196">
        <v>-56874.485490400002</v>
      </c>
      <c r="Z94" s="196">
        <v>53104.972339899999</v>
      </c>
      <c r="AA94" s="196">
        <v>-32401985.4086692</v>
      </c>
    </row>
    <row r="95" spans="7:27" ht="15" customHeight="1" x14ac:dyDescent="0.25">
      <c r="G95" s="191" t="s">
        <v>217</v>
      </c>
      <c r="H95" s="191" t="s">
        <v>217</v>
      </c>
      <c r="I95" s="194"/>
      <c r="J95" s="194"/>
      <c r="K95" s="194"/>
      <c r="M95" s="197" t="s">
        <v>345</v>
      </c>
      <c r="N95" s="198" t="s">
        <v>346</v>
      </c>
      <c r="O95" s="200">
        <v>0</v>
      </c>
      <c r="P95" s="200">
        <v>0</v>
      </c>
      <c r="Q95" s="200">
        <v>0</v>
      </c>
      <c r="R95" s="200">
        <v>-690108.38734779996</v>
      </c>
      <c r="S95" s="200">
        <v>0</v>
      </c>
      <c r="T95" s="200">
        <v>-3748693.7032003999</v>
      </c>
      <c r="U95" s="200">
        <v>-3923242.8849895</v>
      </c>
      <c r="V95" s="200">
        <v>-3463330.0192928002</v>
      </c>
      <c r="W95" s="200">
        <v>-8153619.5453939997</v>
      </c>
      <c r="X95" s="200">
        <v>-2822037.2133130999</v>
      </c>
      <c r="Y95" s="200">
        <v>0</v>
      </c>
      <c r="Z95" s="200">
        <v>0</v>
      </c>
      <c r="AA95" s="199">
        <v>-22801031.753537599</v>
      </c>
    </row>
    <row r="96" spans="7:27" ht="15" customHeight="1" x14ac:dyDescent="0.25">
      <c r="G96" s="191" t="s">
        <v>217</v>
      </c>
      <c r="H96" s="191" t="s">
        <v>217</v>
      </c>
      <c r="I96" s="194"/>
      <c r="J96" s="194"/>
      <c r="K96" s="194"/>
      <c r="M96" s="197" t="s">
        <v>347</v>
      </c>
      <c r="N96" s="198" t="s">
        <v>348</v>
      </c>
      <c r="O96" s="200">
        <v>-865390</v>
      </c>
      <c r="P96" s="200">
        <v>-865390</v>
      </c>
      <c r="Q96" s="200">
        <v>-865390</v>
      </c>
      <c r="R96" s="200">
        <v>-865390</v>
      </c>
      <c r="S96" s="200">
        <v>-865390</v>
      </c>
      <c r="T96" s="200">
        <v>-865390</v>
      </c>
      <c r="U96" s="200">
        <v>-865390</v>
      </c>
      <c r="V96" s="200">
        <v>-865390</v>
      </c>
      <c r="W96" s="200">
        <v>-865390</v>
      </c>
      <c r="X96" s="200">
        <v>-865390</v>
      </c>
      <c r="Y96" s="200">
        <v>-865390</v>
      </c>
      <c r="Z96" s="200">
        <v>-865390</v>
      </c>
      <c r="AA96" s="199">
        <v>-10384680</v>
      </c>
    </row>
    <row r="97" spans="7:27" ht="15" customHeight="1" x14ac:dyDescent="0.25">
      <c r="G97" s="191" t="s">
        <v>217</v>
      </c>
      <c r="H97" s="191" t="s">
        <v>217</v>
      </c>
      <c r="I97" s="194"/>
      <c r="J97" s="194"/>
      <c r="K97" s="194"/>
      <c r="M97" s="197" t="s">
        <v>349</v>
      </c>
      <c r="N97" s="198" t="s">
        <v>350</v>
      </c>
      <c r="O97" s="200">
        <v>0</v>
      </c>
      <c r="P97" s="200">
        <v>0</v>
      </c>
      <c r="Q97" s="200">
        <v>-185638.18698540001</v>
      </c>
      <c r="R97" s="200">
        <v>-219652.69653849999</v>
      </c>
      <c r="S97" s="200">
        <v>-307135.70876970002</v>
      </c>
      <c r="T97" s="200">
        <v>-444590.74114639999</v>
      </c>
      <c r="U97" s="200">
        <v>-496166.6065233</v>
      </c>
      <c r="V97" s="200">
        <v>-491507.96074830001</v>
      </c>
      <c r="W97" s="200">
        <v>-506958.83611799998</v>
      </c>
      <c r="X97" s="200">
        <v>-405711.7340315</v>
      </c>
      <c r="Y97" s="200">
        <v>-261612.48549039999</v>
      </c>
      <c r="Z97" s="200">
        <v>-216416.02766009999</v>
      </c>
      <c r="AA97" s="199">
        <v>-3535390.9840115998</v>
      </c>
    </row>
    <row r="98" spans="7:27" ht="15" customHeight="1" x14ac:dyDescent="0.25">
      <c r="G98" s="191" t="s">
        <v>217</v>
      </c>
      <c r="H98" s="191" t="s">
        <v>217</v>
      </c>
      <c r="I98" s="194"/>
      <c r="J98" s="194"/>
      <c r="K98" s="194"/>
      <c r="M98" s="197" t="s">
        <v>351</v>
      </c>
      <c r="N98" s="198" t="s">
        <v>352</v>
      </c>
      <c r="O98" s="200">
        <v>0</v>
      </c>
      <c r="P98" s="200">
        <v>0</v>
      </c>
      <c r="Q98" s="200">
        <v>0</v>
      </c>
      <c r="R98" s="200">
        <v>0</v>
      </c>
      <c r="S98" s="200">
        <v>0</v>
      </c>
      <c r="T98" s="200">
        <v>-542091.14775999996</v>
      </c>
      <c r="U98" s="200">
        <v>-80036.523279999994</v>
      </c>
      <c r="V98" s="200">
        <v>-443266.21824000002</v>
      </c>
      <c r="W98" s="200">
        <v>-500875.19504000002</v>
      </c>
      <c r="X98" s="200">
        <v>-325130.58679999999</v>
      </c>
      <c r="Y98" s="200">
        <v>0</v>
      </c>
      <c r="Z98" s="200">
        <v>0</v>
      </c>
      <c r="AA98" s="199">
        <v>-1891399.6711199998</v>
      </c>
    </row>
    <row r="99" spans="7:27" ht="15" customHeight="1" x14ac:dyDescent="0.25">
      <c r="G99" s="191" t="s">
        <v>217</v>
      </c>
      <c r="H99" s="191" t="s">
        <v>217</v>
      </c>
      <c r="I99" s="194"/>
      <c r="J99" s="194"/>
      <c r="K99" s="194"/>
      <c r="M99" s="197" t="s">
        <v>353</v>
      </c>
      <c r="N99" s="198" t="s">
        <v>354</v>
      </c>
      <c r="O99" s="200">
        <v>-53406</v>
      </c>
      <c r="P99" s="200">
        <v>0</v>
      </c>
      <c r="Q99" s="200">
        <v>0</v>
      </c>
      <c r="R99" s="200">
        <v>0</v>
      </c>
      <c r="S99" s="200">
        <v>-107170</v>
      </c>
      <c r="T99" s="200">
        <v>-327046</v>
      </c>
      <c r="U99" s="200">
        <v>-420555</v>
      </c>
      <c r="V99" s="200">
        <v>-427440</v>
      </c>
      <c r="W99" s="200">
        <v>-457283</v>
      </c>
      <c r="X99" s="200">
        <v>-286214</v>
      </c>
      <c r="Y99" s="200">
        <v>-67232</v>
      </c>
      <c r="Z99" s="200">
        <v>-3320</v>
      </c>
      <c r="AA99" s="199">
        <v>-2149666</v>
      </c>
    </row>
    <row r="100" spans="7:27" ht="15" customHeight="1" x14ac:dyDescent="0.25">
      <c r="G100" s="191" t="s">
        <v>217</v>
      </c>
      <c r="H100" s="191" t="s">
        <v>217</v>
      </c>
      <c r="I100" s="194"/>
      <c r="J100" s="194"/>
      <c r="K100" s="194"/>
      <c r="M100" s="197" t="s">
        <v>355</v>
      </c>
      <c r="N100" s="198" t="s">
        <v>356</v>
      </c>
      <c r="O100" s="200">
        <v>-87163</v>
      </c>
      <c r="P100" s="200">
        <v>0</v>
      </c>
      <c r="Q100" s="200">
        <v>0</v>
      </c>
      <c r="R100" s="200">
        <v>0</v>
      </c>
      <c r="S100" s="200">
        <v>0</v>
      </c>
      <c r="T100" s="200">
        <v>-964811</v>
      </c>
      <c r="U100" s="200">
        <v>-1450132</v>
      </c>
      <c r="V100" s="200">
        <v>-1284806</v>
      </c>
      <c r="W100" s="200">
        <v>-1356392</v>
      </c>
      <c r="X100" s="200">
        <v>-127628</v>
      </c>
      <c r="Y100" s="200">
        <v>0</v>
      </c>
      <c r="Z100" s="200">
        <v>0</v>
      </c>
      <c r="AA100" s="199">
        <v>-5270932</v>
      </c>
    </row>
    <row r="101" spans="7:27" ht="15" customHeight="1" x14ac:dyDescent="0.25">
      <c r="G101" s="191" t="s">
        <v>217</v>
      </c>
      <c r="H101" s="191" t="s">
        <v>217</v>
      </c>
      <c r="I101" s="194"/>
      <c r="J101" s="194"/>
      <c r="K101" s="194"/>
      <c r="M101" s="197" t="s">
        <v>357</v>
      </c>
      <c r="N101" s="198" t="s">
        <v>358</v>
      </c>
      <c r="O101" s="200">
        <v>-15324</v>
      </c>
      <c r="P101" s="200">
        <v>-14421</v>
      </c>
      <c r="Q101" s="200">
        <v>-13817</v>
      </c>
      <c r="R101" s="200">
        <v>-14482</v>
      </c>
      <c r="S101" s="200">
        <v>-16212</v>
      </c>
      <c r="T101" s="200">
        <v>-18920</v>
      </c>
      <c r="U101" s="200">
        <v>-19927</v>
      </c>
      <c r="V101" s="200">
        <v>-19838</v>
      </c>
      <c r="W101" s="200">
        <v>-20182</v>
      </c>
      <c r="X101" s="200">
        <v>-18133</v>
      </c>
      <c r="Y101" s="200">
        <v>-15318</v>
      </c>
      <c r="Z101" s="200">
        <v>-14447</v>
      </c>
      <c r="AA101" s="199">
        <v>-201021</v>
      </c>
    </row>
    <row r="102" spans="7:27" ht="15" customHeight="1" x14ac:dyDescent="0.25">
      <c r="G102" s="191" t="s">
        <v>217</v>
      </c>
      <c r="H102" s="191" t="s">
        <v>217</v>
      </c>
      <c r="I102" s="194"/>
      <c r="J102" s="194"/>
      <c r="K102" s="194"/>
      <c r="M102" s="197" t="s">
        <v>359</v>
      </c>
      <c r="N102" s="198" t="s">
        <v>360</v>
      </c>
      <c r="O102" s="200">
        <v>613599</v>
      </c>
      <c r="P102" s="200">
        <v>613599</v>
      </c>
      <c r="Q102" s="200">
        <v>613599</v>
      </c>
      <c r="R102" s="200">
        <v>613599</v>
      </c>
      <c r="S102" s="200">
        <v>613599</v>
      </c>
      <c r="T102" s="200">
        <v>613599</v>
      </c>
      <c r="U102" s="200">
        <v>613599</v>
      </c>
      <c r="V102" s="200">
        <v>613599</v>
      </c>
      <c r="W102" s="200">
        <v>613599</v>
      </c>
      <c r="X102" s="200">
        <v>613599</v>
      </c>
      <c r="Y102" s="200">
        <v>613599</v>
      </c>
      <c r="Z102" s="200">
        <v>613601</v>
      </c>
      <c r="AA102" s="199">
        <v>7363190</v>
      </c>
    </row>
    <row r="103" spans="7:27" ht="15" customHeight="1" x14ac:dyDescent="0.25">
      <c r="G103" s="191" t="s">
        <v>217</v>
      </c>
      <c r="H103" s="191" t="s">
        <v>217</v>
      </c>
      <c r="I103" s="194"/>
      <c r="J103" s="194"/>
      <c r="K103" s="194"/>
      <c r="M103" s="197" t="s">
        <v>361</v>
      </c>
      <c r="N103" s="198" t="s">
        <v>362</v>
      </c>
      <c r="O103" s="200">
        <v>539079</v>
      </c>
      <c r="P103" s="200">
        <v>539079</v>
      </c>
      <c r="Q103" s="200">
        <v>539079</v>
      </c>
      <c r="R103" s="200">
        <v>539079</v>
      </c>
      <c r="S103" s="200">
        <v>539079</v>
      </c>
      <c r="T103" s="200">
        <v>539079</v>
      </c>
      <c r="U103" s="200">
        <v>539079</v>
      </c>
      <c r="V103" s="200">
        <v>539079</v>
      </c>
      <c r="W103" s="200">
        <v>539079</v>
      </c>
      <c r="X103" s="200">
        <v>539079</v>
      </c>
      <c r="Y103" s="200">
        <v>539079</v>
      </c>
      <c r="Z103" s="200">
        <v>539077</v>
      </c>
      <c r="AA103" s="199">
        <v>6468946</v>
      </c>
    </row>
    <row r="104" spans="7:27" ht="15" customHeight="1" x14ac:dyDescent="0.25">
      <c r="G104" s="191" t="s">
        <v>217</v>
      </c>
      <c r="H104" s="191" t="s">
        <v>217</v>
      </c>
      <c r="I104" s="194"/>
      <c r="J104" s="194"/>
      <c r="K104" s="194"/>
      <c r="M104" s="195" t="s">
        <v>363</v>
      </c>
      <c r="N104" s="196" t="s">
        <v>364</v>
      </c>
      <c r="O104" s="196">
        <v>1166937.2281883999</v>
      </c>
      <c r="P104" s="196">
        <v>-1093048.1624824</v>
      </c>
      <c r="Q104" s="196">
        <v>8212290.0801050998</v>
      </c>
      <c r="R104" s="196">
        <v>7931253.9302535001</v>
      </c>
      <c r="S104" s="196">
        <v>13764354.2461887</v>
      </c>
      <c r="T104" s="196">
        <v>7038756.5575098004</v>
      </c>
      <c r="U104" s="196">
        <v>5798011.9189686999</v>
      </c>
      <c r="V104" s="196">
        <v>8177518.8188907998</v>
      </c>
      <c r="W104" s="196">
        <v>-5298887.5405928995</v>
      </c>
      <c r="X104" s="196">
        <v>-1050046.2522650999</v>
      </c>
      <c r="Y104" s="196">
        <v>-5275015.5503292996</v>
      </c>
      <c r="Z104" s="196">
        <v>4442151.5577491997</v>
      </c>
      <c r="AA104" s="196">
        <v>43814276.832184501</v>
      </c>
    </row>
    <row r="105" spans="7:27" ht="15" customHeight="1" x14ac:dyDescent="0.25">
      <c r="G105" s="191" t="s">
        <v>217</v>
      </c>
      <c r="H105" s="191" t="s">
        <v>217</v>
      </c>
      <c r="I105" s="194"/>
      <c r="J105" s="194"/>
      <c r="K105" s="194"/>
      <c r="M105" s="195" t="s">
        <v>365</v>
      </c>
      <c r="N105" s="196" t="s">
        <v>366</v>
      </c>
      <c r="O105" s="196">
        <v>-2305890</v>
      </c>
      <c r="P105" s="196">
        <v>-5047357</v>
      </c>
      <c r="Q105" s="196">
        <v>4670984</v>
      </c>
      <c r="R105" s="196">
        <v>4396310</v>
      </c>
      <c r="S105" s="196">
        <v>10309305</v>
      </c>
      <c r="T105" s="196">
        <v>3556585</v>
      </c>
      <c r="U105" s="196">
        <v>2441278</v>
      </c>
      <c r="V105" s="196">
        <v>4593783</v>
      </c>
      <c r="W105" s="196">
        <v>-8997628</v>
      </c>
      <c r="X105" s="196">
        <v>-4950171</v>
      </c>
      <c r="Y105" s="196">
        <v>-9116241</v>
      </c>
      <c r="Z105" s="196">
        <v>449043</v>
      </c>
      <c r="AA105" s="196">
        <v>1</v>
      </c>
    </row>
    <row r="106" spans="7:27" ht="15" customHeight="1" x14ac:dyDescent="0.25">
      <c r="G106" s="191" t="s">
        <v>217</v>
      </c>
      <c r="H106" s="191" t="s">
        <v>217</v>
      </c>
      <c r="I106" s="194"/>
      <c r="J106" s="194"/>
      <c r="K106" s="194"/>
      <c r="M106" s="197" t="s">
        <v>367</v>
      </c>
      <c r="N106" s="198" t="s">
        <v>368</v>
      </c>
      <c r="O106" s="200">
        <v>-2305890</v>
      </c>
      <c r="P106" s="200">
        <v>-5047357</v>
      </c>
      <c r="Q106" s="200">
        <v>4670984</v>
      </c>
      <c r="R106" s="200">
        <v>4396310</v>
      </c>
      <c r="S106" s="200">
        <v>10309305</v>
      </c>
      <c r="T106" s="200">
        <v>3556585</v>
      </c>
      <c r="U106" s="200">
        <v>2441278</v>
      </c>
      <c r="V106" s="200">
        <v>4593783</v>
      </c>
      <c r="W106" s="200">
        <v>-8997628</v>
      </c>
      <c r="X106" s="200">
        <v>-4950171</v>
      </c>
      <c r="Y106" s="200">
        <v>-9116241</v>
      </c>
      <c r="Z106" s="200">
        <v>449043</v>
      </c>
      <c r="AA106" s="199">
        <v>1</v>
      </c>
    </row>
    <row r="107" spans="7:27" ht="15" customHeight="1" x14ac:dyDescent="0.25">
      <c r="G107" s="191" t="s">
        <v>217</v>
      </c>
      <c r="H107" s="191" t="s">
        <v>217</v>
      </c>
      <c r="I107" s="194"/>
      <c r="J107" s="194"/>
      <c r="K107" s="194"/>
      <c r="M107" s="195" t="s">
        <v>369</v>
      </c>
      <c r="N107" s="196" t="s">
        <v>370</v>
      </c>
      <c r="O107" s="196">
        <v>181596</v>
      </c>
      <c r="P107" s="196">
        <v>192368.29999969999</v>
      </c>
      <c r="Q107" s="196">
        <v>165290.6</v>
      </c>
      <c r="R107" s="196">
        <v>123808.8</v>
      </c>
      <c r="S107" s="196">
        <v>146305.39999969999</v>
      </c>
      <c r="T107" s="196">
        <v>119026.6</v>
      </c>
      <c r="U107" s="196">
        <v>131752</v>
      </c>
      <c r="V107" s="196">
        <v>135780.6</v>
      </c>
      <c r="W107" s="196">
        <v>171824.8</v>
      </c>
      <c r="X107" s="196">
        <v>140586.0000003</v>
      </c>
      <c r="Y107" s="196">
        <v>180073</v>
      </c>
      <c r="Z107" s="196">
        <v>155627.9999996</v>
      </c>
      <c r="AA107" s="196">
        <v>1844040.0999993002</v>
      </c>
    </row>
    <row r="108" spans="7:27" ht="15" customHeight="1" x14ac:dyDescent="0.25">
      <c r="G108" s="191" t="s">
        <v>217</v>
      </c>
      <c r="H108" s="191" t="s">
        <v>217</v>
      </c>
      <c r="I108" s="194"/>
      <c r="J108" s="194"/>
      <c r="K108" s="194"/>
      <c r="M108" s="197" t="s">
        <v>371</v>
      </c>
      <c r="N108" s="198" t="s">
        <v>372</v>
      </c>
      <c r="O108" s="200">
        <v>177595</v>
      </c>
      <c r="P108" s="200">
        <v>188062.29999969999</v>
      </c>
      <c r="Q108" s="200">
        <v>161751.6</v>
      </c>
      <c r="R108" s="200">
        <v>121443.8</v>
      </c>
      <c r="S108" s="200">
        <v>143303.39999969999</v>
      </c>
      <c r="T108" s="200">
        <v>116796.6</v>
      </c>
      <c r="U108" s="200">
        <v>129162</v>
      </c>
      <c r="V108" s="200">
        <v>133076.6</v>
      </c>
      <c r="W108" s="200">
        <v>168100.8</v>
      </c>
      <c r="X108" s="200">
        <v>137746.0000003</v>
      </c>
      <c r="Y108" s="200">
        <v>176115</v>
      </c>
      <c r="Z108" s="200">
        <v>152361.9999996</v>
      </c>
      <c r="AA108" s="199">
        <v>1805515.0999993002</v>
      </c>
    </row>
    <row r="109" spans="7:27" ht="15" customHeight="1" x14ac:dyDescent="0.25">
      <c r="G109" s="191" t="s">
        <v>217</v>
      </c>
      <c r="H109" s="191" t="s">
        <v>217</v>
      </c>
      <c r="I109" s="194"/>
      <c r="J109" s="194"/>
      <c r="K109" s="194"/>
      <c r="M109" s="197" t="s">
        <v>373</v>
      </c>
      <c r="N109" s="198" t="s">
        <v>374</v>
      </c>
      <c r="O109" s="200">
        <v>4001</v>
      </c>
      <c r="P109" s="200">
        <v>4306</v>
      </c>
      <c r="Q109" s="200">
        <v>3539</v>
      </c>
      <c r="R109" s="200">
        <v>2365</v>
      </c>
      <c r="S109" s="200">
        <v>3002</v>
      </c>
      <c r="T109" s="200">
        <v>2230</v>
      </c>
      <c r="U109" s="200">
        <v>2590</v>
      </c>
      <c r="V109" s="200">
        <v>2704</v>
      </c>
      <c r="W109" s="200">
        <v>3724</v>
      </c>
      <c r="X109" s="200">
        <v>2840</v>
      </c>
      <c r="Y109" s="200">
        <v>3958</v>
      </c>
      <c r="Z109" s="200">
        <v>3266</v>
      </c>
      <c r="AA109" s="199">
        <v>38525</v>
      </c>
    </row>
    <row r="110" spans="7:27" ht="15" customHeight="1" x14ac:dyDescent="0.25">
      <c r="G110" s="191" t="s">
        <v>217</v>
      </c>
      <c r="H110" s="191" t="s">
        <v>217</v>
      </c>
      <c r="I110" s="194"/>
      <c r="J110" s="194"/>
      <c r="K110" s="194"/>
      <c r="M110" s="195" t="s">
        <v>375</v>
      </c>
      <c r="N110" s="196" t="s">
        <v>376</v>
      </c>
      <c r="O110" s="196">
        <v>1562621.9764167001</v>
      </c>
      <c r="P110" s="196">
        <v>1564251.7784167</v>
      </c>
      <c r="Q110" s="196">
        <v>1651386.3129167</v>
      </c>
      <c r="R110" s="196">
        <v>1562838.3151666999</v>
      </c>
      <c r="S110" s="196">
        <v>1625774.3864167</v>
      </c>
      <c r="T110" s="196">
        <v>1646775.5956667</v>
      </c>
      <c r="U110" s="196">
        <v>1556460.1806667</v>
      </c>
      <c r="V110" s="196">
        <v>1563302.8866667</v>
      </c>
      <c r="W110" s="196">
        <v>1572896.0616667001</v>
      </c>
      <c r="X110" s="196">
        <v>1573264.2116667</v>
      </c>
      <c r="Y110" s="196">
        <v>1573637.3866667</v>
      </c>
      <c r="Z110" s="196">
        <v>1574011.6116667001</v>
      </c>
      <c r="AA110" s="196">
        <v>19027220.704000402</v>
      </c>
    </row>
    <row r="111" spans="7:27" ht="15" customHeight="1" x14ac:dyDescent="0.25">
      <c r="G111" s="191" t="s">
        <v>217</v>
      </c>
      <c r="H111" s="191" t="s">
        <v>217</v>
      </c>
      <c r="I111" s="194"/>
      <c r="J111" s="194"/>
      <c r="K111" s="194"/>
      <c r="M111" s="197" t="s">
        <v>377</v>
      </c>
      <c r="N111" s="198" t="s">
        <v>378</v>
      </c>
      <c r="O111" s="200">
        <v>8508.5147500000003</v>
      </c>
      <c r="P111" s="200">
        <v>7316.31675</v>
      </c>
      <c r="Q111" s="200">
        <v>8847.8512499999997</v>
      </c>
      <c r="R111" s="200">
        <v>8622.8534999999993</v>
      </c>
      <c r="S111" s="200">
        <v>8795.9247500000001</v>
      </c>
      <c r="T111" s="200">
        <v>8002.134</v>
      </c>
      <c r="U111" s="200">
        <v>8788.7189999999991</v>
      </c>
      <c r="V111" s="200">
        <v>8791.4249999999993</v>
      </c>
      <c r="W111" s="200">
        <v>8880.6</v>
      </c>
      <c r="X111" s="200">
        <v>8968.75</v>
      </c>
      <c r="Y111" s="200">
        <v>9057.9249999999993</v>
      </c>
      <c r="Z111" s="200">
        <v>9149.15</v>
      </c>
      <c r="AA111" s="199">
        <v>103730.16399999999</v>
      </c>
    </row>
    <row r="112" spans="7:27" ht="15" customHeight="1" x14ac:dyDescent="0.25">
      <c r="G112" s="191" t="s">
        <v>217</v>
      </c>
      <c r="H112" s="191" t="s">
        <v>217</v>
      </c>
      <c r="I112" s="194"/>
      <c r="J112" s="194"/>
      <c r="K112" s="194"/>
      <c r="M112" s="197" t="s">
        <v>379</v>
      </c>
      <c r="N112" s="198" t="s">
        <v>380</v>
      </c>
      <c r="O112" s="200">
        <v>35670</v>
      </c>
      <c r="P112" s="200">
        <v>34102</v>
      </c>
      <c r="Q112" s="200">
        <v>40108</v>
      </c>
      <c r="R112" s="200">
        <v>35035</v>
      </c>
      <c r="S112" s="200">
        <v>44490</v>
      </c>
      <c r="T112" s="200" t="str">
        <f xml:space="preserve"> _xll.EPMOlapMemberO("[C_ACCOUNT].[PARENTH4].[53320]","","53320 - Subscriptions","","000")</f>
        <v>53320 - Subscriptions</v>
      </c>
      <c r="U112" s="200">
        <v>48749</v>
      </c>
      <c r="V112" s="200">
        <v>46740</v>
      </c>
      <c r="W112" s="200">
        <v>56244</v>
      </c>
      <c r="X112" s="200">
        <v>56524</v>
      </c>
      <c r="Y112" s="200">
        <v>56808</v>
      </c>
      <c r="Z112" s="200">
        <v>57091</v>
      </c>
      <c r="AA112" s="199">
        <v>564881</v>
      </c>
    </row>
    <row r="113" spans="7:27" ht="15" customHeight="1" x14ac:dyDescent="0.25">
      <c r="G113" s="191" t="s">
        <v>217</v>
      </c>
      <c r="H113" s="191" t="s">
        <v>217</v>
      </c>
      <c r="I113" s="194"/>
      <c r="J113" s="194"/>
      <c r="K113" s="194"/>
      <c r="M113" s="197" t="s">
        <v>381</v>
      </c>
      <c r="N113" s="198" t="s">
        <v>382</v>
      </c>
      <c r="O113" s="200">
        <v>4203.3541667</v>
      </c>
      <c r="P113" s="200">
        <v>4203.3541667</v>
      </c>
      <c r="Q113" s="200">
        <v>4203.3541667</v>
      </c>
      <c r="R113" s="200">
        <v>4203.3541667</v>
      </c>
      <c r="S113" s="200">
        <v>4203.3541667</v>
      </c>
      <c r="T113" s="200">
        <v>4203.3541667</v>
      </c>
      <c r="U113" s="200">
        <v>4203.3541667</v>
      </c>
      <c r="V113" s="200">
        <v>4203.3541667</v>
      </c>
      <c r="W113" s="200">
        <v>4203.3541667</v>
      </c>
      <c r="X113" s="200">
        <v>4203.3541667</v>
      </c>
      <c r="Y113" s="200">
        <v>4203.3541667</v>
      </c>
      <c r="Z113" s="200">
        <v>4203.3541667</v>
      </c>
      <c r="AA113" s="199">
        <v>50440.25000040001</v>
      </c>
    </row>
    <row r="114" spans="7:27" ht="15" customHeight="1" x14ac:dyDescent="0.25">
      <c r="G114" s="191" t="s">
        <v>217</v>
      </c>
      <c r="H114" s="191" t="s">
        <v>217</v>
      </c>
      <c r="I114" s="194"/>
      <c r="J114" s="194"/>
      <c r="K114" s="194"/>
      <c r="M114" s="197" t="s">
        <v>383</v>
      </c>
      <c r="N114" s="198" t="s">
        <v>384</v>
      </c>
      <c r="O114" s="200">
        <v>0</v>
      </c>
      <c r="P114" s="200">
        <v>190</v>
      </c>
      <c r="Q114" s="200">
        <v>948</v>
      </c>
      <c r="R114" s="200">
        <v>379</v>
      </c>
      <c r="S114" s="200">
        <v>379</v>
      </c>
      <c r="T114" s="200">
        <v>379</v>
      </c>
      <c r="U114" s="200">
        <v>948</v>
      </c>
      <c r="V114" s="200">
        <v>569</v>
      </c>
      <c r="W114" s="200">
        <v>569</v>
      </c>
      <c r="X114" s="200">
        <v>569</v>
      </c>
      <c r="Y114" s="200">
        <v>569</v>
      </c>
      <c r="Z114" s="200">
        <v>569</v>
      </c>
      <c r="AA114" s="199">
        <v>6068</v>
      </c>
    </row>
    <row r="115" spans="7:27" ht="15" customHeight="1" x14ac:dyDescent="0.25">
      <c r="G115" s="191"/>
      <c r="H115" s="191"/>
      <c r="I115" s="194"/>
      <c r="J115" s="194"/>
      <c r="K115" s="194"/>
      <c r="M115" s="197" t="s">
        <v>385</v>
      </c>
      <c r="N115" s="198" t="s">
        <v>386</v>
      </c>
      <c r="O115" s="200">
        <v>99646</v>
      </c>
      <c r="P115" s="200">
        <v>102857</v>
      </c>
      <c r="Q115" s="200">
        <v>125349</v>
      </c>
      <c r="R115" s="200">
        <v>101268</v>
      </c>
      <c r="S115" s="200">
        <v>121454</v>
      </c>
      <c r="T115" s="200">
        <v>130046</v>
      </c>
      <c r="U115" s="200">
        <v>117777</v>
      </c>
      <c r="V115" s="200">
        <v>127176</v>
      </c>
      <c r="W115" s="200">
        <v>127176</v>
      </c>
      <c r="X115" s="200">
        <v>127176</v>
      </c>
      <c r="Y115" s="200">
        <v>127176</v>
      </c>
      <c r="Z115" s="200">
        <v>127176</v>
      </c>
      <c r="AA115" s="199">
        <v>1434277</v>
      </c>
    </row>
    <row r="116" spans="7:27" ht="15" customHeight="1" x14ac:dyDescent="0.25">
      <c r="G116" s="191"/>
      <c r="H116" s="191"/>
      <c r="I116" s="194"/>
      <c r="J116" s="194"/>
      <c r="K116" s="194"/>
      <c r="M116" s="197" t="s">
        <v>387</v>
      </c>
      <c r="N116" s="198" t="s">
        <v>388</v>
      </c>
      <c r="O116" s="200">
        <v>154513</v>
      </c>
      <c r="P116" s="200">
        <v>157834</v>
      </c>
      <c r="Q116" s="200">
        <v>205336</v>
      </c>
      <c r="R116" s="200">
        <v>161450</v>
      </c>
      <c r="S116" s="200">
        <v>188042</v>
      </c>
      <c r="T116" s="200">
        <v>191831</v>
      </c>
      <c r="U116" s="200">
        <v>129064</v>
      </c>
      <c r="V116" s="200">
        <v>128125</v>
      </c>
      <c r="W116" s="200">
        <v>128125</v>
      </c>
      <c r="X116" s="200">
        <v>128125</v>
      </c>
      <c r="Y116" s="200">
        <v>128125</v>
      </c>
      <c r="Z116" s="200">
        <v>128125</v>
      </c>
      <c r="AA116" s="199">
        <v>1828695</v>
      </c>
    </row>
    <row r="117" spans="7:27" ht="15" customHeight="1" x14ac:dyDescent="0.25">
      <c r="M117" s="197" t="s">
        <v>389</v>
      </c>
      <c r="N117" s="198" t="s">
        <v>390</v>
      </c>
      <c r="O117" s="200">
        <v>943258.91</v>
      </c>
      <c r="P117" s="200">
        <v>943258.91</v>
      </c>
      <c r="Q117" s="200">
        <v>943258.91</v>
      </c>
      <c r="R117" s="200">
        <v>943258.91</v>
      </c>
      <c r="S117" s="200">
        <v>943258.91</v>
      </c>
      <c r="T117" s="200">
        <v>943258.91</v>
      </c>
      <c r="U117" s="200">
        <v>943258.91</v>
      </c>
      <c r="V117" s="200">
        <v>943258.91</v>
      </c>
      <c r="W117" s="200">
        <v>943258.91</v>
      </c>
      <c r="X117" s="200">
        <v>943258.91</v>
      </c>
      <c r="Y117" s="200">
        <v>943258.91</v>
      </c>
      <c r="Z117" s="200">
        <v>943258.91</v>
      </c>
      <c r="AA117" s="199">
        <v>11319106.92</v>
      </c>
    </row>
    <row r="118" spans="7:27" ht="15" customHeight="1" x14ac:dyDescent="0.25">
      <c r="M118" s="197" t="s">
        <v>391</v>
      </c>
      <c r="N118" s="198" t="s">
        <v>392</v>
      </c>
      <c r="O118" s="200">
        <v>153482.98749999999</v>
      </c>
      <c r="P118" s="200">
        <v>153482.98749999999</v>
      </c>
      <c r="Q118" s="200">
        <v>153482.98749999999</v>
      </c>
      <c r="R118" s="200">
        <v>153482.98749999999</v>
      </c>
      <c r="S118" s="200">
        <v>153482.98749999999</v>
      </c>
      <c r="T118" s="200">
        <v>153482.98749999999</v>
      </c>
      <c r="U118" s="200">
        <v>153482.98749999999</v>
      </c>
      <c r="V118" s="200">
        <v>153482.98749999999</v>
      </c>
      <c r="W118" s="200">
        <v>153482.98749999999</v>
      </c>
      <c r="X118" s="200">
        <v>153482.98749999999</v>
      </c>
      <c r="Y118" s="200">
        <v>153482.98749999999</v>
      </c>
      <c r="Z118" s="200">
        <v>153482.98749999999</v>
      </c>
      <c r="AA118" s="199">
        <v>1841795.8500000003</v>
      </c>
    </row>
    <row r="119" spans="7:27" ht="15" customHeight="1" x14ac:dyDescent="0.25">
      <c r="M119" s="197" t="s">
        <v>393</v>
      </c>
      <c r="N119" s="198" t="s">
        <v>394</v>
      </c>
      <c r="O119" s="200">
        <v>33159</v>
      </c>
      <c r="P119" s="200">
        <v>32800</v>
      </c>
      <c r="Q119" s="200">
        <v>42312</v>
      </c>
      <c r="R119" s="200">
        <v>31160</v>
      </c>
      <c r="S119" s="200">
        <v>38048</v>
      </c>
      <c r="T119" s="200">
        <v>36736</v>
      </c>
      <c r="U119" s="200">
        <v>24928</v>
      </c>
      <c r="V119" s="200">
        <v>25625</v>
      </c>
      <c r="W119" s="200">
        <v>25625</v>
      </c>
      <c r="X119" s="200">
        <v>25625</v>
      </c>
      <c r="Y119" s="200">
        <v>25625</v>
      </c>
      <c r="Z119" s="200">
        <v>25625</v>
      </c>
      <c r="AA119" s="199">
        <v>367268</v>
      </c>
    </row>
    <row r="120" spans="7:27" ht="15" customHeight="1" x14ac:dyDescent="0.25">
      <c r="G120" s="191" t="s">
        <v>217</v>
      </c>
      <c r="H120" s="191" t="s">
        <v>217</v>
      </c>
      <c r="I120" s="194"/>
      <c r="J120" s="194"/>
      <c r="K120" s="194"/>
      <c r="M120" s="197" t="s">
        <v>395</v>
      </c>
      <c r="N120" s="198" t="s">
        <v>396</v>
      </c>
      <c r="O120" s="200">
        <v>906.3</v>
      </c>
      <c r="P120" s="200">
        <v>906.3</v>
      </c>
      <c r="Q120" s="200">
        <v>906.3</v>
      </c>
      <c r="R120" s="200">
        <v>906.3</v>
      </c>
      <c r="S120" s="200">
        <v>906.3</v>
      </c>
      <c r="T120" s="200">
        <v>906.3</v>
      </c>
      <c r="U120" s="200">
        <v>906.3</v>
      </c>
      <c r="V120" s="200">
        <v>906.3</v>
      </c>
      <c r="W120" s="200">
        <v>906.3</v>
      </c>
      <c r="X120" s="200">
        <v>906.3</v>
      </c>
      <c r="Y120" s="200">
        <v>906.3</v>
      </c>
      <c r="Z120" s="200">
        <v>906.3</v>
      </c>
      <c r="AA120" s="199">
        <v>10875.599999999999</v>
      </c>
    </row>
    <row r="121" spans="7:27" ht="15" customHeight="1" x14ac:dyDescent="0.25">
      <c r="G121" s="191" t="s">
        <v>217</v>
      </c>
      <c r="H121" s="191" t="s">
        <v>217</v>
      </c>
      <c r="I121" s="194"/>
      <c r="J121" s="194"/>
      <c r="K121" s="194"/>
      <c r="M121" s="197" t="s">
        <v>397</v>
      </c>
      <c r="N121" s="198" t="s">
        <v>398</v>
      </c>
      <c r="O121" s="200">
        <v>121534.91</v>
      </c>
      <c r="P121" s="200">
        <v>121534.91</v>
      </c>
      <c r="Q121" s="200">
        <v>121534.91</v>
      </c>
      <c r="R121" s="200">
        <v>121534.91</v>
      </c>
      <c r="S121" s="200">
        <v>121534.91</v>
      </c>
      <c r="T121" s="200">
        <v>121534.91</v>
      </c>
      <c r="U121" s="200">
        <v>121534.91</v>
      </c>
      <c r="V121" s="200">
        <v>121534.91</v>
      </c>
      <c r="W121" s="200">
        <v>121534.91</v>
      </c>
      <c r="X121" s="200">
        <v>121534.91</v>
      </c>
      <c r="Y121" s="200">
        <v>121534.91</v>
      </c>
      <c r="Z121" s="200">
        <v>121534.91</v>
      </c>
      <c r="AA121" s="199">
        <v>1458418.92</v>
      </c>
    </row>
    <row r="122" spans="7:27" ht="15" customHeight="1" x14ac:dyDescent="0.25">
      <c r="G122" s="191" t="s">
        <v>217</v>
      </c>
      <c r="H122" s="191" t="s">
        <v>217</v>
      </c>
      <c r="I122" s="194"/>
      <c r="J122" s="194"/>
      <c r="K122" s="194"/>
      <c r="M122" s="197" t="s">
        <v>399</v>
      </c>
      <c r="N122" s="198" t="s">
        <v>400</v>
      </c>
      <c r="O122" s="200">
        <v>7739</v>
      </c>
      <c r="P122" s="200">
        <v>5766</v>
      </c>
      <c r="Q122" s="200">
        <v>5099</v>
      </c>
      <c r="R122" s="200">
        <v>1537</v>
      </c>
      <c r="S122" s="200">
        <v>1179</v>
      </c>
      <c r="T122" s="200">
        <v>3075</v>
      </c>
      <c r="U122" s="200">
        <v>2819</v>
      </c>
      <c r="V122" s="200">
        <v>2890</v>
      </c>
      <c r="W122" s="200">
        <v>2890</v>
      </c>
      <c r="X122" s="200">
        <v>2890</v>
      </c>
      <c r="Y122" s="200">
        <v>2890</v>
      </c>
      <c r="Z122" s="200">
        <v>2890</v>
      </c>
      <c r="AA122" s="199">
        <v>41664</v>
      </c>
    </row>
    <row r="123" spans="7:27" ht="15" customHeight="1" x14ac:dyDescent="0.25">
      <c r="G123" s="191" t="s">
        <v>217</v>
      </c>
      <c r="H123" s="191" t="s">
        <v>217</v>
      </c>
      <c r="I123" s="194"/>
      <c r="J123" s="194"/>
      <c r="K123" s="194"/>
      <c r="M123" s="195" t="s">
        <v>401</v>
      </c>
      <c r="N123" s="196" t="s">
        <v>402</v>
      </c>
      <c r="O123" s="196">
        <v>683268.30958330003</v>
      </c>
      <c r="P123" s="196">
        <v>1091919.3198333001</v>
      </c>
      <c r="Q123" s="196">
        <v>676651.4543333</v>
      </c>
      <c r="R123" s="196">
        <v>696487.4543333</v>
      </c>
      <c r="S123" s="196">
        <v>658283.44408329995</v>
      </c>
      <c r="T123" s="196">
        <v>659493.4543333</v>
      </c>
      <c r="U123" s="196">
        <v>664299.63733329996</v>
      </c>
      <c r="V123" s="196">
        <v>746410.21833329997</v>
      </c>
      <c r="W123" s="196">
        <v>677306.21833329997</v>
      </c>
      <c r="X123" s="196">
        <v>694996.21833329997</v>
      </c>
      <c r="Y123" s="196">
        <v>680977.21833329997</v>
      </c>
      <c r="Z123" s="196">
        <v>687144.21833329997</v>
      </c>
      <c r="AA123" s="196">
        <v>8617237.1654996015</v>
      </c>
    </row>
    <row r="124" spans="7:27" ht="15" customHeight="1" x14ac:dyDescent="0.25">
      <c r="G124" s="191" t="s">
        <v>217</v>
      </c>
      <c r="H124" s="191" t="s">
        <v>217</v>
      </c>
      <c r="I124" s="194"/>
      <c r="J124" s="194"/>
      <c r="K124" s="194"/>
      <c r="M124" s="197" t="s">
        <v>403</v>
      </c>
      <c r="N124" s="198" t="s">
        <v>404</v>
      </c>
      <c r="O124" s="200">
        <v>27939</v>
      </c>
      <c r="P124" s="200">
        <v>440242</v>
      </c>
      <c r="Q124" s="200">
        <v>20417</v>
      </c>
      <c r="R124" s="200">
        <v>33945</v>
      </c>
      <c r="S124" s="200">
        <v>248</v>
      </c>
      <c r="T124" s="200">
        <v>3636</v>
      </c>
      <c r="U124" s="200">
        <v>8456</v>
      </c>
      <c r="V124" s="200">
        <v>85863</v>
      </c>
      <c r="W124" s="200">
        <v>19148</v>
      </c>
      <c r="X124" s="200">
        <v>32749</v>
      </c>
      <c r="Y124" s="200">
        <v>24511</v>
      </c>
      <c r="Z124" s="200">
        <v>31119</v>
      </c>
      <c r="AA124" s="199">
        <v>728273</v>
      </c>
    </row>
    <row r="125" spans="7:27" ht="15" customHeight="1" x14ac:dyDescent="0.25">
      <c r="G125" s="191" t="s">
        <v>217</v>
      </c>
      <c r="H125" s="191" t="s">
        <v>217</v>
      </c>
      <c r="I125" s="194"/>
      <c r="J125" s="194"/>
      <c r="K125" s="194"/>
      <c r="M125" s="197" t="s">
        <v>405</v>
      </c>
      <c r="N125" s="198" t="s">
        <v>406</v>
      </c>
      <c r="O125" s="200">
        <v>4021</v>
      </c>
      <c r="P125" s="200">
        <v>369</v>
      </c>
      <c r="Q125" s="200">
        <v>377</v>
      </c>
      <c r="R125" s="200">
        <v>6685</v>
      </c>
      <c r="S125" s="200">
        <v>2178</v>
      </c>
      <c r="T125" s="200">
        <v>0</v>
      </c>
      <c r="U125" s="200">
        <v>0</v>
      </c>
      <c r="V125" s="200">
        <v>4624</v>
      </c>
      <c r="W125" s="200">
        <v>2235</v>
      </c>
      <c r="X125" s="200">
        <v>6324</v>
      </c>
      <c r="Y125" s="200">
        <v>543</v>
      </c>
      <c r="Z125" s="200">
        <v>102</v>
      </c>
      <c r="AA125" s="199">
        <v>27458</v>
      </c>
    </row>
    <row r="126" spans="7:27" ht="15" customHeight="1" x14ac:dyDescent="0.25">
      <c r="G126" s="191" t="s">
        <v>217</v>
      </c>
      <c r="H126" s="191" t="s">
        <v>217</v>
      </c>
      <c r="I126" s="194"/>
      <c r="J126" s="194"/>
      <c r="K126" s="194"/>
      <c r="M126" s="197" t="s">
        <v>407</v>
      </c>
      <c r="N126" s="198" t="s">
        <v>408</v>
      </c>
      <c r="O126" s="200">
        <v>9913.81</v>
      </c>
      <c r="P126" s="200">
        <v>9913.81</v>
      </c>
      <c r="Q126" s="200">
        <v>9913.81</v>
      </c>
      <c r="R126" s="200">
        <v>9913.81</v>
      </c>
      <c r="S126" s="200">
        <v>9913.81</v>
      </c>
      <c r="T126" s="200">
        <v>9913.81</v>
      </c>
      <c r="U126" s="200">
        <v>9913.81</v>
      </c>
      <c r="V126" s="200">
        <v>9913.81</v>
      </c>
      <c r="W126" s="200">
        <v>9913.81</v>
      </c>
      <c r="X126" s="200">
        <v>9913.81</v>
      </c>
      <c r="Y126" s="200">
        <v>9913.81</v>
      </c>
      <c r="Z126" s="200">
        <v>9913.81</v>
      </c>
      <c r="AA126" s="199">
        <v>118965.71999999999</v>
      </c>
    </row>
    <row r="127" spans="7:27" ht="15" customHeight="1" x14ac:dyDescent="0.25">
      <c r="G127" s="191" t="s">
        <v>217</v>
      </c>
      <c r="H127" s="191" t="s">
        <v>217</v>
      </c>
      <c r="I127" s="194"/>
      <c r="J127" s="194"/>
      <c r="K127" s="194"/>
      <c r="M127" s="197" t="s">
        <v>409</v>
      </c>
      <c r="N127" s="198" t="s">
        <v>410</v>
      </c>
      <c r="O127" s="200">
        <v>398377.16625000001</v>
      </c>
      <c r="P127" s="200">
        <v>398377.1765</v>
      </c>
      <c r="Q127" s="200">
        <v>402926.31099999999</v>
      </c>
      <c r="R127" s="200">
        <v>402926.31099999999</v>
      </c>
      <c r="S127" s="200">
        <v>402926.30074999999</v>
      </c>
      <c r="T127" s="200">
        <v>402926.31099999999</v>
      </c>
      <c r="U127" s="200">
        <v>402912.49400000001</v>
      </c>
      <c r="V127" s="200">
        <v>402992.07500000001</v>
      </c>
      <c r="W127" s="200">
        <v>402992.07500000001</v>
      </c>
      <c r="X127" s="200">
        <v>402992.07500000001</v>
      </c>
      <c r="Y127" s="200">
        <v>402992.07500000001</v>
      </c>
      <c r="Z127" s="200">
        <v>402992.07500000001</v>
      </c>
      <c r="AA127" s="199">
        <v>4826332.4455000004</v>
      </c>
    </row>
    <row r="128" spans="7:27" ht="15" customHeight="1" x14ac:dyDescent="0.25">
      <c r="G128" s="191" t="s">
        <v>217</v>
      </c>
      <c r="H128" s="191" t="s">
        <v>217</v>
      </c>
      <c r="I128" s="194"/>
      <c r="J128" s="194"/>
      <c r="K128" s="194"/>
      <c r="M128" s="197" t="s">
        <v>411</v>
      </c>
      <c r="N128" s="198" t="s">
        <v>412</v>
      </c>
      <c r="O128" s="200">
        <v>16184</v>
      </c>
      <c r="P128" s="200">
        <v>16184</v>
      </c>
      <c r="Q128" s="200">
        <v>16184</v>
      </c>
      <c r="R128" s="200">
        <v>16184</v>
      </c>
      <c r="S128" s="200">
        <v>16184</v>
      </c>
      <c r="T128" s="200">
        <v>16184</v>
      </c>
      <c r="U128" s="200">
        <v>16184</v>
      </c>
      <c r="V128" s="200">
        <v>16184</v>
      </c>
      <c r="W128" s="200">
        <v>16184</v>
      </c>
      <c r="X128" s="200">
        <v>16184</v>
      </c>
      <c r="Y128" s="200">
        <v>16184</v>
      </c>
      <c r="Z128" s="200">
        <v>16184</v>
      </c>
      <c r="AA128" s="199">
        <v>194208</v>
      </c>
    </row>
    <row r="129" spans="7:27" ht="15" customHeight="1" x14ac:dyDescent="0.25">
      <c r="G129" s="191" t="s">
        <v>217</v>
      </c>
      <c r="H129" s="191" t="s">
        <v>217</v>
      </c>
      <c r="I129" s="194"/>
      <c r="J129" s="194"/>
      <c r="K129" s="194"/>
      <c r="M129" s="197" t="s">
        <v>413</v>
      </c>
      <c r="N129" s="198" t="s">
        <v>414</v>
      </c>
      <c r="O129" s="200">
        <v>226833.33333329999</v>
      </c>
      <c r="P129" s="200">
        <v>226833.33333329999</v>
      </c>
      <c r="Q129" s="200">
        <v>226833.33333329999</v>
      </c>
      <c r="R129" s="200">
        <v>226833.33333329999</v>
      </c>
      <c r="S129" s="200">
        <v>226833.33333329999</v>
      </c>
      <c r="T129" s="200">
        <v>226833.33333329999</v>
      </c>
      <c r="U129" s="200">
        <v>226833.33333329999</v>
      </c>
      <c r="V129" s="200">
        <v>226833.33333329999</v>
      </c>
      <c r="W129" s="200">
        <v>226833.33333329999</v>
      </c>
      <c r="X129" s="200">
        <v>226833.33333329999</v>
      </c>
      <c r="Y129" s="200">
        <v>226833.33333329999</v>
      </c>
      <c r="Z129" s="200">
        <v>226833.33333329999</v>
      </c>
      <c r="AA129" s="199">
        <v>2721999.9999996</v>
      </c>
    </row>
    <row r="130" spans="7:27" ht="15" customHeight="1" x14ac:dyDescent="0.25">
      <c r="G130" s="191" t="s">
        <v>217</v>
      </c>
      <c r="H130" s="191" t="s">
        <v>217</v>
      </c>
      <c r="I130" s="194"/>
      <c r="J130" s="194"/>
      <c r="K130" s="194"/>
      <c r="M130" s="195" t="s">
        <v>415</v>
      </c>
      <c r="N130" s="196" t="s">
        <v>416</v>
      </c>
      <c r="O130" s="196">
        <v>749472.92968840001</v>
      </c>
      <c r="P130" s="196">
        <v>839121.4267679</v>
      </c>
      <c r="Q130" s="196">
        <v>741654.70035509998</v>
      </c>
      <c r="R130" s="196">
        <v>910731.34825349995</v>
      </c>
      <c r="S130" s="196">
        <v>743742.00318899995</v>
      </c>
      <c r="T130" s="196">
        <v>805492.89500979998</v>
      </c>
      <c r="U130" s="196">
        <v>713750.08846869995</v>
      </c>
      <c r="V130" s="196">
        <v>813344.10139079997</v>
      </c>
      <c r="W130" s="196">
        <v>961603.36690709996</v>
      </c>
      <c r="X130" s="196">
        <v>1166380.3052346001</v>
      </c>
      <c r="Y130" s="196">
        <v>1091427.8321707</v>
      </c>
      <c r="Z130" s="196">
        <v>1251424.7152495999</v>
      </c>
      <c r="AA130" s="196">
        <v>10788145.712685201</v>
      </c>
    </row>
    <row r="131" spans="7:27" ht="15" customHeight="1" x14ac:dyDescent="0.25">
      <c r="G131" s="191" t="s">
        <v>217</v>
      </c>
      <c r="H131" s="191" t="s">
        <v>217</v>
      </c>
      <c r="I131" s="194"/>
      <c r="J131" s="194"/>
      <c r="K131" s="194"/>
      <c r="M131" s="197" t="s">
        <v>417</v>
      </c>
      <c r="N131" s="198" t="s">
        <v>418</v>
      </c>
      <c r="O131" s="200">
        <v>0</v>
      </c>
      <c r="P131" s="200">
        <v>100000</v>
      </c>
      <c r="Q131" s="200">
        <v>0</v>
      </c>
      <c r="R131" s="200">
        <v>100000</v>
      </c>
      <c r="S131" s="200">
        <v>0</v>
      </c>
      <c r="T131" s="200">
        <v>100000</v>
      </c>
      <c r="U131" s="200">
        <v>0</v>
      </c>
      <c r="V131" s="200">
        <v>100000</v>
      </c>
      <c r="W131" s="200">
        <v>0</v>
      </c>
      <c r="X131" s="200">
        <v>100000</v>
      </c>
      <c r="Y131" s="200">
        <v>0</v>
      </c>
      <c r="Z131" s="200">
        <v>100000</v>
      </c>
      <c r="AA131" s="199">
        <v>600000</v>
      </c>
    </row>
    <row r="132" spans="7:27" ht="15" customHeight="1" x14ac:dyDescent="0.25">
      <c r="G132" s="191" t="s">
        <v>217</v>
      </c>
      <c r="H132" s="191" t="s">
        <v>217</v>
      </c>
      <c r="I132" s="194"/>
      <c r="J132" s="194"/>
      <c r="K132" s="194"/>
      <c r="M132" s="197" t="s">
        <v>419</v>
      </c>
      <c r="N132" s="198" t="s">
        <v>420</v>
      </c>
      <c r="O132" s="200">
        <v>8000</v>
      </c>
      <c r="P132" s="200">
        <v>8000</v>
      </c>
      <c r="Q132" s="200">
        <v>8000</v>
      </c>
      <c r="R132" s="200">
        <v>8000</v>
      </c>
      <c r="S132" s="200">
        <v>8000</v>
      </c>
      <c r="T132" s="200">
        <v>9000</v>
      </c>
      <c r="U132" s="200">
        <v>10000</v>
      </c>
      <c r="V132" s="200">
        <v>11000</v>
      </c>
      <c r="W132" s="200">
        <v>11000</v>
      </c>
      <c r="X132" s="200">
        <v>10000</v>
      </c>
      <c r="Y132" s="200">
        <v>8000</v>
      </c>
      <c r="Z132" s="200">
        <v>8000</v>
      </c>
      <c r="AA132" s="199">
        <v>107000</v>
      </c>
    </row>
    <row r="133" spans="7:27" ht="15" customHeight="1" x14ac:dyDescent="0.25">
      <c r="G133" s="191" t="s">
        <v>217</v>
      </c>
      <c r="H133" s="191" t="s">
        <v>217</v>
      </c>
      <c r="I133" s="194"/>
      <c r="J133" s="194"/>
      <c r="K133" s="194"/>
      <c r="M133" s="197" t="s">
        <v>421</v>
      </c>
      <c r="N133" s="198" t="s">
        <v>422</v>
      </c>
      <c r="O133" s="200">
        <v>10100</v>
      </c>
      <c r="P133" s="200">
        <v>10100</v>
      </c>
      <c r="Q133" s="200">
        <v>10100</v>
      </c>
      <c r="R133" s="200">
        <v>10100</v>
      </c>
      <c r="S133" s="200">
        <v>10100</v>
      </c>
      <c r="T133" s="200">
        <v>10100</v>
      </c>
      <c r="U133" s="200">
        <v>10100</v>
      </c>
      <c r="V133" s="200">
        <v>10100</v>
      </c>
      <c r="W133" s="200">
        <v>10100</v>
      </c>
      <c r="X133" s="200">
        <v>10100</v>
      </c>
      <c r="Y133" s="200">
        <v>10100</v>
      </c>
      <c r="Z133" s="200">
        <v>10100</v>
      </c>
      <c r="AA133" s="199">
        <v>121200</v>
      </c>
    </row>
    <row r="134" spans="7:27" ht="15" customHeight="1" x14ac:dyDescent="0.25">
      <c r="G134" s="191" t="s">
        <v>217</v>
      </c>
      <c r="H134" s="191" t="s">
        <v>217</v>
      </c>
      <c r="I134" s="194"/>
      <c r="J134" s="194"/>
      <c r="K134" s="194"/>
      <c r="M134" s="197" t="s">
        <v>423</v>
      </c>
      <c r="N134" s="198" t="s">
        <v>424</v>
      </c>
      <c r="O134" s="200">
        <v>1685.4748861999999</v>
      </c>
      <c r="P134" s="200">
        <v>1400.1439657000001</v>
      </c>
      <c r="Q134" s="200">
        <v>1394.3385529</v>
      </c>
      <c r="R134" s="200">
        <v>76486.400451299996</v>
      </c>
      <c r="S134" s="200">
        <v>1670.1983868</v>
      </c>
      <c r="T134" s="200">
        <v>1353.4910098</v>
      </c>
      <c r="U134" s="200">
        <v>11551.610468700001</v>
      </c>
      <c r="V134" s="200">
        <v>6480.5363907999999</v>
      </c>
      <c r="W134" s="200">
        <v>76442.304907099999</v>
      </c>
      <c r="X134" s="200">
        <v>1646.5444324</v>
      </c>
      <c r="Y134" s="200">
        <v>1428.1843684999999</v>
      </c>
      <c r="Z134" s="200">
        <v>1502.5124473999999</v>
      </c>
      <c r="AA134" s="199">
        <v>183041.74026759996</v>
      </c>
    </row>
    <row r="135" spans="7:27" ht="15" customHeight="1" x14ac:dyDescent="0.25">
      <c r="G135" s="191" t="s">
        <v>217</v>
      </c>
      <c r="H135" s="191" t="s">
        <v>217</v>
      </c>
      <c r="I135" s="194"/>
      <c r="J135" s="194"/>
      <c r="K135" s="194"/>
      <c r="M135" s="197" t="s">
        <v>433</v>
      </c>
      <c r="N135" s="198" t="s">
        <v>434</v>
      </c>
      <c r="O135" s="200">
        <v>0</v>
      </c>
      <c r="P135" s="200">
        <v>0</v>
      </c>
      <c r="Q135" s="200">
        <v>0</v>
      </c>
      <c r="R135" s="200">
        <v>0</v>
      </c>
      <c r="S135" s="200">
        <v>0</v>
      </c>
      <c r="T135" s="200">
        <v>0</v>
      </c>
      <c r="U135" s="200">
        <v>0</v>
      </c>
      <c r="V135" s="200">
        <v>0</v>
      </c>
      <c r="W135" s="200">
        <v>180000</v>
      </c>
      <c r="X135" s="200">
        <v>320000</v>
      </c>
      <c r="Y135" s="200">
        <v>320000</v>
      </c>
      <c r="Z135" s="200">
        <v>320000</v>
      </c>
      <c r="AA135" s="199">
        <v>1140000</v>
      </c>
    </row>
    <row r="136" spans="7:27" ht="15" customHeight="1" x14ac:dyDescent="0.25">
      <c r="G136" s="191" t="s">
        <v>217</v>
      </c>
      <c r="H136" s="191" t="s">
        <v>217</v>
      </c>
      <c r="I136" s="194"/>
      <c r="J136" s="194"/>
      <c r="K136" s="194"/>
      <c r="M136" s="197" t="s">
        <v>425</v>
      </c>
      <c r="N136" s="198" t="s">
        <v>426</v>
      </c>
      <c r="O136" s="200">
        <v>697996.55769229995</v>
      </c>
      <c r="P136" s="200">
        <v>697996.55769229995</v>
      </c>
      <c r="Q136" s="200">
        <v>697996.55769229995</v>
      </c>
      <c r="R136" s="200">
        <v>697996.55769229995</v>
      </c>
      <c r="S136" s="200">
        <v>697996.55769229995</v>
      </c>
      <c r="T136" s="200">
        <v>662429.25</v>
      </c>
      <c r="U136" s="200">
        <v>662429.25</v>
      </c>
      <c r="V136" s="200">
        <v>662429.25</v>
      </c>
      <c r="W136" s="200">
        <v>662429.25</v>
      </c>
      <c r="X136" s="200">
        <v>697996.55769229995</v>
      </c>
      <c r="Y136" s="200">
        <v>697996.55769229995</v>
      </c>
      <c r="Z136" s="200">
        <v>697996.55769229995</v>
      </c>
      <c r="AA136" s="199">
        <v>8233689.4615383986</v>
      </c>
    </row>
    <row r="137" spans="7:27" ht="15" customHeight="1" x14ac:dyDescent="0.25">
      <c r="G137" s="191" t="s">
        <v>217</v>
      </c>
      <c r="H137" s="191" t="s">
        <v>217</v>
      </c>
      <c r="I137" s="194"/>
      <c r="J137" s="194"/>
      <c r="K137" s="194"/>
      <c r="M137" s="197" t="s">
        <v>427</v>
      </c>
      <c r="N137" s="198" t="s">
        <v>428</v>
      </c>
      <c r="O137" s="200">
        <v>17648.3901099</v>
      </c>
      <c r="P137" s="200">
        <v>17648.3901099</v>
      </c>
      <c r="Q137" s="200">
        <v>17648.3901099</v>
      </c>
      <c r="R137" s="200">
        <v>17648.3901099</v>
      </c>
      <c r="S137" s="200">
        <v>17648.3901099</v>
      </c>
      <c r="T137" s="200">
        <v>17038.5</v>
      </c>
      <c r="U137" s="200">
        <v>17038.5</v>
      </c>
      <c r="V137" s="200">
        <v>17038.5</v>
      </c>
      <c r="W137" s="200">
        <v>17038.5</v>
      </c>
      <c r="X137" s="200">
        <v>17648.3901099</v>
      </c>
      <c r="Y137" s="200">
        <v>17648.3901099</v>
      </c>
      <c r="Z137" s="200">
        <v>17648.3901099</v>
      </c>
      <c r="AA137" s="199">
        <v>209341.12087920003</v>
      </c>
    </row>
    <row r="138" spans="7:27" ht="15" customHeight="1" x14ac:dyDescent="0.25">
      <c r="G138" s="191" t="s">
        <v>217</v>
      </c>
      <c r="H138" s="191" t="s">
        <v>217</v>
      </c>
      <c r="I138" s="194"/>
      <c r="J138" s="194"/>
      <c r="K138" s="194"/>
      <c r="M138" s="197" t="s">
        <v>429</v>
      </c>
      <c r="N138" s="198" t="s">
        <v>430</v>
      </c>
      <c r="O138" s="200">
        <v>13542.507</v>
      </c>
      <c r="P138" s="200">
        <v>3976.335</v>
      </c>
      <c r="Q138" s="200">
        <v>5265.4139999999998</v>
      </c>
      <c r="R138" s="200">
        <v>0</v>
      </c>
      <c r="S138" s="200">
        <v>8326.857</v>
      </c>
      <c r="T138" s="200">
        <v>5571.6540000000005</v>
      </c>
      <c r="U138" s="200">
        <v>1630.7280000000001</v>
      </c>
      <c r="V138" s="200">
        <v>5545.8149999999996</v>
      </c>
      <c r="W138" s="200">
        <v>3843.3119999999999</v>
      </c>
      <c r="X138" s="200">
        <v>8238.8130000000001</v>
      </c>
      <c r="Y138" s="200">
        <v>35504.699999999997</v>
      </c>
      <c r="Z138" s="200">
        <v>95427.255000000005</v>
      </c>
      <c r="AA138" s="199">
        <v>186873.39</v>
      </c>
    </row>
    <row r="139" spans="7:27" ht="15" customHeight="1" x14ac:dyDescent="0.25">
      <c r="G139" s="191" t="s">
        <v>217</v>
      </c>
      <c r="H139" s="191" t="s">
        <v>217</v>
      </c>
      <c r="I139" s="194"/>
      <c r="J139" s="194"/>
      <c r="K139" s="194"/>
      <c r="M139" s="197" t="s">
        <v>431</v>
      </c>
      <c r="N139" s="198" t="s">
        <v>432</v>
      </c>
      <c r="O139" s="200">
        <v>500</v>
      </c>
      <c r="P139" s="200">
        <v>0</v>
      </c>
      <c r="Q139" s="200">
        <v>1250</v>
      </c>
      <c r="R139" s="200">
        <v>500</v>
      </c>
      <c r="S139" s="200">
        <v>0</v>
      </c>
      <c r="T139" s="200">
        <v>0</v>
      </c>
      <c r="U139" s="200">
        <v>1000</v>
      </c>
      <c r="V139" s="200">
        <v>750</v>
      </c>
      <c r="W139" s="200">
        <v>750</v>
      </c>
      <c r="X139" s="200">
        <v>750</v>
      </c>
      <c r="Y139" s="200">
        <v>750</v>
      </c>
      <c r="Z139" s="200">
        <v>750</v>
      </c>
      <c r="AA139" s="199">
        <v>7000</v>
      </c>
    </row>
    <row r="140" spans="7:27" ht="15" customHeight="1" x14ac:dyDescent="0.25">
      <c r="G140" s="191" t="s">
        <v>217</v>
      </c>
      <c r="H140" s="191" t="s">
        <v>217</v>
      </c>
      <c r="I140" s="194"/>
      <c r="J140" s="194"/>
      <c r="K140" s="194"/>
      <c r="M140" s="195" t="s">
        <v>437</v>
      </c>
      <c r="N140" s="196" t="s">
        <v>438</v>
      </c>
      <c r="O140" s="196">
        <v>303440</v>
      </c>
      <c r="P140" s="196">
        <v>283864</v>
      </c>
      <c r="Q140" s="196">
        <v>303440</v>
      </c>
      <c r="R140" s="196">
        <v>293652</v>
      </c>
      <c r="S140" s="196">
        <v>303440</v>
      </c>
      <c r="T140" s="196">
        <v>293652</v>
      </c>
      <c r="U140" s="196">
        <v>303440</v>
      </c>
      <c r="V140" s="196">
        <v>303440</v>
      </c>
      <c r="W140" s="196">
        <v>293652</v>
      </c>
      <c r="X140" s="196">
        <v>303440</v>
      </c>
      <c r="Y140" s="196">
        <v>293652</v>
      </c>
      <c r="Z140" s="196">
        <v>303442</v>
      </c>
      <c r="AA140" s="196">
        <v>3582554</v>
      </c>
    </row>
    <row r="141" spans="7:27" ht="15" customHeight="1" x14ac:dyDescent="0.25">
      <c r="G141" s="191" t="s">
        <v>217</v>
      </c>
      <c r="H141" s="191" t="s">
        <v>217</v>
      </c>
      <c r="I141" s="194"/>
      <c r="J141" s="194"/>
      <c r="K141" s="194"/>
      <c r="M141" s="197" t="s">
        <v>439</v>
      </c>
      <c r="N141" s="198" t="s">
        <v>440</v>
      </c>
      <c r="O141" s="200">
        <v>303440</v>
      </c>
      <c r="P141" s="200">
        <v>283864</v>
      </c>
      <c r="Q141" s="200">
        <v>303440</v>
      </c>
      <c r="R141" s="200">
        <v>293652</v>
      </c>
      <c r="S141" s="200">
        <v>303440</v>
      </c>
      <c r="T141" s="200">
        <v>293652</v>
      </c>
      <c r="U141" s="200">
        <v>303440</v>
      </c>
      <c r="V141" s="200">
        <v>303440</v>
      </c>
      <c r="W141" s="200">
        <v>293652</v>
      </c>
      <c r="X141" s="200">
        <v>303440</v>
      </c>
      <c r="Y141" s="200">
        <v>293652</v>
      </c>
      <c r="Z141" s="200">
        <v>303442</v>
      </c>
      <c r="AA141" s="199">
        <v>3582554</v>
      </c>
    </row>
    <row r="142" spans="7:27" ht="15" customHeight="1" x14ac:dyDescent="0.25">
      <c r="G142" s="191" t="s">
        <v>217</v>
      </c>
      <c r="H142" s="191" t="s">
        <v>217</v>
      </c>
      <c r="I142" s="194"/>
      <c r="J142" s="194"/>
      <c r="K142" s="194"/>
      <c r="M142" s="195" t="s">
        <v>148</v>
      </c>
      <c r="N142" s="196" t="s">
        <v>148</v>
      </c>
      <c r="O142" s="196">
        <v>203169868.6281884</v>
      </c>
      <c r="P142" s="196">
        <v>187385047.92751759</v>
      </c>
      <c r="Q142" s="196">
        <v>190743237.67311969</v>
      </c>
      <c r="R142" s="196">
        <v>198983993.8263672</v>
      </c>
      <c r="S142" s="196">
        <v>225477009.277419</v>
      </c>
      <c r="T142" s="196">
        <v>245623731.12540299</v>
      </c>
      <c r="U142" s="196">
        <v>256870669.11417589</v>
      </c>
      <c r="V142" s="196">
        <v>257717447.16060969</v>
      </c>
      <c r="W142" s="196">
        <v>245713418.7128551</v>
      </c>
      <c r="X142" s="196">
        <v>229888507.9535903</v>
      </c>
      <c r="Y142" s="196">
        <v>195998835.77418029</v>
      </c>
      <c r="Z142" s="196">
        <v>196175532.30008909</v>
      </c>
      <c r="AA142" s="196">
        <v>2633747299.473515</v>
      </c>
    </row>
    <row r="143" spans="7:27" ht="15" customHeight="1" x14ac:dyDescent="0.25">
      <c r="G143" s="191"/>
      <c r="H143" s="191"/>
      <c r="I143" s="194"/>
      <c r="J143" s="194"/>
      <c r="K143" s="194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</row>
    <row r="144" spans="7:27" ht="15" customHeight="1" x14ac:dyDescent="0.25">
      <c r="G144" s="191"/>
      <c r="H144" s="191"/>
      <c r="I144" s="194"/>
      <c r="J144" s="194"/>
      <c r="K144" s="194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</row>
    <row r="145" spans="7:27" ht="50.4" customHeight="1" x14ac:dyDescent="0.25">
      <c r="G145" s="191" t="s">
        <v>217</v>
      </c>
      <c r="H145" s="191" t="s">
        <v>217</v>
      </c>
      <c r="I145" s="194"/>
      <c r="J145" s="194"/>
      <c r="K145" s="194"/>
      <c r="M145" s="201"/>
      <c r="N145" s="202" t="s">
        <v>441</v>
      </c>
      <c r="O145" s="202">
        <f>O34-O94-O105-O130-O123-O110-O107</f>
        <v>202167404.41249999</v>
      </c>
      <c r="P145" s="202">
        <f t="shared" ref="P145:AA145" si="2">P34-P94-P105-P130-P123-P110-P107</f>
        <v>188471877.10249999</v>
      </c>
      <c r="Q145" s="202">
        <f t="shared" si="2"/>
        <v>182749437.79249999</v>
      </c>
      <c r="R145" s="202">
        <f t="shared" si="2"/>
        <v>191930772.99249998</v>
      </c>
      <c r="S145" s="202">
        <f t="shared" si="2"/>
        <v>212136828.7525</v>
      </c>
      <c r="T145" s="202">
        <f t="shared" si="2"/>
        <v>244595222.17249998</v>
      </c>
      <c r="U145" s="202">
        <f t="shared" si="2"/>
        <v>257465901.22249997</v>
      </c>
      <c r="V145" s="202">
        <f t="shared" si="2"/>
        <v>255707726.55250001</v>
      </c>
      <c r="W145" s="202">
        <f t="shared" si="2"/>
        <v>262035438.8425</v>
      </c>
      <c r="X145" s="202">
        <f t="shared" si="2"/>
        <v>234961018.7525</v>
      </c>
      <c r="Y145" s="202">
        <f t="shared" si="2"/>
        <v>201645835.82250002</v>
      </c>
      <c r="Z145" s="202">
        <f t="shared" si="2"/>
        <v>192005175.78249997</v>
      </c>
      <c r="AA145" s="202">
        <f t="shared" si="2"/>
        <v>2625872640.1999993</v>
      </c>
    </row>
    <row r="146" spans="7:27" ht="15" customHeight="1" x14ac:dyDescent="0.25">
      <c r="G146" s="191" t="s">
        <v>217</v>
      </c>
      <c r="H146" s="191" t="s">
        <v>217</v>
      </c>
      <c r="I146" s="194"/>
      <c r="J146" s="194"/>
      <c r="K146" s="194"/>
      <c r="M146" s="201"/>
      <c r="N146" s="203" t="s">
        <v>442</v>
      </c>
      <c r="O146" s="203">
        <f>O110</f>
        <v>1562621.9764167001</v>
      </c>
      <c r="P146" s="203">
        <f t="shared" ref="P146:Z146" si="3">P110</f>
        <v>1564251.7784167</v>
      </c>
      <c r="Q146" s="203">
        <f t="shared" si="3"/>
        <v>1651386.3129167</v>
      </c>
      <c r="R146" s="203">
        <f t="shared" si="3"/>
        <v>1562838.3151666999</v>
      </c>
      <c r="S146" s="203">
        <f t="shared" si="3"/>
        <v>1625774.3864167</v>
      </c>
      <c r="T146" s="203">
        <f t="shared" si="3"/>
        <v>1646775.5956667</v>
      </c>
      <c r="U146" s="203">
        <f t="shared" si="3"/>
        <v>1556460.1806667</v>
      </c>
      <c r="V146" s="203">
        <f t="shared" si="3"/>
        <v>1563302.8866667</v>
      </c>
      <c r="W146" s="203">
        <f t="shared" si="3"/>
        <v>1572896.0616667001</v>
      </c>
      <c r="X146" s="203">
        <f t="shared" si="3"/>
        <v>1573264.2116667</v>
      </c>
      <c r="Y146" s="203">
        <f t="shared" si="3"/>
        <v>1573637.3866667</v>
      </c>
      <c r="Z146" s="203">
        <f t="shared" si="3"/>
        <v>1574011.6116667001</v>
      </c>
      <c r="AA146" s="203">
        <f>AA110</f>
        <v>19027220.704000402</v>
      </c>
    </row>
    <row r="147" spans="7:27" ht="15" customHeight="1" x14ac:dyDescent="0.25">
      <c r="G147" s="191" t="s">
        <v>217</v>
      </c>
      <c r="H147" s="191" t="s">
        <v>217</v>
      </c>
      <c r="I147" s="194"/>
      <c r="J147" s="194"/>
      <c r="K147" s="194"/>
      <c r="M147" s="201"/>
      <c r="N147" s="203" t="s">
        <v>443</v>
      </c>
      <c r="O147" s="203">
        <f>+O145+O146</f>
        <v>203730026.3889167</v>
      </c>
      <c r="P147" s="203">
        <f t="shared" ref="P147:AA147" si="4">+P145+P146</f>
        <v>190036128.88091668</v>
      </c>
      <c r="Q147" s="203">
        <f t="shared" si="4"/>
        <v>184400824.10541669</v>
      </c>
      <c r="R147" s="203">
        <f t="shared" si="4"/>
        <v>193493611.30766669</v>
      </c>
      <c r="S147" s="203">
        <f t="shared" si="4"/>
        <v>213762603.1389167</v>
      </c>
      <c r="T147" s="203">
        <f t="shared" si="4"/>
        <v>246241997.76816669</v>
      </c>
      <c r="U147" s="203">
        <f t="shared" si="4"/>
        <v>259022361.40316665</v>
      </c>
      <c r="V147" s="203">
        <f t="shared" si="4"/>
        <v>257271029.43916669</v>
      </c>
      <c r="W147" s="203">
        <f t="shared" si="4"/>
        <v>263608334.9041667</v>
      </c>
      <c r="X147" s="203">
        <f t="shared" si="4"/>
        <v>236534282.9641667</v>
      </c>
      <c r="Y147" s="203">
        <f t="shared" si="4"/>
        <v>203219473.20916671</v>
      </c>
      <c r="Z147" s="203">
        <f t="shared" si="4"/>
        <v>193579187.39416668</v>
      </c>
      <c r="AA147" s="203">
        <f t="shared" si="4"/>
        <v>2644899860.9039998</v>
      </c>
    </row>
    <row r="148" spans="7:27" ht="15" customHeight="1" x14ac:dyDescent="0.25">
      <c r="G148" s="191" t="s">
        <v>217</v>
      </c>
      <c r="H148" s="191" t="s">
        <v>217</v>
      </c>
      <c r="I148" s="194"/>
      <c r="J148" s="194"/>
      <c r="K148" s="194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</row>
    <row r="149" spans="7:27" ht="15" customHeight="1" x14ac:dyDescent="0.25">
      <c r="G149" s="191" t="s">
        <v>217</v>
      </c>
      <c r="H149" s="191" t="s">
        <v>217</v>
      </c>
      <c r="I149" s="194"/>
      <c r="J149" s="194"/>
      <c r="K149" s="194"/>
      <c r="M149" s="153"/>
      <c r="N149" s="153"/>
      <c r="O149" s="204">
        <f>O147-'[13]7+5F + 2024B '!EF6</f>
        <v>0</v>
      </c>
      <c r="P149" s="204">
        <f>P147-'[13]7+5F + 2024B '!EG6</f>
        <v>0</v>
      </c>
      <c r="Q149" s="204">
        <f>Q147-'[13]7+5F + 2024B '!EH6</f>
        <v>0</v>
      </c>
      <c r="R149" s="204">
        <f>R147-'[13]7+5F + 2024B '!EI6</f>
        <v>0</v>
      </c>
      <c r="S149" s="204">
        <f>S147-'[13]7+5F + 2024B '!EJ6</f>
        <v>0</v>
      </c>
      <c r="T149" s="204">
        <f>T147-'[13]7+5F + 2024B '!EK6</f>
        <v>0</v>
      </c>
      <c r="U149" s="204">
        <f>U147-'[13]7+5F + 2024B '!EL6</f>
        <v>0</v>
      </c>
      <c r="V149" s="204">
        <f>V147-'[13]7+5F + 2024B '!EM6</f>
        <v>0</v>
      </c>
      <c r="W149" s="204">
        <f>W147-'[13]7+5F + 2024B '!EN6</f>
        <v>0</v>
      </c>
      <c r="X149" s="204">
        <f>X147-'[13]7+5F + 2024B '!EO6</f>
        <v>0</v>
      </c>
      <c r="Y149" s="204">
        <f>Y147-'[13]7+5F + 2024B '!EP6</f>
        <v>0</v>
      </c>
      <c r="Z149" s="204">
        <f>Z147-'[13]7+5F + 2024B '!EQ6</f>
        <v>0</v>
      </c>
      <c r="AA149" s="153"/>
    </row>
    <row r="150" spans="7:27" ht="15" customHeight="1" x14ac:dyDescent="0.25">
      <c r="G150" s="191" t="s">
        <v>217</v>
      </c>
      <c r="H150" s="191" t="s">
        <v>217</v>
      </c>
      <c r="I150" s="194"/>
      <c r="J150" s="194"/>
      <c r="K150" s="194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</row>
    <row r="151" spans="7:27" ht="15" customHeight="1" x14ac:dyDescent="0.25">
      <c r="G151" s="191" t="s">
        <v>217</v>
      </c>
      <c r="H151" s="191" t="s">
        <v>217</v>
      </c>
      <c r="I151" s="194"/>
      <c r="J151" s="194"/>
      <c r="K151" s="194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</row>
    <row r="152" spans="7:27" ht="15" customHeight="1" x14ac:dyDescent="0.25">
      <c r="G152" s="191" t="s">
        <v>217</v>
      </c>
      <c r="H152" s="191" t="s">
        <v>217</v>
      </c>
      <c r="I152" s="194"/>
      <c r="J152" s="194"/>
      <c r="K152" s="194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</row>
    <row r="153" spans="7:27" ht="15" customHeight="1" x14ac:dyDescent="0.25">
      <c r="G153" s="191" t="s">
        <v>217</v>
      </c>
      <c r="H153" s="191" t="s">
        <v>217</v>
      </c>
      <c r="I153" s="194"/>
      <c r="J153" s="194"/>
      <c r="K153" s="194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</row>
    <row r="154" spans="7:27" ht="15" customHeight="1" x14ac:dyDescent="0.25">
      <c r="G154" s="191" t="s">
        <v>217</v>
      </c>
      <c r="H154" s="191" t="s">
        <v>217</v>
      </c>
      <c r="I154" s="194"/>
      <c r="J154" s="194"/>
      <c r="K154" s="194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</row>
    <row r="155" spans="7:27" ht="15" customHeight="1" x14ac:dyDescent="0.25">
      <c r="G155" s="191" t="s">
        <v>217</v>
      </c>
      <c r="H155" s="191" t="s">
        <v>217</v>
      </c>
      <c r="I155" s="194"/>
      <c r="J155" s="194"/>
      <c r="K155" s="194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</row>
    <row r="156" spans="7:27" ht="15" customHeight="1" x14ac:dyDescent="0.25">
      <c r="G156" s="191" t="s">
        <v>217</v>
      </c>
      <c r="H156" s="191" t="s">
        <v>217</v>
      </c>
      <c r="I156" s="194"/>
      <c r="J156" s="194"/>
      <c r="K156" s="194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</row>
    <row r="157" spans="7:27" ht="15" customHeight="1" x14ac:dyDescent="0.25">
      <c r="G157" s="191" t="s">
        <v>217</v>
      </c>
      <c r="H157" s="191" t="s">
        <v>217</v>
      </c>
      <c r="I157" s="194"/>
      <c r="J157" s="194"/>
      <c r="K157" s="194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</row>
    <row r="158" spans="7:27" ht="15" customHeight="1" x14ac:dyDescent="0.25">
      <c r="G158" s="191" t="s">
        <v>217</v>
      </c>
      <c r="H158" s="191" t="s">
        <v>217</v>
      </c>
      <c r="I158" s="194"/>
      <c r="J158" s="194"/>
      <c r="K158" s="194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</row>
    <row r="159" spans="7:27" ht="15" customHeight="1" x14ac:dyDescent="0.25">
      <c r="G159" s="191" t="s">
        <v>217</v>
      </c>
      <c r="H159" s="191" t="s">
        <v>217</v>
      </c>
      <c r="I159" s="194"/>
      <c r="J159" s="194"/>
      <c r="K159" s="194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</row>
    <row r="160" spans="7:27" ht="15" customHeight="1" x14ac:dyDescent="0.25">
      <c r="G160" s="191" t="s">
        <v>217</v>
      </c>
      <c r="H160" s="191" t="s">
        <v>217</v>
      </c>
      <c r="I160" s="194"/>
      <c r="J160" s="194"/>
      <c r="K160" s="194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  <c r="AA160" s="153"/>
    </row>
    <row r="161" spans="7:27" ht="15" customHeight="1" x14ac:dyDescent="0.25">
      <c r="G161" s="191" t="s">
        <v>217</v>
      </c>
      <c r="H161" s="191" t="s">
        <v>217</v>
      </c>
      <c r="I161" s="194"/>
      <c r="J161" s="194"/>
      <c r="K161" s="194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  <c r="AA161" s="153"/>
    </row>
    <row r="162" spans="7:27" ht="15" customHeight="1" x14ac:dyDescent="0.25">
      <c r="G162" s="191" t="s">
        <v>217</v>
      </c>
      <c r="H162" s="191" t="s">
        <v>217</v>
      </c>
      <c r="I162" s="194"/>
      <c r="J162" s="194"/>
      <c r="K162" s="194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</row>
    <row r="163" spans="7:27" ht="15" customHeight="1" x14ac:dyDescent="0.25">
      <c r="G163" s="191" t="s">
        <v>217</v>
      </c>
      <c r="H163" s="191" t="s">
        <v>217</v>
      </c>
      <c r="I163" s="194"/>
      <c r="J163" s="194"/>
      <c r="K163" s="194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</row>
    <row r="164" spans="7:27" ht="15" customHeight="1" x14ac:dyDescent="0.25">
      <c r="G164" s="191" t="s">
        <v>217</v>
      </c>
      <c r="H164" s="191" t="s">
        <v>217</v>
      </c>
      <c r="I164" s="194"/>
      <c r="J164" s="194"/>
      <c r="K164" s="194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</row>
    <row r="165" spans="7:27" ht="15" customHeight="1" x14ac:dyDescent="0.25">
      <c r="G165" s="191" t="s">
        <v>217</v>
      </c>
      <c r="H165" s="191" t="s">
        <v>217</v>
      </c>
      <c r="I165" s="194"/>
      <c r="J165" s="194"/>
      <c r="K165" s="194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  <c r="AA165" s="153"/>
    </row>
    <row r="166" spans="7:27" ht="15" customHeight="1" x14ac:dyDescent="0.25">
      <c r="G166" s="191" t="s">
        <v>217</v>
      </c>
      <c r="H166" s="191" t="s">
        <v>217</v>
      </c>
      <c r="I166" s="194"/>
      <c r="J166" s="194"/>
      <c r="K166" s="194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</row>
    <row r="167" spans="7:27" ht="15" customHeight="1" x14ac:dyDescent="0.25">
      <c r="G167" s="191" t="s">
        <v>217</v>
      </c>
      <c r="H167" s="191" t="s">
        <v>217</v>
      </c>
      <c r="I167" s="194"/>
      <c r="J167" s="194"/>
      <c r="K167" s="194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</row>
    <row r="168" spans="7:27" ht="15" customHeight="1" x14ac:dyDescent="0.25">
      <c r="G168" s="191" t="s">
        <v>217</v>
      </c>
      <c r="H168" s="191" t="s">
        <v>217</v>
      </c>
      <c r="I168" s="194"/>
      <c r="J168" s="194"/>
      <c r="K168" s="194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</row>
    <row r="169" spans="7:27" ht="15" customHeight="1" x14ac:dyDescent="0.25">
      <c r="G169" s="191" t="s">
        <v>217</v>
      </c>
      <c r="H169" s="191" t="s">
        <v>217</v>
      </c>
      <c r="I169" s="194"/>
      <c r="J169" s="194"/>
      <c r="K169" s="194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</row>
    <row r="170" spans="7:27" ht="15" customHeight="1" x14ac:dyDescent="0.25">
      <c r="G170" s="191" t="s">
        <v>217</v>
      </c>
      <c r="H170" s="191" t="s">
        <v>217</v>
      </c>
      <c r="I170" s="194"/>
      <c r="J170" s="194"/>
      <c r="K170" s="194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</row>
    <row r="171" spans="7:27" ht="15" customHeight="1" x14ac:dyDescent="0.25">
      <c r="G171" s="191" t="s">
        <v>217</v>
      </c>
      <c r="H171" s="191" t="s">
        <v>217</v>
      </c>
      <c r="I171" s="194"/>
      <c r="J171" s="194"/>
      <c r="K171" s="194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</row>
    <row r="172" spans="7:27" ht="15" customHeight="1" x14ac:dyDescent="0.25">
      <c r="G172" s="191" t="s">
        <v>217</v>
      </c>
      <c r="H172" s="191" t="s">
        <v>217</v>
      </c>
      <c r="I172" s="194"/>
      <c r="J172" s="194"/>
      <c r="K172" s="194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</row>
    <row r="173" spans="7:27" ht="15" customHeight="1" x14ac:dyDescent="0.25">
      <c r="G173" s="191" t="s">
        <v>217</v>
      </c>
      <c r="H173" s="191" t="s">
        <v>217</v>
      </c>
      <c r="I173" s="194"/>
      <c r="J173" s="194"/>
      <c r="K173" s="194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</row>
    <row r="174" spans="7:27" ht="15" customHeight="1" x14ac:dyDescent="0.25">
      <c r="G174" s="191" t="s">
        <v>217</v>
      </c>
      <c r="H174" s="191" t="s">
        <v>217</v>
      </c>
      <c r="I174" s="194"/>
      <c r="J174" s="194"/>
      <c r="K174" s="194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</row>
    <row r="175" spans="7:27" ht="15" customHeight="1" x14ac:dyDescent="0.25">
      <c r="G175" s="191" t="s">
        <v>217</v>
      </c>
      <c r="H175" s="191" t="s">
        <v>217</v>
      </c>
      <c r="I175" s="194"/>
      <c r="J175" s="194"/>
      <c r="K175" s="194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</row>
    <row r="176" spans="7:27" ht="15" customHeight="1" x14ac:dyDescent="0.25">
      <c r="G176" s="191" t="s">
        <v>217</v>
      </c>
      <c r="H176" s="191" t="s">
        <v>217</v>
      </c>
      <c r="I176" s="194"/>
      <c r="J176" s="194"/>
      <c r="K176" s="194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</row>
    <row r="177" spans="7:27" ht="15" customHeight="1" x14ac:dyDescent="0.25">
      <c r="G177" s="191" t="s">
        <v>217</v>
      </c>
      <c r="H177" s="191" t="s">
        <v>217</v>
      </c>
      <c r="I177" s="194"/>
      <c r="J177" s="194"/>
      <c r="K177" s="194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  <c r="AA177" s="153"/>
    </row>
    <row r="178" spans="7:27" ht="15" customHeight="1" x14ac:dyDescent="0.25">
      <c r="G178" s="191" t="s">
        <v>217</v>
      </c>
      <c r="H178" s="191" t="s">
        <v>217</v>
      </c>
      <c r="I178" s="194"/>
      <c r="J178" s="194"/>
      <c r="K178" s="194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  <c r="AA178" s="153"/>
    </row>
    <row r="179" spans="7:27" ht="15" customHeight="1" x14ac:dyDescent="0.25">
      <c r="G179" s="191" t="s">
        <v>217</v>
      </c>
      <c r="H179" s="191" t="s">
        <v>217</v>
      </c>
      <c r="I179" s="194"/>
      <c r="J179" s="194"/>
      <c r="K179" s="194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</row>
    <row r="180" spans="7:27" ht="15" customHeight="1" x14ac:dyDescent="0.25">
      <c r="G180" s="191" t="s">
        <v>217</v>
      </c>
      <c r="H180" s="191" t="s">
        <v>217</v>
      </c>
      <c r="I180" s="194"/>
      <c r="J180" s="194"/>
      <c r="K180" s="194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</row>
    <row r="181" spans="7:27" ht="15" customHeight="1" x14ac:dyDescent="0.25">
      <c r="G181" s="191" t="s">
        <v>217</v>
      </c>
      <c r="H181" s="191" t="s">
        <v>217</v>
      </c>
      <c r="I181" s="194"/>
      <c r="J181" s="194"/>
      <c r="K181" s="194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</row>
    <row r="182" spans="7:27" ht="15" customHeight="1" x14ac:dyDescent="0.25">
      <c r="G182" s="191" t="s">
        <v>217</v>
      </c>
      <c r="H182" s="191" t="s">
        <v>217</v>
      </c>
      <c r="I182" s="194"/>
      <c r="J182" s="194"/>
      <c r="K182" s="194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  <c r="AA182" s="153"/>
    </row>
    <row r="183" spans="7:27" ht="15" customHeight="1" x14ac:dyDescent="0.25">
      <c r="G183" s="191" t="s">
        <v>217</v>
      </c>
      <c r="H183" s="191" t="s">
        <v>217</v>
      </c>
      <c r="I183" s="194"/>
      <c r="J183" s="194"/>
      <c r="K183" s="194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153"/>
    </row>
    <row r="184" spans="7:27" ht="15" customHeight="1" x14ac:dyDescent="0.25">
      <c r="G184" s="191" t="s">
        <v>217</v>
      </c>
      <c r="H184" s="191" t="s">
        <v>217</v>
      </c>
      <c r="I184" s="194"/>
      <c r="J184" s="194"/>
      <c r="K184" s="194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153"/>
    </row>
    <row r="185" spans="7:27" ht="15" customHeight="1" x14ac:dyDescent="0.25">
      <c r="G185" s="191" t="s">
        <v>217</v>
      </c>
      <c r="H185" s="191" t="s">
        <v>217</v>
      </c>
      <c r="I185" s="194"/>
      <c r="J185" s="194"/>
      <c r="K185" s="194"/>
      <c r="M185" s="153"/>
      <c r="N185" s="153"/>
      <c r="O185" s="153"/>
      <c r="P185" s="153"/>
      <c r="Q185" s="153"/>
      <c r="R185" s="153"/>
      <c r="S185" s="153"/>
      <c r="T185" s="153"/>
      <c r="U185" s="153"/>
      <c r="V185" s="153"/>
      <c r="W185" s="153"/>
      <c r="X185" s="153"/>
      <c r="Y185" s="153"/>
      <c r="Z185" s="153"/>
      <c r="AA185" s="153"/>
    </row>
    <row r="186" spans="7:27" ht="15" customHeight="1" x14ac:dyDescent="0.25">
      <c r="G186" s="191" t="s">
        <v>217</v>
      </c>
      <c r="H186" s="191" t="s">
        <v>217</v>
      </c>
      <c r="I186" s="194"/>
      <c r="J186" s="194"/>
      <c r="K186" s="194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</row>
    <row r="187" spans="7:27" ht="15" customHeight="1" x14ac:dyDescent="0.25">
      <c r="G187" s="191" t="s">
        <v>217</v>
      </c>
      <c r="H187" s="191" t="s">
        <v>217</v>
      </c>
      <c r="I187" s="194"/>
      <c r="J187" s="194"/>
      <c r="K187" s="194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</row>
    <row r="188" spans="7:27" ht="15" customHeight="1" x14ac:dyDescent="0.25">
      <c r="G188" s="191" t="s">
        <v>217</v>
      </c>
      <c r="H188" s="191" t="s">
        <v>217</v>
      </c>
      <c r="I188" s="194"/>
      <c r="J188" s="194"/>
      <c r="K188" s="194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</row>
    <row r="189" spans="7:27" ht="15" customHeight="1" x14ac:dyDescent="0.25">
      <c r="G189" s="191" t="s">
        <v>217</v>
      </c>
      <c r="H189" s="191" t="s">
        <v>217</v>
      </c>
      <c r="I189" s="194"/>
      <c r="J189" s="194"/>
      <c r="K189" s="194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</row>
    <row r="190" spans="7:27" ht="15" customHeight="1" x14ac:dyDescent="0.25">
      <c r="G190" s="191" t="s">
        <v>217</v>
      </c>
      <c r="H190" s="191" t="s">
        <v>217</v>
      </c>
      <c r="I190" s="194"/>
      <c r="J190" s="194"/>
      <c r="K190" s="194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</row>
    <row r="191" spans="7:27" ht="15" customHeight="1" x14ac:dyDescent="0.25">
      <c r="G191" s="191" t="s">
        <v>217</v>
      </c>
      <c r="H191" s="191" t="s">
        <v>217</v>
      </c>
      <c r="I191" s="194"/>
      <c r="J191" s="194"/>
      <c r="K191" s="194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</row>
    <row r="192" spans="7:27" ht="15" customHeight="1" x14ac:dyDescent="0.25">
      <c r="G192" s="191" t="s">
        <v>217</v>
      </c>
      <c r="H192" s="191" t="s">
        <v>217</v>
      </c>
      <c r="I192" s="194"/>
      <c r="J192" s="194"/>
      <c r="K192" s="194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</row>
    <row r="193" spans="7:27" ht="15" customHeight="1" x14ac:dyDescent="0.25">
      <c r="G193" s="191" t="s">
        <v>217</v>
      </c>
      <c r="H193" s="191" t="s">
        <v>217</v>
      </c>
      <c r="I193" s="194"/>
      <c r="J193" s="194"/>
      <c r="K193" s="194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</row>
    <row r="194" spans="7:27" ht="15" customHeight="1" x14ac:dyDescent="0.25">
      <c r="G194" s="191" t="s">
        <v>217</v>
      </c>
      <c r="H194" s="191" t="s">
        <v>217</v>
      </c>
      <c r="I194" s="194"/>
      <c r="J194" s="194"/>
      <c r="K194" s="194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</row>
    <row r="195" spans="7:27" ht="15" customHeight="1" x14ac:dyDescent="0.25">
      <c r="G195" s="191" t="s">
        <v>217</v>
      </c>
      <c r="H195" s="191" t="s">
        <v>217</v>
      </c>
      <c r="I195" s="194"/>
      <c r="J195" s="194"/>
      <c r="K195" s="194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  <c r="AA195" s="153"/>
    </row>
    <row r="196" spans="7:27" ht="15" customHeight="1" x14ac:dyDescent="0.25">
      <c r="G196" s="191" t="s">
        <v>217</v>
      </c>
      <c r="H196" s="191" t="s">
        <v>217</v>
      </c>
      <c r="I196" s="194"/>
      <c r="J196" s="194"/>
      <c r="K196" s="194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53"/>
      <c r="Y196" s="153"/>
      <c r="Z196" s="153"/>
      <c r="AA196" s="153"/>
    </row>
    <row r="197" spans="7:27" ht="15" customHeight="1" x14ac:dyDescent="0.25">
      <c r="G197" s="191" t="s">
        <v>217</v>
      </c>
      <c r="H197" s="191" t="s">
        <v>217</v>
      </c>
      <c r="I197" s="194"/>
      <c r="J197" s="194"/>
      <c r="K197" s="194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53"/>
      <c r="Y197" s="153"/>
      <c r="Z197" s="153"/>
      <c r="AA197" s="153"/>
    </row>
    <row r="198" spans="7:27" ht="15" customHeight="1" x14ac:dyDescent="0.25">
      <c r="G198" s="191" t="s">
        <v>217</v>
      </c>
      <c r="H198" s="191" t="s">
        <v>217</v>
      </c>
      <c r="I198" s="194"/>
      <c r="J198" s="194"/>
      <c r="K198" s="194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  <c r="AA198" s="153"/>
    </row>
    <row r="199" spans="7:27" ht="15" customHeight="1" x14ac:dyDescent="0.25">
      <c r="G199" s="191" t="s">
        <v>217</v>
      </c>
      <c r="H199" s="191" t="s">
        <v>217</v>
      </c>
      <c r="I199" s="194"/>
      <c r="J199" s="194"/>
      <c r="K199" s="194"/>
      <c r="M199" s="153"/>
      <c r="N199" s="153"/>
      <c r="O199" s="153"/>
      <c r="P199" s="153"/>
      <c r="Q199" s="153"/>
      <c r="R199" s="153"/>
      <c r="S199" s="153"/>
      <c r="T199" s="153"/>
      <c r="U199" s="153"/>
      <c r="V199" s="153"/>
      <c r="W199" s="153"/>
      <c r="X199" s="153"/>
      <c r="Y199" s="153"/>
      <c r="Z199" s="153"/>
      <c r="AA199" s="153"/>
    </row>
    <row r="200" spans="7:27" ht="15" customHeight="1" x14ac:dyDescent="0.25">
      <c r="G200" s="191" t="s">
        <v>217</v>
      </c>
      <c r="H200" s="191" t="s">
        <v>217</v>
      </c>
      <c r="I200" s="194"/>
      <c r="J200" s="194"/>
      <c r="K200" s="194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  <c r="AA200" s="153"/>
    </row>
    <row r="201" spans="7:27" ht="15" customHeight="1" x14ac:dyDescent="0.25">
      <c r="G201" s="191" t="s">
        <v>217</v>
      </c>
      <c r="H201" s="191" t="s">
        <v>217</v>
      </c>
      <c r="I201" s="194"/>
      <c r="J201" s="194"/>
      <c r="K201" s="194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53"/>
      <c r="Y201" s="153"/>
      <c r="Z201" s="153"/>
      <c r="AA201" s="153"/>
    </row>
    <row r="202" spans="7:27" ht="15" customHeight="1" x14ac:dyDescent="0.25">
      <c r="G202" s="191" t="s">
        <v>217</v>
      </c>
      <c r="H202" s="191" t="s">
        <v>217</v>
      </c>
      <c r="I202" s="194"/>
      <c r="J202" s="194"/>
      <c r="K202" s="194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153"/>
    </row>
    <row r="203" spans="7:27" ht="15" customHeight="1" x14ac:dyDescent="0.25">
      <c r="G203" s="191" t="s">
        <v>217</v>
      </c>
      <c r="H203" s="191" t="s">
        <v>217</v>
      </c>
      <c r="I203" s="194"/>
      <c r="J203" s="194"/>
      <c r="K203" s="194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  <c r="Z203" s="153"/>
      <c r="AA203" s="153"/>
    </row>
    <row r="204" spans="7:27" ht="15" customHeight="1" x14ac:dyDescent="0.25">
      <c r="G204" s="191" t="s">
        <v>217</v>
      </c>
      <c r="H204" s="191" t="s">
        <v>217</v>
      </c>
      <c r="I204" s="194"/>
      <c r="J204" s="194"/>
      <c r="K204" s="194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  <c r="AA204" s="153"/>
    </row>
    <row r="205" spans="7:27" ht="15" customHeight="1" x14ac:dyDescent="0.25">
      <c r="G205" s="191" t="s">
        <v>217</v>
      </c>
      <c r="H205" s="191" t="s">
        <v>217</v>
      </c>
      <c r="I205" s="194"/>
      <c r="J205" s="194"/>
      <c r="K205" s="194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</row>
    <row r="206" spans="7:27" ht="15" customHeight="1" x14ac:dyDescent="0.25">
      <c r="G206" s="191" t="s">
        <v>217</v>
      </c>
      <c r="H206" s="191" t="s">
        <v>217</v>
      </c>
      <c r="I206" s="194"/>
      <c r="J206" s="194"/>
      <c r="K206" s="194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</row>
    <row r="207" spans="7:27" ht="15" customHeight="1" x14ac:dyDescent="0.25">
      <c r="G207" s="191" t="s">
        <v>217</v>
      </c>
      <c r="H207" s="191" t="s">
        <v>217</v>
      </c>
      <c r="I207" s="194"/>
      <c r="J207" s="194"/>
      <c r="K207" s="194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</row>
    <row r="208" spans="7:27" ht="15" customHeight="1" x14ac:dyDescent="0.25">
      <c r="G208" s="191" t="s">
        <v>217</v>
      </c>
      <c r="H208" s="191" t="s">
        <v>217</v>
      </c>
      <c r="I208" s="194"/>
      <c r="J208" s="194"/>
      <c r="K208" s="194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  <c r="AA208" s="153"/>
    </row>
    <row r="209" spans="7:27" ht="15" customHeight="1" x14ac:dyDescent="0.25">
      <c r="G209" s="191" t="s">
        <v>217</v>
      </c>
      <c r="H209" s="191" t="s">
        <v>217</v>
      </c>
      <c r="I209" s="194"/>
      <c r="J209" s="194"/>
      <c r="K209" s="194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  <c r="AA209" s="153"/>
    </row>
    <row r="210" spans="7:27" ht="15" customHeight="1" x14ac:dyDescent="0.25">
      <c r="G210" s="191" t="s">
        <v>217</v>
      </c>
      <c r="H210" s="191" t="s">
        <v>217</v>
      </c>
      <c r="I210" s="194"/>
      <c r="J210" s="194"/>
      <c r="K210" s="194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</row>
    <row r="211" spans="7:27" ht="15" customHeight="1" x14ac:dyDescent="0.25">
      <c r="G211" s="191" t="s">
        <v>217</v>
      </c>
      <c r="H211" s="191" t="s">
        <v>217</v>
      </c>
      <c r="I211" s="194"/>
      <c r="J211" s="194"/>
      <c r="K211" s="194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</row>
    <row r="212" spans="7:27" ht="15" customHeight="1" x14ac:dyDescent="0.25">
      <c r="G212" s="191" t="s">
        <v>217</v>
      </c>
      <c r="H212" s="191" t="s">
        <v>217</v>
      </c>
      <c r="I212" s="194"/>
      <c r="J212" s="194"/>
      <c r="K212" s="194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</row>
    <row r="213" spans="7:27" ht="15" customHeight="1" x14ac:dyDescent="0.25">
      <c r="G213" s="191" t="s">
        <v>217</v>
      </c>
      <c r="H213" s="191" t="s">
        <v>217</v>
      </c>
      <c r="I213" s="194"/>
      <c r="J213" s="194"/>
      <c r="K213" s="194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</row>
    <row r="214" spans="7:27" ht="15" customHeight="1" x14ac:dyDescent="0.25">
      <c r="G214" s="191" t="s">
        <v>217</v>
      </c>
      <c r="H214" s="191" t="s">
        <v>217</v>
      </c>
      <c r="I214" s="194"/>
      <c r="J214" s="194"/>
      <c r="K214" s="194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</row>
    <row r="215" spans="7:27" ht="15" customHeight="1" x14ac:dyDescent="0.25">
      <c r="G215" s="191" t="s">
        <v>217</v>
      </c>
      <c r="H215" s="191" t="s">
        <v>217</v>
      </c>
      <c r="I215" s="194"/>
      <c r="J215" s="194"/>
      <c r="K215" s="194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</row>
    <row r="216" spans="7:27" ht="15" customHeight="1" x14ac:dyDescent="0.25">
      <c r="G216" s="191" t="s">
        <v>217</v>
      </c>
      <c r="H216" s="191" t="s">
        <v>217</v>
      </c>
      <c r="I216" s="194"/>
      <c r="J216" s="194"/>
      <c r="K216" s="194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</row>
    <row r="217" spans="7:27" ht="15" customHeight="1" x14ac:dyDescent="0.25">
      <c r="G217" s="191" t="s">
        <v>217</v>
      </c>
      <c r="H217" s="191" t="s">
        <v>217</v>
      </c>
      <c r="I217" s="194"/>
      <c r="J217" s="194"/>
      <c r="K217" s="194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</row>
    <row r="218" spans="7:27" ht="15" customHeight="1" x14ac:dyDescent="0.25">
      <c r="G218" s="191" t="s">
        <v>217</v>
      </c>
      <c r="H218" s="191" t="s">
        <v>217</v>
      </c>
      <c r="I218" s="194"/>
      <c r="J218" s="194"/>
      <c r="K218" s="194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153"/>
    </row>
    <row r="219" spans="7:27" ht="15" customHeight="1" x14ac:dyDescent="0.25">
      <c r="G219" s="191" t="s">
        <v>217</v>
      </c>
      <c r="H219" s="191" t="s">
        <v>217</v>
      </c>
      <c r="I219" s="194"/>
      <c r="J219" s="194"/>
      <c r="K219" s="194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</row>
    <row r="220" spans="7:27" ht="15" customHeight="1" x14ac:dyDescent="0.25">
      <c r="G220" s="191" t="s">
        <v>217</v>
      </c>
      <c r="H220" s="191" t="s">
        <v>217</v>
      </c>
      <c r="I220" s="194"/>
      <c r="J220" s="194"/>
      <c r="K220" s="194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  <c r="AA220" s="153"/>
    </row>
    <row r="221" spans="7:27" ht="15" customHeight="1" x14ac:dyDescent="0.25">
      <c r="G221" s="191" t="s">
        <v>217</v>
      </c>
      <c r="H221" s="191" t="s">
        <v>217</v>
      </c>
      <c r="I221" s="194"/>
      <c r="J221" s="194"/>
      <c r="K221" s="194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  <c r="AA221" s="153"/>
    </row>
    <row r="222" spans="7:27" ht="15" customHeight="1" x14ac:dyDescent="0.25">
      <c r="G222" s="191" t="s">
        <v>217</v>
      </c>
      <c r="H222" s="191" t="s">
        <v>217</v>
      </c>
      <c r="I222" s="194"/>
      <c r="J222" s="194"/>
      <c r="K222" s="194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  <c r="AA222" s="153"/>
    </row>
    <row r="223" spans="7:27" ht="15" customHeight="1" x14ac:dyDescent="0.25">
      <c r="G223" s="191" t="s">
        <v>217</v>
      </c>
      <c r="H223" s="191" t="s">
        <v>217</v>
      </c>
      <c r="I223" s="194"/>
      <c r="J223" s="194"/>
      <c r="K223" s="194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153"/>
    </row>
    <row r="224" spans="7:27" ht="15" customHeight="1" x14ac:dyDescent="0.25">
      <c r="G224" s="191" t="s">
        <v>217</v>
      </c>
      <c r="H224" s="191" t="s">
        <v>217</v>
      </c>
      <c r="I224" s="194"/>
      <c r="J224" s="194"/>
      <c r="K224" s="194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153"/>
    </row>
    <row r="225" spans="7:27" ht="15" customHeight="1" x14ac:dyDescent="0.25">
      <c r="G225" s="191" t="s">
        <v>217</v>
      </c>
      <c r="H225" s="191" t="s">
        <v>217</v>
      </c>
      <c r="I225" s="194"/>
      <c r="J225" s="194"/>
      <c r="K225" s="194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  <c r="AA225" s="153"/>
    </row>
    <row r="226" spans="7:27" ht="15" customHeight="1" x14ac:dyDescent="0.25">
      <c r="G226" s="191" t="s">
        <v>217</v>
      </c>
      <c r="H226" s="191" t="s">
        <v>217</v>
      </c>
      <c r="I226" s="194"/>
      <c r="J226" s="194"/>
      <c r="K226" s="194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</row>
    <row r="227" spans="7:27" ht="15" customHeight="1" x14ac:dyDescent="0.25">
      <c r="G227" s="191" t="s">
        <v>217</v>
      </c>
      <c r="H227" s="191" t="s">
        <v>217</v>
      </c>
      <c r="I227" s="194"/>
      <c r="J227" s="194"/>
      <c r="K227" s="194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153"/>
    </row>
    <row r="228" spans="7:27" ht="15" customHeight="1" x14ac:dyDescent="0.25">
      <c r="G228" s="191" t="s">
        <v>217</v>
      </c>
      <c r="H228" s="191" t="s">
        <v>217</v>
      </c>
      <c r="I228" s="194"/>
      <c r="J228" s="194"/>
      <c r="K228" s="194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</row>
    <row r="229" spans="7:27" ht="15" customHeight="1" x14ac:dyDescent="0.25">
      <c r="G229" s="191" t="s">
        <v>217</v>
      </c>
      <c r="H229" s="191" t="s">
        <v>217</v>
      </c>
      <c r="I229" s="194"/>
      <c r="J229" s="194"/>
      <c r="K229" s="194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</row>
    <row r="230" spans="7:27" ht="15" customHeight="1" x14ac:dyDescent="0.25">
      <c r="G230" s="191" t="s">
        <v>217</v>
      </c>
      <c r="H230" s="191" t="s">
        <v>217</v>
      </c>
      <c r="I230" s="194"/>
      <c r="J230" s="194"/>
      <c r="K230" s="194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</row>
    <row r="231" spans="7:27" ht="15" customHeight="1" x14ac:dyDescent="0.25">
      <c r="G231" s="191" t="s">
        <v>217</v>
      </c>
      <c r="H231" s="191" t="s">
        <v>217</v>
      </c>
      <c r="I231" s="194"/>
      <c r="J231" s="194"/>
      <c r="K231" s="194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</row>
    <row r="232" spans="7:27" ht="15" customHeight="1" x14ac:dyDescent="0.25">
      <c r="G232" s="191" t="s">
        <v>217</v>
      </c>
      <c r="H232" s="191" t="s">
        <v>217</v>
      </c>
      <c r="I232" s="194"/>
      <c r="J232" s="194"/>
      <c r="K232" s="194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153"/>
    </row>
    <row r="233" spans="7:27" ht="15" customHeight="1" x14ac:dyDescent="0.25">
      <c r="G233" s="191" t="s">
        <v>217</v>
      </c>
      <c r="H233" s="191" t="s">
        <v>217</v>
      </c>
      <c r="I233" s="194"/>
      <c r="J233" s="194"/>
      <c r="K233" s="194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  <c r="AA233" s="153"/>
    </row>
    <row r="234" spans="7:27" ht="15" customHeight="1" x14ac:dyDescent="0.25">
      <c r="G234" s="191" t="s">
        <v>217</v>
      </c>
      <c r="H234" s="191" t="s">
        <v>217</v>
      </c>
      <c r="I234" s="194"/>
      <c r="J234" s="194"/>
      <c r="K234" s="194"/>
      <c r="M234" s="153"/>
      <c r="N234" s="153"/>
      <c r="O234" s="153"/>
      <c r="P234" s="153"/>
      <c r="Q234" s="153"/>
      <c r="R234" s="153"/>
      <c r="S234" s="153"/>
      <c r="T234" s="153"/>
      <c r="U234" s="153"/>
      <c r="V234" s="153"/>
      <c r="W234" s="153"/>
      <c r="X234" s="153"/>
      <c r="Y234" s="153"/>
      <c r="Z234" s="153"/>
      <c r="AA234" s="153"/>
    </row>
    <row r="235" spans="7:27" ht="15" customHeight="1" x14ac:dyDescent="0.25">
      <c r="G235" s="191" t="s">
        <v>217</v>
      </c>
      <c r="H235" s="191" t="s">
        <v>217</v>
      </c>
      <c r="I235" s="194"/>
      <c r="J235" s="194"/>
      <c r="K235" s="194"/>
      <c r="M235" s="153"/>
      <c r="N235" s="153"/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  <c r="AA235" s="153"/>
    </row>
    <row r="236" spans="7:27" ht="15" customHeight="1" x14ac:dyDescent="0.25">
      <c r="G236" s="191" t="s">
        <v>217</v>
      </c>
      <c r="H236" s="191" t="s">
        <v>217</v>
      </c>
      <c r="I236" s="194"/>
      <c r="J236" s="194"/>
      <c r="K236" s="194"/>
      <c r="M236" s="153"/>
      <c r="N236" s="153"/>
      <c r="O236" s="153"/>
      <c r="P236" s="153"/>
      <c r="Q236" s="153"/>
      <c r="R236" s="153"/>
      <c r="S236" s="153"/>
      <c r="T236" s="153"/>
      <c r="U236" s="153"/>
      <c r="V236" s="153"/>
      <c r="W236" s="153"/>
      <c r="X236" s="153"/>
      <c r="Y236" s="153"/>
      <c r="Z236" s="153"/>
      <c r="AA236" s="153"/>
    </row>
    <row r="237" spans="7:27" ht="15" customHeight="1" x14ac:dyDescent="0.25">
      <c r="G237" s="191" t="s">
        <v>217</v>
      </c>
      <c r="H237" s="191" t="s">
        <v>217</v>
      </c>
      <c r="I237" s="194"/>
      <c r="J237" s="194"/>
      <c r="K237" s="194"/>
      <c r="M237" s="153"/>
      <c r="N237" s="153"/>
      <c r="O237" s="153"/>
      <c r="P237" s="153"/>
      <c r="Q237" s="153"/>
      <c r="R237" s="153"/>
      <c r="S237" s="153"/>
      <c r="T237" s="153"/>
      <c r="U237" s="153"/>
      <c r="V237" s="153"/>
      <c r="W237" s="153"/>
      <c r="X237" s="153"/>
      <c r="Y237" s="153"/>
      <c r="Z237" s="153"/>
      <c r="AA237" s="153"/>
    </row>
    <row r="238" spans="7:27" ht="15" customHeight="1" x14ac:dyDescent="0.25">
      <c r="G238" s="191" t="s">
        <v>217</v>
      </c>
      <c r="H238" s="191" t="s">
        <v>217</v>
      </c>
      <c r="I238" s="194"/>
      <c r="J238" s="194"/>
      <c r="K238" s="194"/>
      <c r="M238" s="153"/>
      <c r="N238" s="153"/>
      <c r="O238" s="153"/>
      <c r="P238" s="153"/>
      <c r="Q238" s="153"/>
      <c r="R238" s="153"/>
      <c r="S238" s="153"/>
      <c r="T238" s="153"/>
      <c r="U238" s="153"/>
      <c r="V238" s="153"/>
      <c r="W238" s="153"/>
      <c r="X238" s="153"/>
      <c r="Y238" s="153"/>
      <c r="Z238" s="153"/>
      <c r="AA238" s="153"/>
    </row>
    <row r="239" spans="7:27" ht="15" customHeight="1" x14ac:dyDescent="0.25">
      <c r="G239" s="191" t="s">
        <v>217</v>
      </c>
      <c r="H239" s="191" t="s">
        <v>217</v>
      </c>
      <c r="I239" s="194"/>
      <c r="J239" s="194"/>
      <c r="K239" s="194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  <c r="AA239" s="153"/>
    </row>
    <row r="240" spans="7:27" ht="15" customHeight="1" x14ac:dyDescent="0.25">
      <c r="G240" s="191" t="s">
        <v>217</v>
      </c>
      <c r="H240" s="191" t="s">
        <v>217</v>
      </c>
      <c r="I240" s="194"/>
      <c r="J240" s="194"/>
      <c r="K240" s="194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</row>
    <row r="241" spans="7:27" ht="15" customHeight="1" x14ac:dyDescent="0.25">
      <c r="G241" s="191" t="s">
        <v>217</v>
      </c>
      <c r="H241" s="191" t="s">
        <v>217</v>
      </c>
      <c r="I241" s="194"/>
      <c r="J241" s="194"/>
      <c r="K241" s="194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</row>
    <row r="242" spans="7:27" ht="15" customHeight="1" x14ac:dyDescent="0.25">
      <c r="G242" s="191" t="s">
        <v>217</v>
      </c>
      <c r="H242" s="191" t="s">
        <v>217</v>
      </c>
      <c r="I242" s="194"/>
      <c r="J242" s="194"/>
      <c r="K242" s="194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</row>
    <row r="243" spans="7:27" ht="15" customHeight="1" x14ac:dyDescent="0.25">
      <c r="G243" s="191" t="s">
        <v>217</v>
      </c>
      <c r="H243" s="191" t="s">
        <v>217</v>
      </c>
      <c r="I243" s="194"/>
      <c r="J243" s="194"/>
      <c r="K243" s="194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</row>
    <row r="244" spans="7:27" ht="15" customHeight="1" x14ac:dyDescent="0.25">
      <c r="G244" s="191" t="s">
        <v>217</v>
      </c>
      <c r="H244" s="191" t="s">
        <v>217</v>
      </c>
      <c r="I244" s="194"/>
      <c r="J244" s="194"/>
      <c r="K244" s="194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</row>
    <row r="245" spans="7:27" ht="15" customHeight="1" x14ac:dyDescent="0.25">
      <c r="G245" s="191" t="s">
        <v>217</v>
      </c>
      <c r="H245" s="191" t="s">
        <v>217</v>
      </c>
      <c r="I245" s="194"/>
      <c r="J245" s="194"/>
      <c r="K245" s="194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</row>
    <row r="246" spans="7:27" ht="15" customHeight="1" x14ac:dyDescent="0.25">
      <c r="G246" s="191" t="s">
        <v>217</v>
      </c>
      <c r="H246" s="191" t="s">
        <v>217</v>
      </c>
      <c r="I246" s="194"/>
      <c r="J246" s="194"/>
      <c r="K246" s="194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</row>
    <row r="247" spans="7:27" ht="15" customHeight="1" x14ac:dyDescent="0.25">
      <c r="G247" s="191" t="s">
        <v>217</v>
      </c>
      <c r="H247" s="191" t="s">
        <v>217</v>
      </c>
      <c r="I247" s="194"/>
      <c r="J247" s="194"/>
      <c r="K247" s="194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</row>
    <row r="248" spans="7:27" ht="15" customHeight="1" x14ac:dyDescent="0.25">
      <c r="G248" s="191" t="s">
        <v>217</v>
      </c>
      <c r="H248" s="191" t="s">
        <v>217</v>
      </c>
      <c r="I248" s="194"/>
      <c r="J248" s="194"/>
      <c r="K248" s="194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</row>
    <row r="249" spans="7:27" ht="15" customHeight="1" x14ac:dyDescent="0.25">
      <c r="G249" s="191" t="s">
        <v>217</v>
      </c>
      <c r="H249" s="191" t="s">
        <v>217</v>
      </c>
      <c r="I249" s="194"/>
      <c r="J249" s="194"/>
      <c r="K249" s="194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Z249" s="153"/>
      <c r="AA249" s="153"/>
    </row>
    <row r="250" spans="7:27" ht="15" customHeight="1" x14ac:dyDescent="0.25">
      <c r="G250" s="191" t="s">
        <v>217</v>
      </c>
      <c r="H250" s="191" t="s">
        <v>217</v>
      </c>
      <c r="I250" s="194"/>
      <c r="J250" s="194"/>
      <c r="K250" s="194"/>
      <c r="M250" s="153"/>
      <c r="N250" s="153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  <c r="AA250" s="153"/>
    </row>
    <row r="251" spans="7:27" ht="15" customHeight="1" x14ac:dyDescent="0.25">
      <c r="G251" s="191" t="s">
        <v>217</v>
      </c>
      <c r="H251" s="191" t="s">
        <v>217</v>
      </c>
      <c r="I251" s="194"/>
      <c r="J251" s="194"/>
      <c r="K251" s="194"/>
      <c r="M251" s="153"/>
      <c r="N251" s="153"/>
      <c r="O251" s="153"/>
      <c r="P251" s="153"/>
      <c r="Q251" s="153"/>
      <c r="R251" s="153"/>
      <c r="S251" s="153"/>
      <c r="T251" s="153"/>
      <c r="U251" s="153"/>
      <c r="V251" s="153"/>
      <c r="W251" s="153"/>
      <c r="X251" s="153"/>
      <c r="Y251" s="153"/>
      <c r="Z251" s="153"/>
      <c r="AA251" s="153"/>
    </row>
    <row r="252" spans="7:27" ht="15" customHeight="1" x14ac:dyDescent="0.25">
      <c r="G252" s="191" t="s">
        <v>217</v>
      </c>
      <c r="H252" s="191" t="s">
        <v>217</v>
      </c>
      <c r="I252" s="194"/>
      <c r="J252" s="194"/>
      <c r="K252" s="194"/>
      <c r="M252" s="153"/>
      <c r="N252" s="153"/>
      <c r="O252" s="153"/>
      <c r="P252" s="153"/>
      <c r="Q252" s="153"/>
      <c r="R252" s="153"/>
      <c r="S252" s="153"/>
      <c r="T252" s="153"/>
      <c r="U252" s="153"/>
      <c r="V252" s="153"/>
      <c r="W252" s="153"/>
      <c r="X252" s="153"/>
      <c r="Y252" s="153"/>
      <c r="Z252" s="153"/>
      <c r="AA252" s="153"/>
    </row>
    <row r="253" spans="7:27" ht="15" customHeight="1" x14ac:dyDescent="0.25">
      <c r="G253" s="191" t="s">
        <v>217</v>
      </c>
      <c r="H253" s="191" t="s">
        <v>217</v>
      </c>
      <c r="I253" s="194"/>
      <c r="J253" s="194"/>
      <c r="K253" s="194"/>
      <c r="M253" s="153"/>
      <c r="N253" s="153"/>
      <c r="O253" s="153"/>
      <c r="P253" s="153"/>
      <c r="Q253" s="153"/>
      <c r="R253" s="153"/>
      <c r="S253" s="153"/>
      <c r="T253" s="153"/>
      <c r="U253" s="153"/>
      <c r="V253" s="153"/>
      <c r="W253" s="153"/>
      <c r="X253" s="153"/>
      <c r="Y253" s="153"/>
      <c r="Z253" s="153"/>
      <c r="AA253" s="153"/>
    </row>
    <row r="254" spans="7:27" ht="15" customHeight="1" x14ac:dyDescent="0.25">
      <c r="G254" s="191" t="s">
        <v>217</v>
      </c>
      <c r="H254" s="191" t="s">
        <v>217</v>
      </c>
      <c r="M254" s="153"/>
      <c r="N254" s="153"/>
      <c r="O254" s="153"/>
      <c r="P254" s="153"/>
      <c r="Q254" s="153"/>
      <c r="R254" s="153"/>
      <c r="S254" s="153"/>
      <c r="T254" s="153"/>
      <c r="U254" s="153"/>
      <c r="V254" s="153"/>
      <c r="W254" s="153"/>
      <c r="X254" s="153"/>
      <c r="Y254" s="153"/>
      <c r="Z254" s="153"/>
      <c r="AA254" s="153"/>
    </row>
    <row r="255" spans="7:27" ht="15" customHeight="1" x14ac:dyDescent="0.25">
      <c r="G255" s="191" t="s">
        <v>217</v>
      </c>
      <c r="H255" s="191" t="s">
        <v>217</v>
      </c>
      <c r="M255" s="153"/>
      <c r="N255" s="153"/>
      <c r="O255" s="153"/>
      <c r="P255" s="153"/>
      <c r="Q255" s="153"/>
      <c r="R255" s="153"/>
      <c r="S255" s="153"/>
      <c r="T255" s="153"/>
      <c r="U255" s="153"/>
      <c r="V255" s="153"/>
      <c r="W255" s="153"/>
      <c r="X255" s="153"/>
      <c r="Y255" s="153"/>
      <c r="Z255" s="153"/>
      <c r="AA255" s="153"/>
    </row>
    <row r="256" spans="7:27" ht="15" customHeight="1" x14ac:dyDescent="0.25">
      <c r="G256" s="191" t="s">
        <v>217</v>
      </c>
      <c r="H256" s="191" t="s">
        <v>217</v>
      </c>
      <c r="M256" s="153"/>
      <c r="N256" s="153"/>
      <c r="O256" s="153"/>
      <c r="P256" s="153"/>
      <c r="Q256" s="153"/>
      <c r="R256" s="153"/>
      <c r="S256" s="153"/>
      <c r="T256" s="153"/>
      <c r="U256" s="153"/>
      <c r="V256" s="153"/>
      <c r="W256" s="153"/>
      <c r="X256" s="153"/>
      <c r="Y256" s="153"/>
      <c r="Z256" s="153"/>
      <c r="AA256" s="153"/>
    </row>
    <row r="257" spans="7:27" ht="15" customHeight="1" x14ac:dyDescent="0.25">
      <c r="G257" s="191" t="s">
        <v>217</v>
      </c>
      <c r="H257" s="191" t="s">
        <v>217</v>
      </c>
      <c r="M257" s="153"/>
      <c r="N257" s="153"/>
      <c r="O257" s="153"/>
      <c r="P257" s="153"/>
      <c r="Q257" s="153"/>
      <c r="R257" s="153"/>
      <c r="S257" s="153"/>
      <c r="T257" s="153"/>
      <c r="U257" s="153"/>
      <c r="V257" s="153"/>
      <c r="W257" s="153"/>
      <c r="X257" s="153"/>
      <c r="Y257" s="153"/>
      <c r="Z257" s="153"/>
      <c r="AA257" s="153"/>
    </row>
    <row r="258" spans="7:27" ht="15" customHeight="1" x14ac:dyDescent="0.25">
      <c r="G258" s="191" t="s">
        <v>217</v>
      </c>
      <c r="H258" s="191" t="s">
        <v>217</v>
      </c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  <c r="AA258" s="153"/>
    </row>
    <row r="259" spans="7:27" ht="15" customHeight="1" x14ac:dyDescent="0.25">
      <c r="G259" s="191" t="s">
        <v>217</v>
      </c>
      <c r="H259" s="191" t="s">
        <v>217</v>
      </c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  <c r="AA259" s="153"/>
    </row>
    <row r="260" spans="7:27" ht="15" customHeight="1" x14ac:dyDescent="0.25">
      <c r="G260" s="191" t="s">
        <v>217</v>
      </c>
      <c r="H260" s="191" t="s">
        <v>217</v>
      </c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</row>
    <row r="261" spans="7:27" ht="15" customHeight="1" x14ac:dyDescent="0.25">
      <c r="G261" s="191" t="s">
        <v>217</v>
      </c>
      <c r="H261" s="191" t="s">
        <v>217</v>
      </c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153"/>
    </row>
    <row r="262" spans="7:27" ht="15" customHeight="1" x14ac:dyDescent="0.25">
      <c r="G262" s="191" t="s">
        <v>217</v>
      </c>
      <c r="H262" s="191" t="s">
        <v>217</v>
      </c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153"/>
    </row>
    <row r="263" spans="7:27" ht="15" customHeight="1" x14ac:dyDescent="0.25">
      <c r="G263" s="191" t="s">
        <v>217</v>
      </c>
      <c r="H263" s="191" t="s">
        <v>217</v>
      </c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  <c r="AA263" s="153"/>
    </row>
    <row r="264" spans="7:27" ht="15" customHeight="1" x14ac:dyDescent="0.25">
      <c r="G264" s="191" t="s">
        <v>217</v>
      </c>
      <c r="H264" s="191" t="s">
        <v>217</v>
      </c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  <c r="AA264" s="153"/>
    </row>
    <row r="265" spans="7:27" ht="15" customHeight="1" x14ac:dyDescent="0.25">
      <c r="G265" s="191" t="s">
        <v>217</v>
      </c>
      <c r="H265" s="191" t="s">
        <v>217</v>
      </c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  <c r="AA265" s="153"/>
    </row>
    <row r="266" spans="7:27" ht="15" customHeight="1" x14ac:dyDescent="0.25">
      <c r="G266" s="191" t="s">
        <v>217</v>
      </c>
      <c r="H266" s="191" t="s">
        <v>217</v>
      </c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  <c r="AA266" s="153"/>
    </row>
    <row r="267" spans="7:27" ht="15" customHeight="1" x14ac:dyDescent="0.25">
      <c r="G267" s="191" t="s">
        <v>217</v>
      </c>
      <c r="H267" s="191" t="s">
        <v>217</v>
      </c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  <c r="AA267" s="153"/>
    </row>
    <row r="268" spans="7:27" ht="15" customHeight="1" x14ac:dyDescent="0.25">
      <c r="G268" s="191" t="s">
        <v>217</v>
      </c>
      <c r="H268" s="191" t="s">
        <v>217</v>
      </c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  <c r="AA268" s="153"/>
    </row>
    <row r="269" spans="7:27" ht="15" customHeight="1" x14ac:dyDescent="0.25">
      <c r="G269" s="191" t="s">
        <v>217</v>
      </c>
      <c r="H269" s="191" t="s">
        <v>217</v>
      </c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153"/>
    </row>
    <row r="270" spans="7:27" ht="15" customHeight="1" x14ac:dyDescent="0.25">
      <c r="G270" s="191" t="s">
        <v>217</v>
      </c>
      <c r="H270" s="191" t="s">
        <v>217</v>
      </c>
      <c r="M270" s="153"/>
      <c r="N270" s="153"/>
      <c r="O270" s="153"/>
      <c r="P270" s="153"/>
      <c r="Q270" s="153"/>
      <c r="R270" s="153"/>
      <c r="S270" s="153"/>
      <c r="T270" s="153"/>
      <c r="U270" s="153"/>
      <c r="V270" s="153"/>
      <c r="W270" s="153"/>
      <c r="X270" s="153"/>
      <c r="Y270" s="153"/>
      <c r="Z270" s="153"/>
      <c r="AA270" s="153"/>
    </row>
    <row r="271" spans="7:27" ht="15" customHeight="1" x14ac:dyDescent="0.25">
      <c r="G271" s="191" t="s">
        <v>217</v>
      </c>
      <c r="H271" s="191" t="s">
        <v>217</v>
      </c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  <c r="AA271" s="153"/>
    </row>
    <row r="272" spans="7:27" ht="15" customHeight="1" x14ac:dyDescent="0.25">
      <c r="G272" s="191" t="s">
        <v>217</v>
      </c>
      <c r="H272" s="191" t="s">
        <v>217</v>
      </c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  <c r="AA272" s="153"/>
    </row>
    <row r="273" spans="7:27" ht="15" customHeight="1" x14ac:dyDescent="0.25">
      <c r="G273" s="191" t="s">
        <v>217</v>
      </c>
      <c r="H273" s="191" t="s">
        <v>217</v>
      </c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  <c r="AA273" s="153"/>
    </row>
    <row r="274" spans="7:27" ht="15" customHeight="1" x14ac:dyDescent="0.25">
      <c r="G274" s="191" t="s">
        <v>217</v>
      </c>
      <c r="H274" s="191" t="s">
        <v>217</v>
      </c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  <c r="AA274" s="153"/>
    </row>
    <row r="275" spans="7:27" ht="15" customHeight="1" x14ac:dyDescent="0.25">
      <c r="G275" s="191" t="s">
        <v>217</v>
      </c>
      <c r="H275" s="191" t="s">
        <v>217</v>
      </c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  <c r="AA275" s="153"/>
    </row>
    <row r="276" spans="7:27" ht="15" customHeight="1" x14ac:dyDescent="0.25">
      <c r="G276" s="191" t="s">
        <v>217</v>
      </c>
      <c r="H276" s="191" t="s">
        <v>217</v>
      </c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</row>
    <row r="277" spans="7:27" ht="15" customHeight="1" x14ac:dyDescent="0.25">
      <c r="G277" s="191" t="s">
        <v>217</v>
      </c>
      <c r="H277" s="191" t="s">
        <v>217</v>
      </c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  <c r="AA277" s="153"/>
    </row>
    <row r="278" spans="7:27" ht="15" customHeight="1" x14ac:dyDescent="0.25">
      <c r="G278" s="191" t="s">
        <v>217</v>
      </c>
      <c r="H278" s="191" t="s">
        <v>217</v>
      </c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  <c r="AA278" s="153"/>
    </row>
    <row r="279" spans="7:27" ht="15" customHeight="1" x14ac:dyDescent="0.25">
      <c r="G279" s="191" t="s">
        <v>217</v>
      </c>
      <c r="H279" s="191" t="s">
        <v>217</v>
      </c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</row>
    <row r="280" spans="7:27" ht="15" customHeight="1" x14ac:dyDescent="0.25">
      <c r="G280" s="191" t="s">
        <v>217</v>
      </c>
      <c r="H280" s="191" t="s">
        <v>217</v>
      </c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</row>
    <row r="281" spans="7:27" ht="15" customHeight="1" x14ac:dyDescent="0.25">
      <c r="G281" s="191" t="s">
        <v>217</v>
      </c>
      <c r="H281" s="191" t="s">
        <v>217</v>
      </c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</row>
    <row r="282" spans="7:27" ht="15" customHeight="1" x14ac:dyDescent="0.25">
      <c r="G282" s="191" t="s">
        <v>217</v>
      </c>
      <c r="H282" s="191" t="s">
        <v>217</v>
      </c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</row>
    <row r="283" spans="7:27" ht="15" customHeight="1" x14ac:dyDescent="0.25">
      <c r="G283" s="191" t="s">
        <v>217</v>
      </c>
      <c r="H283" s="191" t="s">
        <v>217</v>
      </c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</row>
    <row r="284" spans="7:27" ht="15" customHeight="1" x14ac:dyDescent="0.25">
      <c r="G284" s="191" t="s">
        <v>217</v>
      </c>
      <c r="H284" s="191" t="s">
        <v>217</v>
      </c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</row>
    <row r="285" spans="7:27" ht="15" customHeight="1" x14ac:dyDescent="0.25">
      <c r="G285" s="191" t="s">
        <v>217</v>
      </c>
      <c r="H285" s="191" t="s">
        <v>217</v>
      </c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  <c r="AA285" s="153"/>
    </row>
    <row r="286" spans="7:27" ht="15" customHeight="1" x14ac:dyDescent="0.25">
      <c r="G286" s="191" t="s">
        <v>217</v>
      </c>
      <c r="H286" s="191" t="s">
        <v>217</v>
      </c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  <c r="AA286" s="153"/>
    </row>
    <row r="287" spans="7:27" ht="15" customHeight="1" x14ac:dyDescent="0.25">
      <c r="G287" s="191" t="s">
        <v>217</v>
      </c>
      <c r="H287" s="191" t="s">
        <v>217</v>
      </c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</row>
    <row r="288" spans="7:27" ht="15" customHeight="1" x14ac:dyDescent="0.25">
      <c r="G288" s="191" t="s">
        <v>217</v>
      </c>
      <c r="H288" s="191" t="s">
        <v>217</v>
      </c>
      <c r="M288" s="153"/>
      <c r="N288" s="153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  <c r="AA288" s="153"/>
    </row>
    <row r="289" spans="7:27" ht="15" customHeight="1" x14ac:dyDescent="0.25">
      <c r="G289" s="191" t="s">
        <v>217</v>
      </c>
      <c r="H289" s="191" t="s">
        <v>217</v>
      </c>
      <c r="M289" s="153"/>
      <c r="N289" s="153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Z289" s="153"/>
      <c r="AA289" s="153"/>
    </row>
    <row r="290" spans="7:27" ht="15" customHeight="1" x14ac:dyDescent="0.25">
      <c r="G290" s="191" t="s">
        <v>217</v>
      </c>
      <c r="H290" s="191" t="s">
        <v>217</v>
      </c>
      <c r="M290" s="153"/>
      <c r="N290" s="153"/>
      <c r="O290" s="153"/>
      <c r="P290" s="153"/>
      <c r="Q290" s="153"/>
      <c r="R290" s="153"/>
      <c r="S290" s="153"/>
      <c r="T290" s="153"/>
      <c r="U290" s="153"/>
      <c r="V290" s="153"/>
      <c r="W290" s="153"/>
      <c r="X290" s="153"/>
      <c r="Y290" s="153"/>
      <c r="Z290" s="153"/>
      <c r="AA290" s="153"/>
    </row>
    <row r="291" spans="7:27" ht="15" customHeight="1" x14ac:dyDescent="0.25">
      <c r="G291" s="191" t="s">
        <v>217</v>
      </c>
      <c r="H291" s="191" t="s">
        <v>217</v>
      </c>
      <c r="M291" s="153"/>
      <c r="N291" s="153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Z291" s="153"/>
      <c r="AA291" s="153"/>
    </row>
    <row r="292" spans="7:27" ht="15" customHeight="1" x14ac:dyDescent="0.25">
      <c r="G292" s="191" t="s">
        <v>217</v>
      </c>
      <c r="H292" s="191" t="s">
        <v>217</v>
      </c>
      <c r="M292" s="153"/>
      <c r="N292" s="153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  <c r="AA292" s="153"/>
    </row>
    <row r="293" spans="7:27" ht="15" customHeight="1" x14ac:dyDescent="0.25">
      <c r="G293" s="191" t="s">
        <v>217</v>
      </c>
      <c r="H293" s="191" t="s">
        <v>217</v>
      </c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  <c r="AA293" s="153"/>
    </row>
    <row r="294" spans="7:27" ht="15" customHeight="1" x14ac:dyDescent="0.25">
      <c r="G294" s="191" t="s">
        <v>217</v>
      </c>
      <c r="H294" s="191" t="s">
        <v>217</v>
      </c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</row>
    <row r="295" spans="7:27" ht="15" customHeight="1" x14ac:dyDescent="0.25">
      <c r="G295" s="191" t="s">
        <v>217</v>
      </c>
      <c r="H295" s="191" t="s">
        <v>217</v>
      </c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</row>
    <row r="296" spans="7:27" ht="15" customHeight="1" x14ac:dyDescent="0.25">
      <c r="G296" s="191" t="s">
        <v>217</v>
      </c>
      <c r="H296" s="191" t="s">
        <v>217</v>
      </c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</row>
    <row r="297" spans="7:27" ht="15" customHeight="1" x14ac:dyDescent="0.25">
      <c r="G297" s="191" t="s">
        <v>217</v>
      </c>
      <c r="H297" s="191" t="s">
        <v>217</v>
      </c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</row>
    <row r="298" spans="7:27" ht="15" customHeight="1" x14ac:dyDescent="0.25">
      <c r="G298" s="191" t="s">
        <v>217</v>
      </c>
      <c r="H298" s="191" t="s">
        <v>217</v>
      </c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</row>
    <row r="299" spans="7:27" ht="15" customHeight="1" x14ac:dyDescent="0.25">
      <c r="G299" s="191" t="s">
        <v>217</v>
      </c>
      <c r="H299" s="191" t="s">
        <v>217</v>
      </c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</row>
    <row r="300" spans="7:27" ht="15" customHeight="1" x14ac:dyDescent="0.25">
      <c r="G300" s="191" t="s">
        <v>217</v>
      </c>
      <c r="H300" s="191" t="s">
        <v>217</v>
      </c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</row>
    <row r="301" spans="7:27" ht="15" customHeight="1" x14ac:dyDescent="0.25">
      <c r="G301" s="191" t="s">
        <v>217</v>
      </c>
      <c r="H301" s="191" t="s">
        <v>217</v>
      </c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</row>
    <row r="302" spans="7:27" ht="15" customHeight="1" x14ac:dyDescent="0.25">
      <c r="G302" s="191" t="s">
        <v>217</v>
      </c>
      <c r="H302" s="191" t="s">
        <v>217</v>
      </c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</row>
    <row r="303" spans="7:27" ht="15" customHeight="1" x14ac:dyDescent="0.25">
      <c r="G303" s="191" t="s">
        <v>217</v>
      </c>
      <c r="H303" s="191" t="s">
        <v>217</v>
      </c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153"/>
    </row>
    <row r="304" spans="7:27" ht="15" customHeight="1" x14ac:dyDescent="0.25">
      <c r="G304" s="191" t="s">
        <v>217</v>
      </c>
      <c r="H304" s="191" t="s">
        <v>217</v>
      </c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  <c r="AA304" s="153"/>
    </row>
    <row r="305" spans="7:27" ht="15" customHeight="1" x14ac:dyDescent="0.25">
      <c r="G305" s="191" t="s">
        <v>217</v>
      </c>
      <c r="H305" s="191" t="s">
        <v>217</v>
      </c>
      <c r="M305" s="153"/>
      <c r="N305" s="153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  <c r="AA305" s="153"/>
    </row>
    <row r="306" spans="7:27" ht="15" customHeight="1" x14ac:dyDescent="0.25">
      <c r="G306" s="191" t="s">
        <v>217</v>
      </c>
      <c r="H306" s="191" t="s">
        <v>217</v>
      </c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153"/>
    </row>
    <row r="307" spans="7:27" ht="15" customHeight="1" x14ac:dyDescent="0.25">
      <c r="G307" s="191" t="s">
        <v>217</v>
      </c>
      <c r="H307" s="191" t="s">
        <v>217</v>
      </c>
      <c r="M307" s="153"/>
      <c r="N307" s="153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  <c r="AA307" s="153"/>
    </row>
    <row r="308" spans="7:27" ht="15" customHeight="1" x14ac:dyDescent="0.25">
      <c r="G308" s="191" t="s">
        <v>217</v>
      </c>
      <c r="H308" s="191" t="s">
        <v>217</v>
      </c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  <c r="AA308" s="153"/>
    </row>
    <row r="309" spans="7:27" ht="15" customHeight="1" x14ac:dyDescent="0.25">
      <c r="G309" s="191" t="s">
        <v>217</v>
      </c>
      <c r="H309" s="191" t="s">
        <v>217</v>
      </c>
      <c r="M309" s="153"/>
      <c r="N309" s="153"/>
      <c r="O309" s="153"/>
      <c r="P309" s="153"/>
      <c r="Q309" s="153"/>
      <c r="R309" s="153"/>
      <c r="S309" s="153"/>
      <c r="T309" s="153"/>
      <c r="U309" s="153"/>
      <c r="V309" s="153"/>
      <c r="W309" s="153"/>
      <c r="X309" s="153"/>
      <c r="Y309" s="153"/>
      <c r="Z309" s="153"/>
      <c r="AA309" s="153"/>
    </row>
    <row r="310" spans="7:27" ht="15" customHeight="1" x14ac:dyDescent="0.25">
      <c r="G310" s="191" t="s">
        <v>217</v>
      </c>
      <c r="H310" s="191" t="s">
        <v>217</v>
      </c>
      <c r="M310" s="153"/>
      <c r="N310" s="153"/>
      <c r="O310" s="153"/>
      <c r="P310" s="153"/>
      <c r="Q310" s="153"/>
      <c r="R310" s="153"/>
      <c r="S310" s="153"/>
      <c r="T310" s="153"/>
      <c r="U310" s="153"/>
      <c r="V310" s="153"/>
      <c r="W310" s="153"/>
      <c r="X310" s="153"/>
      <c r="Y310" s="153"/>
      <c r="Z310" s="153"/>
      <c r="AA310" s="153"/>
    </row>
    <row r="311" spans="7:27" ht="15" customHeight="1" x14ac:dyDescent="0.25">
      <c r="G311" s="191" t="s">
        <v>217</v>
      </c>
      <c r="H311" s="191" t="s">
        <v>217</v>
      </c>
      <c r="M311" s="153"/>
      <c r="N311" s="153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  <c r="AA311" s="153"/>
    </row>
    <row r="312" spans="7:27" ht="15" customHeight="1" x14ac:dyDescent="0.25">
      <c r="G312" s="191" t="s">
        <v>217</v>
      </c>
      <c r="H312" s="191" t="s">
        <v>217</v>
      </c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</row>
    <row r="313" spans="7:27" ht="15" customHeight="1" x14ac:dyDescent="0.25">
      <c r="G313" s="191" t="s">
        <v>217</v>
      </c>
      <c r="H313" s="191" t="s">
        <v>217</v>
      </c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</row>
    <row r="314" spans="7:27" ht="15" customHeight="1" x14ac:dyDescent="0.25">
      <c r="G314" s="191" t="s">
        <v>217</v>
      </c>
      <c r="H314" s="191" t="s">
        <v>217</v>
      </c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</row>
    <row r="315" spans="7:27" ht="15" customHeight="1" x14ac:dyDescent="0.25">
      <c r="G315" s="191" t="s">
        <v>217</v>
      </c>
      <c r="H315" s="191" t="s">
        <v>217</v>
      </c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</row>
    <row r="316" spans="7:27" ht="15" customHeight="1" x14ac:dyDescent="0.25">
      <c r="G316" s="191" t="s">
        <v>217</v>
      </c>
      <c r="H316" s="191" t="s">
        <v>217</v>
      </c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</row>
    <row r="317" spans="7:27" ht="15" customHeight="1" x14ac:dyDescent="0.25">
      <c r="G317" s="191" t="s">
        <v>217</v>
      </c>
      <c r="H317" s="191" t="s">
        <v>217</v>
      </c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</row>
    <row r="318" spans="7:27" ht="15" customHeight="1" x14ac:dyDescent="0.25">
      <c r="G318" s="191" t="s">
        <v>217</v>
      </c>
      <c r="H318" s="191" t="s">
        <v>217</v>
      </c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</row>
    <row r="319" spans="7:27" ht="15" customHeight="1" x14ac:dyDescent="0.25">
      <c r="G319" s="191" t="s">
        <v>217</v>
      </c>
      <c r="H319" s="191" t="s">
        <v>217</v>
      </c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153"/>
    </row>
    <row r="320" spans="7:27" ht="15" customHeight="1" x14ac:dyDescent="0.25">
      <c r="G320" s="191" t="s">
        <v>217</v>
      </c>
      <c r="H320" s="191" t="s">
        <v>217</v>
      </c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</row>
    <row r="321" spans="7:27" ht="15" customHeight="1" x14ac:dyDescent="0.25">
      <c r="G321" s="191" t="s">
        <v>217</v>
      </c>
      <c r="H321" s="191" t="s">
        <v>217</v>
      </c>
      <c r="M321" s="153"/>
      <c r="N321" s="153"/>
      <c r="O321" s="153"/>
      <c r="P321" s="153"/>
      <c r="Q321" s="153"/>
      <c r="R321" s="153"/>
      <c r="S321" s="153"/>
      <c r="T321" s="153"/>
      <c r="U321" s="153"/>
      <c r="V321" s="153"/>
      <c r="W321" s="153"/>
      <c r="X321" s="153"/>
      <c r="Y321" s="153"/>
      <c r="Z321" s="153"/>
      <c r="AA321" s="153"/>
    </row>
    <row r="322" spans="7:27" ht="15" customHeight="1" x14ac:dyDescent="0.25">
      <c r="G322" s="191" t="s">
        <v>217</v>
      </c>
      <c r="H322" s="191" t="s">
        <v>217</v>
      </c>
      <c r="M322" s="153"/>
      <c r="N322" s="153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3"/>
      <c r="Z322" s="153"/>
      <c r="AA322" s="153"/>
    </row>
    <row r="323" spans="7:27" ht="15" customHeight="1" x14ac:dyDescent="0.25">
      <c r="G323" s="191" t="s">
        <v>217</v>
      </c>
      <c r="H323" s="191" t="s">
        <v>217</v>
      </c>
      <c r="M323" s="153"/>
      <c r="N323" s="153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3"/>
      <c r="Z323" s="153"/>
      <c r="AA323" s="153"/>
    </row>
    <row r="324" spans="7:27" ht="15" customHeight="1" x14ac:dyDescent="0.25">
      <c r="G324" s="191" t="s">
        <v>217</v>
      </c>
      <c r="H324" s="191" t="s">
        <v>217</v>
      </c>
      <c r="M324" s="153"/>
      <c r="N324" s="153"/>
      <c r="O324" s="153"/>
      <c r="P324" s="153"/>
      <c r="Q324" s="153"/>
      <c r="R324" s="153"/>
      <c r="S324" s="153"/>
      <c r="T324" s="153"/>
      <c r="U324" s="153"/>
      <c r="V324" s="153"/>
      <c r="W324" s="153"/>
      <c r="X324" s="153"/>
      <c r="Y324" s="153"/>
      <c r="Z324" s="153"/>
      <c r="AA324" s="153"/>
    </row>
    <row r="325" spans="7:27" ht="15" customHeight="1" x14ac:dyDescent="0.25">
      <c r="G325" s="191" t="s">
        <v>217</v>
      </c>
      <c r="H325" s="191" t="s">
        <v>217</v>
      </c>
      <c r="M325" s="153"/>
      <c r="N325" s="153"/>
      <c r="O325" s="153"/>
      <c r="P325" s="153"/>
      <c r="Q325" s="153"/>
      <c r="R325" s="153"/>
      <c r="S325" s="153"/>
      <c r="T325" s="153"/>
      <c r="U325" s="153"/>
      <c r="V325" s="153"/>
      <c r="W325" s="153"/>
      <c r="X325" s="153"/>
      <c r="Y325" s="153"/>
      <c r="Z325" s="153"/>
      <c r="AA325" s="153"/>
    </row>
    <row r="326" spans="7:27" ht="15" customHeight="1" x14ac:dyDescent="0.25">
      <c r="G326" s="191" t="s">
        <v>217</v>
      </c>
      <c r="H326" s="191" t="s">
        <v>217</v>
      </c>
      <c r="M326" s="153"/>
      <c r="N326" s="153"/>
      <c r="O326" s="153"/>
      <c r="P326" s="153"/>
      <c r="Q326" s="153"/>
      <c r="R326" s="153"/>
      <c r="S326" s="153"/>
      <c r="T326" s="153"/>
      <c r="U326" s="153"/>
      <c r="V326" s="153"/>
      <c r="W326" s="153"/>
      <c r="X326" s="153"/>
      <c r="Y326" s="153"/>
      <c r="Z326" s="153"/>
      <c r="AA326" s="153"/>
    </row>
    <row r="327" spans="7:27" ht="15" customHeight="1" x14ac:dyDescent="0.25">
      <c r="G327" s="191" t="s">
        <v>217</v>
      </c>
      <c r="H327" s="191" t="s">
        <v>217</v>
      </c>
      <c r="M327" s="153"/>
      <c r="N327" s="153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  <c r="AA327" s="153"/>
    </row>
    <row r="328" spans="7:27" ht="15" customHeight="1" x14ac:dyDescent="0.25">
      <c r="G328" s="191" t="s">
        <v>217</v>
      </c>
      <c r="H328" s="191" t="s">
        <v>217</v>
      </c>
      <c r="M328" s="153"/>
      <c r="N328" s="153"/>
      <c r="O328" s="153"/>
      <c r="P328" s="153"/>
      <c r="Q328" s="153"/>
      <c r="R328" s="153"/>
      <c r="S328" s="153"/>
      <c r="T328" s="153"/>
      <c r="U328" s="153"/>
      <c r="V328" s="153"/>
      <c r="W328" s="153"/>
      <c r="X328" s="153"/>
      <c r="Y328" s="153"/>
      <c r="Z328" s="153"/>
      <c r="AA328" s="153"/>
    </row>
    <row r="329" spans="7:27" ht="15" customHeight="1" x14ac:dyDescent="0.25">
      <c r="G329" s="191" t="s">
        <v>217</v>
      </c>
      <c r="H329" s="191" t="s">
        <v>217</v>
      </c>
      <c r="M329" s="153"/>
      <c r="N329" s="153"/>
      <c r="O329" s="153"/>
      <c r="P329" s="153"/>
      <c r="Q329" s="153"/>
      <c r="R329" s="153"/>
      <c r="S329" s="153"/>
      <c r="T329" s="153"/>
      <c r="U329" s="153"/>
      <c r="V329" s="153"/>
      <c r="W329" s="153"/>
      <c r="X329" s="153"/>
      <c r="Y329" s="153"/>
      <c r="Z329" s="153"/>
      <c r="AA329" s="153"/>
    </row>
    <row r="330" spans="7:27" ht="15" customHeight="1" x14ac:dyDescent="0.25">
      <c r="G330" s="191" t="s">
        <v>217</v>
      </c>
      <c r="H330" s="191" t="s">
        <v>217</v>
      </c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</row>
    <row r="331" spans="7:27" ht="15" customHeight="1" x14ac:dyDescent="0.25">
      <c r="G331" s="191" t="s">
        <v>217</v>
      </c>
      <c r="H331" s="191" t="s">
        <v>217</v>
      </c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</row>
    <row r="332" spans="7:27" ht="15" customHeight="1" x14ac:dyDescent="0.25">
      <c r="G332" s="191" t="s">
        <v>217</v>
      </c>
      <c r="H332" s="191" t="s">
        <v>217</v>
      </c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</row>
    <row r="333" spans="7:27" ht="15" customHeight="1" x14ac:dyDescent="0.25">
      <c r="G333" s="191" t="s">
        <v>217</v>
      </c>
      <c r="H333" s="191" t="s">
        <v>217</v>
      </c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</row>
    <row r="334" spans="7:27" ht="15" customHeight="1" x14ac:dyDescent="0.25">
      <c r="G334" s="191" t="s">
        <v>217</v>
      </c>
      <c r="H334" s="191" t="s">
        <v>217</v>
      </c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</row>
    <row r="335" spans="7:27" ht="15" customHeight="1" x14ac:dyDescent="0.25">
      <c r="G335" s="191" t="s">
        <v>217</v>
      </c>
      <c r="H335" s="191" t="s">
        <v>217</v>
      </c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</row>
    <row r="336" spans="7:27" ht="15" customHeight="1" x14ac:dyDescent="0.25">
      <c r="G336" s="191" t="s">
        <v>217</v>
      </c>
      <c r="H336" s="191" t="s">
        <v>217</v>
      </c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</row>
    <row r="337" spans="7:27" ht="15" customHeight="1" x14ac:dyDescent="0.25">
      <c r="G337" s="191" t="s">
        <v>217</v>
      </c>
      <c r="H337" s="191" t="s">
        <v>217</v>
      </c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</row>
    <row r="338" spans="7:27" ht="15" customHeight="1" x14ac:dyDescent="0.25">
      <c r="G338" s="191" t="s">
        <v>217</v>
      </c>
      <c r="H338" s="191" t="s">
        <v>217</v>
      </c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</row>
    <row r="339" spans="7:27" ht="15" customHeight="1" x14ac:dyDescent="0.25">
      <c r="G339" s="191" t="s">
        <v>217</v>
      </c>
      <c r="H339" s="191" t="s">
        <v>217</v>
      </c>
      <c r="M339" s="153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  <c r="AA339" s="153"/>
    </row>
    <row r="340" spans="7:27" ht="15" customHeight="1" x14ac:dyDescent="0.25">
      <c r="G340" s="191" t="s">
        <v>217</v>
      </c>
      <c r="H340" s="191" t="s">
        <v>217</v>
      </c>
      <c r="M340" s="153"/>
      <c r="N340" s="153"/>
      <c r="O340" s="153"/>
      <c r="P340" s="153"/>
      <c r="Q340" s="153"/>
      <c r="R340" s="153"/>
      <c r="S340" s="153"/>
      <c r="T340" s="153"/>
      <c r="U340" s="153"/>
      <c r="V340" s="153"/>
      <c r="W340" s="153"/>
      <c r="X340" s="153"/>
      <c r="Y340" s="153"/>
      <c r="Z340" s="153"/>
      <c r="AA340" s="153"/>
    </row>
    <row r="341" spans="7:27" ht="15" customHeight="1" x14ac:dyDescent="0.25">
      <c r="G341" s="191" t="s">
        <v>217</v>
      </c>
      <c r="H341" s="191" t="s">
        <v>217</v>
      </c>
      <c r="M341" s="153"/>
      <c r="N341" s="153"/>
      <c r="O341" s="153"/>
      <c r="P341" s="153"/>
      <c r="Q341" s="153"/>
      <c r="R341" s="153"/>
      <c r="S341" s="153"/>
      <c r="T341" s="153"/>
      <c r="U341" s="153"/>
      <c r="V341" s="153"/>
      <c r="W341" s="153"/>
      <c r="X341" s="153"/>
      <c r="Y341" s="153"/>
      <c r="Z341" s="153"/>
      <c r="AA341" s="153"/>
    </row>
    <row r="342" spans="7:27" ht="15" customHeight="1" x14ac:dyDescent="0.25">
      <c r="G342" s="191" t="s">
        <v>217</v>
      </c>
      <c r="H342" s="191" t="s">
        <v>217</v>
      </c>
      <c r="M342" s="153"/>
      <c r="N342" s="153"/>
      <c r="O342" s="153"/>
      <c r="P342" s="153"/>
      <c r="Q342" s="153"/>
      <c r="R342" s="153"/>
      <c r="S342" s="153"/>
      <c r="T342" s="153"/>
      <c r="U342" s="153"/>
      <c r="V342" s="153"/>
      <c r="W342" s="153"/>
      <c r="X342" s="153"/>
      <c r="Y342" s="153"/>
      <c r="Z342" s="153"/>
      <c r="AA342" s="153"/>
    </row>
    <row r="343" spans="7:27" ht="15" customHeight="1" x14ac:dyDescent="0.25">
      <c r="G343" s="191" t="s">
        <v>217</v>
      </c>
      <c r="H343" s="191" t="s">
        <v>217</v>
      </c>
      <c r="M343" s="153"/>
      <c r="N343" s="153"/>
      <c r="O343" s="153"/>
      <c r="P343" s="153"/>
      <c r="Q343" s="153"/>
      <c r="R343" s="153"/>
      <c r="S343" s="153"/>
      <c r="T343" s="153"/>
      <c r="U343" s="153"/>
      <c r="V343" s="153"/>
      <c r="W343" s="153"/>
      <c r="X343" s="153"/>
      <c r="Y343" s="153"/>
      <c r="Z343" s="153"/>
      <c r="AA343" s="153"/>
    </row>
    <row r="344" spans="7:27" ht="15" customHeight="1" x14ac:dyDescent="0.25">
      <c r="G344" s="191" t="s">
        <v>217</v>
      </c>
      <c r="H344" s="191" t="s">
        <v>217</v>
      </c>
      <c r="M344" s="153"/>
      <c r="N344" s="153"/>
      <c r="O344" s="153"/>
      <c r="P344" s="153"/>
      <c r="Q344" s="153"/>
      <c r="R344" s="153"/>
      <c r="S344" s="153"/>
      <c r="T344" s="153"/>
      <c r="U344" s="153"/>
      <c r="V344" s="153"/>
      <c r="W344" s="153"/>
      <c r="X344" s="153"/>
      <c r="Y344" s="153"/>
      <c r="Z344" s="153"/>
      <c r="AA344" s="153"/>
    </row>
    <row r="345" spans="7:27" ht="15" customHeight="1" x14ac:dyDescent="0.25">
      <c r="G345" s="191" t="s">
        <v>217</v>
      </c>
      <c r="H345" s="191" t="s">
        <v>217</v>
      </c>
      <c r="M345" s="153"/>
      <c r="N345" s="153"/>
      <c r="O345" s="153"/>
      <c r="P345" s="153"/>
      <c r="Q345" s="153"/>
      <c r="R345" s="153"/>
      <c r="S345" s="153"/>
      <c r="T345" s="153"/>
      <c r="U345" s="153"/>
      <c r="V345" s="153"/>
      <c r="W345" s="153"/>
      <c r="X345" s="153"/>
      <c r="Y345" s="153"/>
      <c r="Z345" s="153"/>
      <c r="AA345" s="153"/>
    </row>
    <row r="346" spans="7:27" ht="15" customHeight="1" x14ac:dyDescent="0.25">
      <c r="G346" s="191" t="s">
        <v>217</v>
      </c>
      <c r="H346" s="191" t="s">
        <v>217</v>
      </c>
      <c r="M346" s="153"/>
      <c r="N346" s="153"/>
      <c r="O346" s="153"/>
      <c r="P346" s="153"/>
      <c r="Q346" s="153"/>
      <c r="R346" s="153"/>
      <c r="S346" s="153"/>
      <c r="T346" s="153"/>
      <c r="U346" s="153"/>
      <c r="V346" s="153"/>
      <c r="W346" s="153"/>
      <c r="X346" s="153"/>
      <c r="Y346" s="153"/>
      <c r="Z346" s="153"/>
      <c r="AA346" s="153"/>
    </row>
    <row r="347" spans="7:27" ht="15" customHeight="1" x14ac:dyDescent="0.25">
      <c r="G347" s="191" t="s">
        <v>217</v>
      </c>
      <c r="H347" s="191" t="s">
        <v>217</v>
      </c>
      <c r="M347" s="153"/>
      <c r="N347" s="153"/>
      <c r="O347" s="153"/>
      <c r="P347" s="153"/>
      <c r="Q347" s="153"/>
      <c r="R347" s="153"/>
      <c r="S347" s="153"/>
      <c r="T347" s="153"/>
      <c r="U347" s="153"/>
      <c r="V347" s="153"/>
      <c r="W347" s="153"/>
      <c r="X347" s="153"/>
      <c r="Y347" s="153"/>
      <c r="Z347" s="153"/>
      <c r="AA347" s="153"/>
    </row>
    <row r="348" spans="7:27" ht="15" customHeight="1" x14ac:dyDescent="0.25">
      <c r="G348" s="191" t="s">
        <v>217</v>
      </c>
      <c r="H348" s="191" t="s">
        <v>217</v>
      </c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</row>
    <row r="349" spans="7:27" ht="15" customHeight="1" x14ac:dyDescent="0.25">
      <c r="G349" s="191" t="s">
        <v>217</v>
      </c>
      <c r="H349" s="191" t="s">
        <v>217</v>
      </c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</row>
    <row r="350" spans="7:27" ht="15" customHeight="1" x14ac:dyDescent="0.25">
      <c r="G350" s="191" t="s">
        <v>217</v>
      </c>
      <c r="H350" s="191" t="s">
        <v>217</v>
      </c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</row>
    <row r="351" spans="7:27" ht="15" customHeight="1" x14ac:dyDescent="0.25">
      <c r="G351" s="191" t="s">
        <v>217</v>
      </c>
      <c r="H351" s="191" t="s">
        <v>217</v>
      </c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</row>
    <row r="352" spans="7:27" ht="15" customHeight="1" x14ac:dyDescent="0.25">
      <c r="G352" s="191" t="s">
        <v>217</v>
      </c>
      <c r="H352" s="191" t="s">
        <v>217</v>
      </c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</row>
    <row r="353" spans="7:27" ht="15" customHeight="1" x14ac:dyDescent="0.25">
      <c r="G353" s="191" t="s">
        <v>217</v>
      </c>
      <c r="H353" s="191" t="s">
        <v>217</v>
      </c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</row>
    <row r="354" spans="7:27" ht="15" customHeight="1" x14ac:dyDescent="0.25">
      <c r="G354" s="191" t="s">
        <v>217</v>
      </c>
      <c r="H354" s="191" t="s">
        <v>217</v>
      </c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</row>
    <row r="355" spans="7:27" ht="15" customHeight="1" x14ac:dyDescent="0.25">
      <c r="G355" s="191" t="s">
        <v>217</v>
      </c>
      <c r="H355" s="191" t="s">
        <v>217</v>
      </c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</row>
    <row r="356" spans="7:27" ht="15" customHeight="1" x14ac:dyDescent="0.25">
      <c r="G356" s="191" t="s">
        <v>217</v>
      </c>
      <c r="H356" s="191" t="s">
        <v>217</v>
      </c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</row>
    <row r="357" spans="7:27" ht="15" customHeight="1" x14ac:dyDescent="0.25">
      <c r="G357" s="191" t="s">
        <v>217</v>
      </c>
      <c r="H357" s="191" t="s">
        <v>217</v>
      </c>
      <c r="M357" s="153"/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  <c r="Z357" s="153"/>
      <c r="AA357" s="153"/>
    </row>
    <row r="358" spans="7:27" ht="15" customHeight="1" x14ac:dyDescent="0.25">
      <c r="M358" s="153"/>
      <c r="N358" s="153"/>
      <c r="O358" s="153"/>
      <c r="P358" s="153"/>
      <c r="Q358" s="153"/>
      <c r="R358" s="153"/>
      <c r="S358" s="153"/>
      <c r="T358" s="153"/>
      <c r="U358" s="153"/>
      <c r="V358" s="153"/>
      <c r="W358" s="153"/>
      <c r="X358" s="153"/>
      <c r="Y358" s="153"/>
      <c r="Z358" s="153"/>
      <c r="AA358" s="153"/>
    </row>
    <row r="359" spans="7:27" ht="15" customHeight="1" x14ac:dyDescent="0.25"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  <c r="AA359" s="153"/>
    </row>
    <row r="360" spans="7:27" ht="15" customHeight="1" x14ac:dyDescent="0.25">
      <c r="M360" s="153"/>
      <c r="N360" s="153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  <c r="Z360" s="153"/>
      <c r="AA360" s="153"/>
    </row>
    <row r="361" spans="7:27" ht="15" customHeight="1" x14ac:dyDescent="0.25"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  <c r="AA361" s="153"/>
    </row>
    <row r="362" spans="7:27" ht="15" customHeight="1" x14ac:dyDescent="0.25">
      <c r="M362" s="153"/>
      <c r="N362" s="153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  <c r="Z362" s="153"/>
      <c r="AA362" s="153"/>
    </row>
    <row r="363" spans="7:27" ht="15" customHeight="1" x14ac:dyDescent="0.25"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  <c r="AA363" s="153"/>
    </row>
    <row r="364" spans="7:27" ht="15" customHeight="1" x14ac:dyDescent="0.25"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  <c r="AA364" s="153"/>
    </row>
    <row r="365" spans="7:27" ht="15" customHeight="1" x14ac:dyDescent="0.25">
      <c r="M365" s="153"/>
      <c r="N365" s="153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  <c r="AA365" s="153"/>
    </row>
    <row r="366" spans="7:27" ht="15" customHeight="1" x14ac:dyDescent="0.25"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</row>
    <row r="367" spans="7:27" ht="15" customHeight="1" x14ac:dyDescent="0.25"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</row>
    <row r="368" spans="7:27" ht="15" customHeight="1" x14ac:dyDescent="0.25"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</row>
    <row r="369" spans="13:27" ht="15" customHeight="1" x14ac:dyDescent="0.25"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</row>
    <row r="370" spans="13:27" ht="15" customHeight="1" x14ac:dyDescent="0.25"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</row>
    <row r="371" spans="13:27" ht="15" customHeight="1" x14ac:dyDescent="0.25"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153"/>
    </row>
    <row r="372" spans="13:27" ht="15" customHeight="1" x14ac:dyDescent="0.25"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153"/>
    </row>
    <row r="373" spans="13:27" ht="15" customHeight="1" x14ac:dyDescent="0.25"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153"/>
    </row>
    <row r="374" spans="13:27" ht="15" customHeight="1" x14ac:dyDescent="0.25"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</row>
    <row r="375" spans="13:27" ht="15" customHeight="1" x14ac:dyDescent="0.25">
      <c r="M375" s="153"/>
      <c r="N375" s="153"/>
      <c r="O375" s="153"/>
      <c r="P375" s="153"/>
      <c r="Q375" s="153"/>
      <c r="R375" s="153"/>
      <c r="S375" s="153"/>
      <c r="T375" s="153"/>
      <c r="U375" s="153"/>
      <c r="V375" s="153"/>
      <c r="W375" s="153"/>
      <c r="X375" s="153"/>
      <c r="Y375" s="153"/>
      <c r="Z375" s="153"/>
      <c r="AA375" s="153"/>
    </row>
    <row r="376" spans="13:27" ht="15" customHeight="1" x14ac:dyDescent="0.25">
      <c r="M376" s="153"/>
      <c r="N376" s="153"/>
      <c r="O376" s="153"/>
      <c r="P376" s="153"/>
      <c r="Q376" s="153"/>
      <c r="R376" s="153"/>
      <c r="S376" s="153"/>
      <c r="T376" s="153"/>
      <c r="U376" s="153"/>
      <c r="V376" s="153"/>
      <c r="W376" s="153"/>
      <c r="X376" s="153"/>
      <c r="Y376" s="153"/>
      <c r="Z376" s="153"/>
      <c r="AA376" s="153"/>
    </row>
    <row r="377" spans="13:27" ht="15" customHeight="1" x14ac:dyDescent="0.25">
      <c r="M377" s="153"/>
      <c r="N377" s="153"/>
      <c r="O377" s="153"/>
      <c r="P377" s="153"/>
      <c r="Q377" s="153"/>
      <c r="R377" s="153"/>
      <c r="S377" s="153"/>
      <c r="T377" s="153"/>
      <c r="U377" s="153"/>
      <c r="V377" s="153"/>
      <c r="W377" s="153"/>
      <c r="X377" s="153"/>
      <c r="Y377" s="153"/>
      <c r="Z377" s="153"/>
      <c r="AA377" s="153"/>
    </row>
    <row r="378" spans="13:27" ht="15" customHeight="1" x14ac:dyDescent="0.25">
      <c r="M378" s="153"/>
      <c r="N378" s="153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  <c r="AA378" s="153"/>
    </row>
    <row r="379" spans="13:27" ht="15" customHeight="1" x14ac:dyDescent="0.25">
      <c r="M379" s="153"/>
      <c r="N379" s="153"/>
      <c r="O379" s="153"/>
      <c r="P379" s="153"/>
      <c r="Q379" s="153"/>
      <c r="R379" s="153"/>
      <c r="S379" s="153"/>
      <c r="T379" s="153"/>
      <c r="U379" s="153"/>
      <c r="V379" s="153"/>
      <c r="W379" s="153"/>
      <c r="X379" s="153"/>
      <c r="Y379" s="153"/>
      <c r="Z379" s="153"/>
      <c r="AA379" s="153"/>
    </row>
    <row r="380" spans="13:27" ht="15" customHeight="1" x14ac:dyDescent="0.25">
      <c r="M380" s="153"/>
      <c r="N380" s="153"/>
      <c r="O380" s="153"/>
      <c r="P380" s="153"/>
      <c r="Q380" s="153"/>
      <c r="R380" s="153"/>
      <c r="S380" s="153"/>
      <c r="T380" s="153"/>
      <c r="U380" s="153"/>
      <c r="V380" s="153"/>
      <c r="W380" s="153"/>
      <c r="X380" s="153"/>
      <c r="Y380" s="153"/>
      <c r="Z380" s="153"/>
      <c r="AA380" s="153"/>
    </row>
    <row r="381" spans="13:27" ht="15" customHeight="1" x14ac:dyDescent="0.25">
      <c r="M381" s="153"/>
      <c r="N381" s="153"/>
      <c r="O381" s="153"/>
      <c r="P381" s="153"/>
      <c r="Q381" s="153"/>
      <c r="R381" s="153"/>
      <c r="S381" s="153"/>
      <c r="T381" s="153"/>
      <c r="U381" s="153"/>
      <c r="V381" s="153"/>
      <c r="W381" s="153"/>
      <c r="X381" s="153"/>
      <c r="Y381" s="153"/>
      <c r="Z381" s="153"/>
      <c r="AA381" s="153"/>
    </row>
    <row r="382" spans="13:27" ht="15" customHeight="1" x14ac:dyDescent="0.25">
      <c r="M382" s="153"/>
      <c r="N382" s="153"/>
      <c r="O382" s="153"/>
      <c r="P382" s="153"/>
      <c r="Q382" s="153"/>
      <c r="R382" s="153"/>
      <c r="S382" s="153"/>
      <c r="T382" s="153"/>
      <c r="U382" s="153"/>
      <c r="V382" s="153"/>
      <c r="W382" s="153"/>
      <c r="X382" s="153"/>
      <c r="Y382" s="153"/>
      <c r="Z382" s="153"/>
      <c r="AA382" s="153"/>
    </row>
    <row r="383" spans="13:27" ht="15" customHeight="1" x14ac:dyDescent="0.25">
      <c r="M383" s="153"/>
      <c r="N383" s="153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  <c r="AA383" s="153"/>
    </row>
    <row r="384" spans="13:27" ht="15" customHeight="1" x14ac:dyDescent="0.25"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153"/>
    </row>
    <row r="385" spans="13:27" ht="15" customHeight="1" x14ac:dyDescent="0.25"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  <c r="AA385" s="153"/>
    </row>
    <row r="386" spans="13:27" ht="15" customHeight="1" x14ac:dyDescent="0.25"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  <c r="AA386" s="153"/>
    </row>
    <row r="387" spans="13:27" ht="15" customHeight="1" x14ac:dyDescent="0.25"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  <c r="AA387" s="153"/>
    </row>
    <row r="388" spans="13:27" ht="15" customHeight="1" x14ac:dyDescent="0.25"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</row>
    <row r="389" spans="13:27" ht="15" customHeight="1" x14ac:dyDescent="0.25"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</row>
    <row r="390" spans="13:27" ht="15" customHeight="1" x14ac:dyDescent="0.25"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</row>
    <row r="391" spans="13:27" ht="15" customHeight="1" x14ac:dyDescent="0.25"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</row>
    <row r="392" spans="13:27" ht="15" customHeight="1" x14ac:dyDescent="0.25"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</row>
    <row r="393" spans="13:27" ht="15" customHeight="1" x14ac:dyDescent="0.25"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  <c r="AA393" s="153"/>
    </row>
    <row r="394" spans="13:27" ht="15" customHeight="1" x14ac:dyDescent="0.25"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  <c r="AA394" s="153"/>
    </row>
    <row r="395" spans="13:27" ht="15" customHeight="1" x14ac:dyDescent="0.25"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  <c r="AA395" s="153"/>
    </row>
    <row r="396" spans="13:27" ht="15" customHeight="1" x14ac:dyDescent="0.25"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  <c r="AA396" s="153"/>
    </row>
    <row r="397" spans="13:27" ht="15" customHeight="1" x14ac:dyDescent="0.25">
      <c r="M397" s="153"/>
      <c r="N397" s="153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  <c r="AA397" s="153"/>
    </row>
    <row r="398" spans="13:27" ht="15" customHeight="1" x14ac:dyDescent="0.25">
      <c r="M398" s="153"/>
      <c r="N398" s="153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  <c r="AA398" s="153"/>
    </row>
    <row r="399" spans="13:27" ht="15" customHeight="1" x14ac:dyDescent="0.25">
      <c r="M399" s="153"/>
      <c r="N399" s="153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  <c r="AA399" s="153"/>
    </row>
    <row r="400" spans="13:27" ht="15" customHeight="1" x14ac:dyDescent="0.25">
      <c r="M400" s="153"/>
      <c r="N400" s="153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  <c r="AA400" s="153"/>
    </row>
    <row r="401" spans="13:27" ht="15" customHeight="1" x14ac:dyDescent="0.25">
      <c r="M401" s="153"/>
      <c r="N401" s="153"/>
      <c r="O401" s="153"/>
      <c r="P401" s="153"/>
      <c r="Q401" s="153"/>
      <c r="R401" s="153"/>
      <c r="S401" s="153"/>
      <c r="T401" s="153"/>
      <c r="U401" s="153"/>
      <c r="V401" s="153"/>
      <c r="W401" s="153"/>
      <c r="X401" s="153"/>
      <c r="Y401" s="153"/>
      <c r="Z401" s="153"/>
      <c r="AA401" s="153"/>
    </row>
    <row r="402" spans="13:27" ht="15" customHeight="1" x14ac:dyDescent="0.25"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</row>
    <row r="403" spans="13:27" ht="15" customHeight="1" x14ac:dyDescent="0.25"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</row>
    <row r="404" spans="13:27" ht="15" customHeight="1" x14ac:dyDescent="0.25"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</row>
    <row r="405" spans="13:27" ht="15" customHeight="1" x14ac:dyDescent="0.25"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</row>
    <row r="406" spans="13:27" ht="15" customHeight="1" x14ac:dyDescent="0.25"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</row>
    <row r="407" spans="13:27" ht="15" customHeight="1" x14ac:dyDescent="0.25"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</row>
    <row r="408" spans="13:27" ht="15" customHeight="1" x14ac:dyDescent="0.25"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</row>
    <row r="409" spans="13:27" ht="15" customHeight="1" x14ac:dyDescent="0.25"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</row>
    <row r="410" spans="13:27" ht="15" customHeight="1" x14ac:dyDescent="0.25"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</row>
    <row r="411" spans="13:27" ht="15" customHeight="1" x14ac:dyDescent="0.25"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</row>
    <row r="412" spans="13:27" ht="15" customHeight="1" x14ac:dyDescent="0.25">
      <c r="M412" s="153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</row>
    <row r="413" spans="13:27" ht="15" customHeight="1" x14ac:dyDescent="0.25">
      <c r="M413" s="153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</row>
    <row r="414" spans="13:27" ht="15" customHeight="1" x14ac:dyDescent="0.25">
      <c r="M414" s="153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</row>
    <row r="415" spans="13:27" ht="15" customHeight="1" x14ac:dyDescent="0.25">
      <c r="M415" s="153"/>
      <c r="N415" s="153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  <c r="AA415" s="153"/>
    </row>
    <row r="416" spans="13:27" ht="15" customHeight="1" x14ac:dyDescent="0.25">
      <c r="M416" s="153"/>
      <c r="N416" s="153"/>
      <c r="O416" s="153"/>
      <c r="P416" s="153"/>
      <c r="Q416" s="153"/>
      <c r="R416" s="153"/>
      <c r="S416" s="153"/>
      <c r="T416" s="153"/>
      <c r="U416" s="153"/>
      <c r="V416" s="153"/>
      <c r="W416" s="153"/>
      <c r="X416" s="153"/>
      <c r="Y416" s="153"/>
      <c r="Z416" s="153"/>
      <c r="AA416" s="153"/>
    </row>
    <row r="417" spans="13:27" ht="15" customHeight="1" x14ac:dyDescent="0.25">
      <c r="M417" s="153"/>
      <c r="N417" s="153"/>
      <c r="O417" s="153"/>
      <c r="P417" s="153"/>
      <c r="Q417" s="153"/>
      <c r="R417" s="153"/>
      <c r="S417" s="153"/>
      <c r="T417" s="153"/>
      <c r="U417" s="153"/>
      <c r="V417" s="153"/>
      <c r="W417" s="153"/>
      <c r="X417" s="153"/>
      <c r="Y417" s="153"/>
      <c r="Z417" s="153"/>
      <c r="AA417" s="153"/>
    </row>
    <row r="418" spans="13:27" ht="15" customHeight="1" x14ac:dyDescent="0.25">
      <c r="M418" s="153"/>
      <c r="N418" s="153"/>
      <c r="O418" s="153"/>
      <c r="P418" s="153"/>
      <c r="Q418" s="153"/>
      <c r="R418" s="153"/>
      <c r="S418" s="153"/>
      <c r="T418" s="153"/>
      <c r="U418" s="153"/>
      <c r="V418" s="153"/>
      <c r="W418" s="153"/>
      <c r="X418" s="153"/>
      <c r="Y418" s="153"/>
      <c r="Z418" s="153"/>
      <c r="AA418" s="153"/>
    </row>
    <row r="419" spans="13:27" ht="15" customHeight="1" x14ac:dyDescent="0.25">
      <c r="M419" s="153"/>
      <c r="N419" s="153"/>
      <c r="O419" s="153"/>
      <c r="P419" s="153"/>
      <c r="Q419" s="153"/>
      <c r="R419" s="153"/>
      <c r="S419" s="153"/>
      <c r="T419" s="153"/>
      <c r="U419" s="153"/>
      <c r="V419" s="153"/>
      <c r="W419" s="153"/>
      <c r="X419" s="153"/>
      <c r="Y419" s="153"/>
      <c r="Z419" s="153"/>
      <c r="AA419" s="153"/>
    </row>
    <row r="420" spans="13:27" ht="15" customHeight="1" x14ac:dyDescent="0.25"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</row>
    <row r="421" spans="13:27" ht="15" customHeight="1" x14ac:dyDescent="0.25"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</row>
    <row r="422" spans="13:27" ht="15" customHeight="1" x14ac:dyDescent="0.25"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</row>
    <row r="423" spans="13:27" ht="15" customHeight="1" x14ac:dyDescent="0.25"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</row>
    <row r="424" spans="13:27" ht="15" customHeight="1" x14ac:dyDescent="0.25"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</row>
    <row r="425" spans="13:27" ht="15" customHeight="1" x14ac:dyDescent="0.25"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</row>
    <row r="426" spans="13:27" ht="15" customHeight="1" x14ac:dyDescent="0.25"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</row>
    <row r="427" spans="13:27" ht="15" customHeight="1" x14ac:dyDescent="0.25"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</row>
    <row r="428" spans="13:27" ht="15" customHeight="1" x14ac:dyDescent="0.25"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</row>
    <row r="429" spans="13:27" ht="15" customHeight="1" x14ac:dyDescent="0.25">
      <c r="M429" s="153"/>
      <c r="N429" s="153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  <c r="AA429" s="153"/>
    </row>
    <row r="430" spans="13:27" ht="15" customHeight="1" x14ac:dyDescent="0.25"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</row>
    <row r="431" spans="13:27" ht="15" customHeight="1" x14ac:dyDescent="0.25">
      <c r="M431" s="153"/>
      <c r="N431" s="153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  <c r="AA431" s="153"/>
    </row>
    <row r="432" spans="13:27" ht="15" customHeight="1" x14ac:dyDescent="0.25">
      <c r="M432" s="153"/>
      <c r="N432" s="153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  <c r="AA432" s="153"/>
    </row>
    <row r="433" spans="13:27" ht="15" customHeight="1" x14ac:dyDescent="0.25">
      <c r="M433" s="153"/>
      <c r="N433" s="153"/>
      <c r="O433" s="153"/>
      <c r="P433" s="153"/>
      <c r="Q433" s="153"/>
      <c r="R433" s="153"/>
      <c r="S433" s="153"/>
      <c r="T433" s="153"/>
      <c r="U433" s="153"/>
      <c r="V433" s="153"/>
      <c r="W433" s="153"/>
      <c r="X433" s="153"/>
      <c r="Y433" s="153"/>
      <c r="Z433" s="153"/>
      <c r="AA433" s="153"/>
    </row>
    <row r="434" spans="13:27" ht="15" customHeight="1" x14ac:dyDescent="0.25">
      <c r="M434" s="153"/>
      <c r="N434" s="153"/>
      <c r="O434" s="153"/>
      <c r="P434" s="153"/>
      <c r="Q434" s="153"/>
      <c r="R434" s="153"/>
      <c r="S434" s="153"/>
      <c r="T434" s="153"/>
      <c r="U434" s="153"/>
      <c r="V434" s="153"/>
      <c r="W434" s="153"/>
      <c r="X434" s="153"/>
      <c r="Y434" s="153"/>
      <c r="Z434" s="153"/>
      <c r="AA434" s="153"/>
    </row>
    <row r="435" spans="13:27" ht="15" customHeight="1" x14ac:dyDescent="0.25">
      <c r="M435" s="153"/>
      <c r="N435" s="153"/>
      <c r="O435" s="153"/>
      <c r="P435" s="153"/>
      <c r="Q435" s="153"/>
      <c r="R435" s="153"/>
      <c r="S435" s="153"/>
      <c r="T435" s="153"/>
      <c r="U435" s="153"/>
      <c r="V435" s="153"/>
      <c r="W435" s="153"/>
      <c r="X435" s="153"/>
      <c r="Y435" s="153"/>
      <c r="Z435" s="153"/>
      <c r="AA435" s="153"/>
    </row>
    <row r="436" spans="13:27" ht="15" customHeight="1" x14ac:dyDescent="0.25">
      <c r="M436" s="153"/>
      <c r="N436" s="153"/>
      <c r="O436" s="153"/>
      <c r="P436" s="153"/>
      <c r="Q436" s="153"/>
      <c r="R436" s="153"/>
      <c r="S436" s="153"/>
      <c r="T436" s="153"/>
      <c r="U436" s="153"/>
      <c r="V436" s="153"/>
      <c r="W436" s="153"/>
      <c r="X436" s="153"/>
      <c r="Y436" s="153"/>
      <c r="Z436" s="153"/>
      <c r="AA436" s="153"/>
    </row>
    <row r="437" spans="13:27" ht="15" customHeight="1" x14ac:dyDescent="0.25">
      <c r="M437" s="153"/>
      <c r="N437" s="153"/>
      <c r="O437" s="153"/>
      <c r="P437" s="153"/>
      <c r="Q437" s="153"/>
      <c r="R437" s="153"/>
      <c r="S437" s="153"/>
      <c r="T437" s="153"/>
      <c r="U437" s="153"/>
      <c r="V437" s="153"/>
      <c r="W437" s="153"/>
      <c r="X437" s="153"/>
      <c r="Y437" s="153"/>
      <c r="Z437" s="153"/>
      <c r="AA437" s="153"/>
    </row>
    <row r="438" spans="13:27" ht="15" customHeight="1" x14ac:dyDescent="0.25"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</row>
    <row r="439" spans="13:27" ht="15" customHeight="1" x14ac:dyDescent="0.25"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</row>
    <row r="440" spans="13:27" ht="15" customHeight="1" x14ac:dyDescent="0.25"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</row>
    <row r="441" spans="13:27" ht="15" customHeight="1" x14ac:dyDescent="0.25"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</row>
    <row r="442" spans="13:27" ht="15" customHeight="1" x14ac:dyDescent="0.25"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</row>
    <row r="443" spans="13:27" ht="15" customHeight="1" x14ac:dyDescent="0.25"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</row>
    <row r="444" spans="13:27" ht="15" customHeight="1" x14ac:dyDescent="0.25"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</row>
    <row r="445" spans="13:27" ht="15" customHeight="1" x14ac:dyDescent="0.25"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</row>
    <row r="446" spans="13:27" ht="15" customHeight="1" x14ac:dyDescent="0.25"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</row>
    <row r="447" spans="13:27" ht="15" customHeight="1" x14ac:dyDescent="0.25">
      <c r="M447" s="153"/>
      <c r="N447" s="153"/>
      <c r="O447" s="153"/>
      <c r="P447" s="153"/>
      <c r="Q447" s="153"/>
      <c r="R447" s="153"/>
      <c r="S447" s="153"/>
      <c r="T447" s="153"/>
      <c r="U447" s="153"/>
      <c r="V447" s="153"/>
      <c r="W447" s="153"/>
      <c r="X447" s="153"/>
      <c r="Y447" s="153"/>
      <c r="Z447" s="153"/>
      <c r="AA447" s="153"/>
    </row>
    <row r="448" spans="13:27" ht="15" customHeight="1" x14ac:dyDescent="0.25">
      <c r="M448" s="153"/>
      <c r="N448" s="153"/>
      <c r="O448" s="153"/>
      <c r="P448" s="153"/>
      <c r="Q448" s="153"/>
      <c r="R448" s="153"/>
      <c r="S448" s="153"/>
      <c r="T448" s="153"/>
      <c r="U448" s="153"/>
      <c r="V448" s="153"/>
      <c r="W448" s="153"/>
      <c r="X448" s="153"/>
      <c r="Y448" s="153"/>
      <c r="Z448" s="153"/>
      <c r="AA448" s="153"/>
    </row>
    <row r="449" spans="13:27" ht="15" customHeight="1" x14ac:dyDescent="0.25">
      <c r="M449" s="153"/>
      <c r="N449" s="153"/>
      <c r="O449" s="153"/>
      <c r="P449" s="153"/>
      <c r="Q449" s="153"/>
      <c r="R449" s="153"/>
      <c r="S449" s="153"/>
      <c r="T449" s="153"/>
      <c r="U449" s="153"/>
      <c r="V449" s="153"/>
      <c r="W449" s="153"/>
      <c r="X449" s="153"/>
      <c r="Y449" s="153"/>
      <c r="Z449" s="153"/>
      <c r="AA449" s="153"/>
    </row>
    <row r="450" spans="13:27" ht="15" customHeight="1" x14ac:dyDescent="0.25">
      <c r="M450" s="153"/>
      <c r="N450" s="153"/>
      <c r="O450" s="153"/>
      <c r="P450" s="153"/>
      <c r="Q450" s="153"/>
      <c r="R450" s="153"/>
      <c r="S450" s="153"/>
      <c r="T450" s="153"/>
      <c r="U450" s="153"/>
      <c r="V450" s="153"/>
      <c r="W450" s="153"/>
      <c r="X450" s="153"/>
      <c r="Y450" s="153"/>
      <c r="Z450" s="153"/>
      <c r="AA450" s="153"/>
    </row>
    <row r="451" spans="13:27" ht="15" customHeight="1" x14ac:dyDescent="0.25">
      <c r="M451" s="153"/>
      <c r="N451" s="153"/>
      <c r="O451" s="153"/>
      <c r="P451" s="153"/>
      <c r="Q451" s="153"/>
      <c r="R451" s="153"/>
      <c r="S451" s="153"/>
      <c r="T451" s="153"/>
      <c r="U451" s="153"/>
      <c r="V451" s="153"/>
      <c r="W451" s="153"/>
      <c r="X451" s="153"/>
      <c r="Y451" s="153"/>
      <c r="Z451" s="153"/>
      <c r="AA451" s="153"/>
    </row>
    <row r="452" spans="13:27" ht="15" customHeight="1" x14ac:dyDescent="0.25">
      <c r="M452" s="153"/>
      <c r="N452" s="153"/>
      <c r="O452" s="153"/>
      <c r="P452" s="153"/>
      <c r="Q452" s="153"/>
      <c r="R452" s="153"/>
      <c r="S452" s="153"/>
      <c r="T452" s="153"/>
      <c r="U452" s="153"/>
      <c r="V452" s="153"/>
      <c r="W452" s="153"/>
      <c r="X452" s="153"/>
      <c r="Y452" s="153"/>
      <c r="Z452" s="153"/>
      <c r="AA452" s="153"/>
    </row>
    <row r="453" spans="13:27" ht="15" customHeight="1" x14ac:dyDescent="0.25">
      <c r="M453" s="153"/>
      <c r="N453" s="153"/>
      <c r="O453" s="153"/>
      <c r="P453" s="153"/>
      <c r="Q453" s="153"/>
      <c r="R453" s="153"/>
      <c r="S453" s="153"/>
      <c r="T453" s="153"/>
      <c r="U453" s="153"/>
      <c r="V453" s="153"/>
      <c r="W453" s="153"/>
      <c r="X453" s="153"/>
      <c r="Y453" s="153"/>
      <c r="Z453" s="153"/>
      <c r="AA453" s="153"/>
    </row>
    <row r="454" spans="13:27" ht="15" customHeight="1" x14ac:dyDescent="0.25">
      <c r="M454" s="153"/>
      <c r="N454" s="153"/>
      <c r="O454" s="153"/>
      <c r="P454" s="153"/>
      <c r="Q454" s="153"/>
      <c r="R454" s="153"/>
      <c r="S454" s="153"/>
      <c r="T454" s="153"/>
      <c r="U454" s="153"/>
      <c r="V454" s="153"/>
      <c r="W454" s="153"/>
      <c r="X454" s="153"/>
      <c r="Y454" s="153"/>
      <c r="Z454" s="153"/>
      <c r="AA454" s="153"/>
    </row>
    <row r="455" spans="13:27" ht="15" customHeight="1" x14ac:dyDescent="0.25">
      <c r="M455" s="153"/>
      <c r="N455" s="153"/>
      <c r="O455" s="153"/>
      <c r="P455" s="153"/>
      <c r="Q455" s="153"/>
      <c r="R455" s="153"/>
      <c r="S455" s="153"/>
      <c r="T455" s="153"/>
      <c r="U455" s="153"/>
      <c r="V455" s="153"/>
      <c r="W455" s="153"/>
      <c r="X455" s="153"/>
      <c r="Y455" s="153"/>
      <c r="Z455" s="153"/>
      <c r="AA455" s="153"/>
    </row>
    <row r="456" spans="13:27" ht="15" customHeight="1" x14ac:dyDescent="0.25"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</row>
    <row r="457" spans="13:27" ht="15" customHeight="1" x14ac:dyDescent="0.25"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</row>
    <row r="458" spans="13:27" ht="15" customHeight="1" x14ac:dyDescent="0.25"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</row>
    <row r="459" spans="13:27" ht="15" customHeight="1" x14ac:dyDescent="0.25"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</row>
    <row r="460" spans="13:27" ht="15" customHeight="1" x14ac:dyDescent="0.25"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</row>
    <row r="461" spans="13:27" ht="15" customHeight="1" x14ac:dyDescent="0.25"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</row>
    <row r="462" spans="13:27" ht="15" customHeight="1" x14ac:dyDescent="0.25"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</row>
    <row r="463" spans="13:27" ht="15" customHeight="1" x14ac:dyDescent="0.25"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</row>
    <row r="464" spans="13:27" ht="15" customHeight="1" x14ac:dyDescent="0.25"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</row>
    <row r="465" spans="13:27" ht="15" customHeight="1" x14ac:dyDescent="0.25">
      <c r="M465" s="153"/>
      <c r="N465" s="153"/>
      <c r="O465" s="153"/>
      <c r="P465" s="153"/>
      <c r="Q465" s="153"/>
      <c r="R465" s="153"/>
      <c r="S465" s="153"/>
      <c r="T465" s="153"/>
      <c r="U465" s="153"/>
      <c r="V465" s="153"/>
      <c r="W465" s="153"/>
      <c r="X465" s="153"/>
      <c r="Y465" s="153"/>
      <c r="Z465" s="153"/>
      <c r="AA465" s="153"/>
    </row>
    <row r="466" spans="13:27" ht="15" customHeight="1" x14ac:dyDescent="0.25">
      <c r="M466" s="153"/>
      <c r="N466" s="153"/>
      <c r="O466" s="153"/>
      <c r="P466" s="153"/>
      <c r="Q466" s="153"/>
      <c r="R466" s="153"/>
      <c r="S466" s="153"/>
      <c r="T466" s="153"/>
      <c r="U466" s="153"/>
      <c r="V466" s="153"/>
      <c r="W466" s="153"/>
      <c r="X466" s="153"/>
      <c r="Y466" s="153"/>
      <c r="Z466" s="153"/>
      <c r="AA466" s="153"/>
    </row>
    <row r="467" spans="13:27" ht="15" customHeight="1" x14ac:dyDescent="0.25">
      <c r="M467" s="153"/>
      <c r="N467" s="153"/>
      <c r="O467" s="153"/>
      <c r="P467" s="153"/>
      <c r="Q467" s="153"/>
      <c r="R467" s="153"/>
      <c r="S467" s="153"/>
      <c r="T467" s="153"/>
      <c r="U467" s="153"/>
      <c r="V467" s="153"/>
      <c r="W467" s="153"/>
      <c r="X467" s="153"/>
      <c r="Y467" s="153"/>
      <c r="Z467" s="153"/>
      <c r="AA467" s="153"/>
    </row>
    <row r="468" spans="13:27" ht="15" customHeight="1" x14ac:dyDescent="0.25">
      <c r="M468" s="153"/>
      <c r="N468" s="153"/>
      <c r="O468" s="153"/>
      <c r="P468" s="153"/>
      <c r="Q468" s="153"/>
      <c r="R468" s="153"/>
      <c r="S468" s="153"/>
      <c r="T468" s="153"/>
      <c r="U468" s="153"/>
      <c r="V468" s="153"/>
      <c r="W468" s="153"/>
      <c r="X468" s="153"/>
      <c r="Y468" s="153"/>
      <c r="Z468" s="153"/>
      <c r="AA468" s="153"/>
    </row>
    <row r="469" spans="13:27" ht="15" customHeight="1" x14ac:dyDescent="0.25">
      <c r="M469" s="153"/>
      <c r="N469" s="153"/>
      <c r="O469" s="153"/>
      <c r="P469" s="153"/>
      <c r="Q469" s="153"/>
      <c r="R469" s="153"/>
      <c r="S469" s="153"/>
      <c r="T469" s="153"/>
      <c r="U469" s="153"/>
      <c r="V469" s="153"/>
      <c r="W469" s="153"/>
      <c r="X469" s="153"/>
      <c r="Y469" s="153"/>
      <c r="Z469" s="153"/>
      <c r="AA469" s="153"/>
    </row>
    <row r="470" spans="13:27" ht="15" customHeight="1" x14ac:dyDescent="0.25">
      <c r="M470" s="153"/>
      <c r="N470" s="153"/>
      <c r="O470" s="153"/>
      <c r="P470" s="153"/>
      <c r="Q470" s="153"/>
      <c r="R470" s="153"/>
      <c r="S470" s="153"/>
      <c r="T470" s="153"/>
      <c r="U470" s="153"/>
      <c r="V470" s="153"/>
      <c r="W470" s="153"/>
      <c r="X470" s="153"/>
      <c r="Y470" s="153"/>
      <c r="Z470" s="153"/>
      <c r="AA470" s="153"/>
    </row>
    <row r="471" spans="13:27" ht="15" customHeight="1" x14ac:dyDescent="0.25">
      <c r="M471" s="153"/>
      <c r="N471" s="153"/>
      <c r="O471" s="153"/>
      <c r="P471" s="153"/>
      <c r="Q471" s="153"/>
      <c r="R471" s="153"/>
      <c r="S471" s="153"/>
      <c r="T471" s="153"/>
      <c r="U471" s="153"/>
      <c r="V471" s="153"/>
      <c r="W471" s="153"/>
      <c r="X471" s="153"/>
      <c r="Y471" s="153"/>
      <c r="Z471" s="153"/>
      <c r="AA471" s="153"/>
    </row>
    <row r="472" spans="13:27" ht="15" customHeight="1" x14ac:dyDescent="0.25">
      <c r="M472" s="153"/>
      <c r="N472" s="153"/>
      <c r="O472" s="153"/>
      <c r="P472" s="153"/>
      <c r="Q472" s="153"/>
      <c r="R472" s="153"/>
      <c r="S472" s="153"/>
      <c r="T472" s="153"/>
      <c r="U472" s="153"/>
      <c r="V472" s="153"/>
      <c r="W472" s="153"/>
      <c r="X472" s="153"/>
      <c r="Y472" s="153"/>
      <c r="Z472" s="153"/>
      <c r="AA472" s="153"/>
    </row>
    <row r="473" spans="13:27" ht="15" customHeight="1" x14ac:dyDescent="0.25">
      <c r="M473" s="153"/>
      <c r="N473" s="153"/>
      <c r="O473" s="153"/>
      <c r="P473" s="153"/>
      <c r="Q473" s="153"/>
      <c r="R473" s="153"/>
      <c r="S473" s="153"/>
      <c r="T473" s="153"/>
      <c r="U473" s="153"/>
      <c r="V473" s="153"/>
      <c r="W473" s="153"/>
      <c r="X473" s="153"/>
      <c r="Y473" s="153"/>
      <c r="Z473" s="153"/>
      <c r="AA473" s="153"/>
    </row>
    <row r="474" spans="13:27" ht="15" customHeight="1" x14ac:dyDescent="0.25"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153"/>
    </row>
    <row r="475" spans="13:27" ht="15" customHeight="1" x14ac:dyDescent="0.25"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</row>
    <row r="476" spans="13:27" ht="15" customHeight="1" x14ac:dyDescent="0.25"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153"/>
    </row>
    <row r="477" spans="13:27" ht="15" customHeight="1" x14ac:dyDescent="0.25"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153"/>
    </row>
    <row r="478" spans="13:27" ht="15" customHeight="1" x14ac:dyDescent="0.25"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</row>
    <row r="479" spans="13:27" ht="15" customHeight="1" x14ac:dyDescent="0.25"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</row>
    <row r="480" spans="13:27" ht="15" customHeight="1" x14ac:dyDescent="0.25"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</row>
    <row r="481" spans="13:27" ht="15" customHeight="1" x14ac:dyDescent="0.25"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</row>
    <row r="482" spans="13:27" ht="15" customHeight="1" x14ac:dyDescent="0.25"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</row>
    <row r="483" spans="13:27" ht="15" customHeight="1" x14ac:dyDescent="0.25">
      <c r="M483" s="153"/>
      <c r="N483" s="153"/>
      <c r="O483" s="153"/>
      <c r="P483" s="153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  <c r="AA483" s="153"/>
    </row>
    <row r="484" spans="13:27" ht="15" customHeight="1" x14ac:dyDescent="0.25">
      <c r="M484" s="153"/>
      <c r="N484" s="153"/>
      <c r="O484" s="153"/>
      <c r="P484" s="153"/>
      <c r="Q484" s="153"/>
      <c r="R484" s="153"/>
      <c r="S484" s="153"/>
      <c r="T484" s="153"/>
      <c r="U484" s="153"/>
      <c r="V484" s="153"/>
      <c r="W484" s="153"/>
      <c r="X484" s="153"/>
      <c r="Y484" s="153"/>
      <c r="Z484" s="153"/>
      <c r="AA484" s="153"/>
    </row>
    <row r="485" spans="13:27" ht="15" customHeight="1" x14ac:dyDescent="0.25">
      <c r="M485" s="153"/>
      <c r="N485" s="153"/>
      <c r="O485" s="153"/>
      <c r="P485" s="153"/>
      <c r="Q485" s="153"/>
      <c r="R485" s="153"/>
      <c r="S485" s="153"/>
      <c r="T485" s="153"/>
      <c r="U485" s="153"/>
      <c r="V485" s="153"/>
      <c r="W485" s="153"/>
      <c r="X485" s="153"/>
      <c r="Y485" s="153"/>
      <c r="Z485" s="153"/>
      <c r="AA485" s="153"/>
    </row>
    <row r="486" spans="13:27" ht="15" customHeight="1" x14ac:dyDescent="0.25">
      <c r="M486" s="153"/>
      <c r="N486" s="153"/>
      <c r="O486" s="153"/>
      <c r="P486" s="153"/>
      <c r="Q486" s="153"/>
      <c r="R486" s="153"/>
      <c r="S486" s="153"/>
      <c r="T486" s="153"/>
      <c r="U486" s="153"/>
      <c r="V486" s="153"/>
      <c r="W486" s="153"/>
      <c r="X486" s="153"/>
      <c r="Y486" s="153"/>
      <c r="Z486" s="153"/>
      <c r="AA486" s="153"/>
    </row>
    <row r="487" spans="13:27" ht="15" customHeight="1" x14ac:dyDescent="0.25">
      <c r="M487" s="153"/>
      <c r="N487" s="153"/>
      <c r="O487" s="153"/>
      <c r="P487" s="153"/>
      <c r="Q487" s="153"/>
      <c r="R487" s="153"/>
      <c r="S487" s="153"/>
      <c r="T487" s="153"/>
      <c r="U487" s="153"/>
      <c r="V487" s="153"/>
      <c r="W487" s="153"/>
      <c r="X487" s="153"/>
      <c r="Y487" s="153"/>
      <c r="Z487" s="153"/>
      <c r="AA487" s="153"/>
    </row>
    <row r="488" spans="13:27" ht="15" customHeight="1" x14ac:dyDescent="0.25">
      <c r="M488" s="153"/>
      <c r="N488" s="153"/>
      <c r="O488" s="153"/>
      <c r="P488" s="153"/>
      <c r="Q488" s="153"/>
      <c r="R488" s="153"/>
      <c r="S488" s="153"/>
      <c r="T488" s="153"/>
      <c r="U488" s="153"/>
      <c r="V488" s="153"/>
      <c r="W488" s="153"/>
      <c r="X488" s="153"/>
      <c r="Y488" s="153"/>
      <c r="Z488" s="153"/>
      <c r="AA488" s="153"/>
    </row>
    <row r="489" spans="13:27" ht="15" customHeight="1" x14ac:dyDescent="0.25">
      <c r="M489" s="153"/>
      <c r="N489" s="153"/>
      <c r="O489" s="153"/>
      <c r="P489" s="153"/>
      <c r="Q489" s="153"/>
      <c r="R489" s="153"/>
      <c r="S489" s="153"/>
      <c r="T489" s="153"/>
      <c r="U489" s="153"/>
      <c r="V489" s="153"/>
      <c r="W489" s="153"/>
      <c r="X489" s="153"/>
      <c r="Y489" s="153"/>
      <c r="Z489" s="153"/>
      <c r="AA489" s="153"/>
    </row>
    <row r="490" spans="13:27" ht="15" customHeight="1" x14ac:dyDescent="0.25">
      <c r="M490" s="153"/>
      <c r="N490" s="153"/>
      <c r="O490" s="153"/>
      <c r="P490" s="153"/>
      <c r="Q490" s="153"/>
      <c r="R490" s="153"/>
      <c r="S490" s="153"/>
      <c r="T490" s="153"/>
      <c r="U490" s="153"/>
      <c r="V490" s="153"/>
      <c r="W490" s="153"/>
      <c r="X490" s="153"/>
      <c r="Y490" s="153"/>
      <c r="Z490" s="153"/>
      <c r="AA490" s="153"/>
    </row>
    <row r="491" spans="13:27" ht="15" customHeight="1" x14ac:dyDescent="0.25">
      <c r="M491" s="153"/>
      <c r="N491" s="153"/>
      <c r="O491" s="153"/>
      <c r="P491" s="153"/>
      <c r="Q491" s="153"/>
      <c r="R491" s="153"/>
      <c r="S491" s="153"/>
      <c r="T491" s="153"/>
      <c r="U491" s="153"/>
      <c r="V491" s="153"/>
      <c r="W491" s="153"/>
      <c r="X491" s="153"/>
      <c r="Y491" s="153"/>
      <c r="Z491" s="153"/>
      <c r="AA491" s="153"/>
    </row>
    <row r="492" spans="13:27" ht="15" customHeight="1" x14ac:dyDescent="0.25"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  <c r="AA492" s="153"/>
    </row>
    <row r="493" spans="13:27" ht="15" customHeight="1" x14ac:dyDescent="0.25"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  <c r="Z493" s="153"/>
      <c r="AA493" s="153"/>
    </row>
    <row r="494" spans="13:27" ht="15" customHeight="1" x14ac:dyDescent="0.25"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  <c r="Z494" s="153"/>
      <c r="AA494" s="153"/>
    </row>
    <row r="495" spans="13:27" ht="15" customHeight="1" x14ac:dyDescent="0.25"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  <c r="Z495" s="153"/>
      <c r="AA495" s="153"/>
    </row>
    <row r="496" spans="13:27" ht="15" customHeight="1" x14ac:dyDescent="0.25"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  <c r="AA496" s="153"/>
    </row>
    <row r="497" spans="13:27" ht="15" customHeight="1" x14ac:dyDescent="0.25"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</row>
    <row r="498" spans="13:27" ht="15" customHeight="1" x14ac:dyDescent="0.25"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</row>
    <row r="499" spans="13:27" ht="15" customHeight="1" x14ac:dyDescent="0.25"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</row>
    <row r="500" spans="13:27" ht="15" customHeight="1" x14ac:dyDescent="0.25"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</row>
    <row r="501" spans="13:27" ht="15" customHeight="1" x14ac:dyDescent="0.25">
      <c r="M501" s="153"/>
      <c r="N501" s="153"/>
      <c r="O501" s="153"/>
      <c r="P501" s="153"/>
      <c r="Q501" s="153"/>
      <c r="R501" s="153"/>
      <c r="S501" s="153"/>
      <c r="T501" s="153"/>
      <c r="U501" s="153"/>
      <c r="V501" s="153"/>
      <c r="W501" s="153"/>
      <c r="X501" s="153"/>
      <c r="Y501" s="153"/>
      <c r="Z501" s="153"/>
      <c r="AA501" s="153"/>
    </row>
    <row r="502" spans="13:27" ht="15" customHeight="1" x14ac:dyDescent="0.25">
      <c r="M502" s="153"/>
      <c r="N502" s="153"/>
      <c r="O502" s="153"/>
      <c r="P502" s="153"/>
      <c r="Q502" s="153"/>
      <c r="R502" s="153"/>
      <c r="S502" s="153"/>
      <c r="T502" s="153"/>
      <c r="U502" s="153"/>
      <c r="V502" s="153"/>
      <c r="W502" s="153"/>
      <c r="X502" s="153"/>
      <c r="Y502" s="153"/>
      <c r="Z502" s="153"/>
      <c r="AA502" s="153"/>
    </row>
    <row r="503" spans="13:27" ht="15" customHeight="1" x14ac:dyDescent="0.25">
      <c r="M503" s="153"/>
      <c r="N503" s="153"/>
      <c r="O503" s="153"/>
      <c r="P503" s="153"/>
      <c r="Q503" s="153"/>
      <c r="R503" s="153"/>
      <c r="S503" s="153"/>
      <c r="T503" s="153"/>
      <c r="U503" s="153"/>
      <c r="V503" s="153"/>
      <c r="W503" s="153"/>
      <c r="X503" s="153"/>
      <c r="Y503" s="153"/>
      <c r="Z503" s="153"/>
      <c r="AA503" s="153"/>
    </row>
    <row r="504" spans="13:27" ht="15" customHeight="1" x14ac:dyDescent="0.25">
      <c r="M504" s="153"/>
      <c r="N504" s="153"/>
      <c r="O504" s="153"/>
      <c r="P504" s="153"/>
      <c r="Q504" s="153"/>
      <c r="R504" s="153"/>
      <c r="S504" s="153"/>
      <c r="T504" s="153"/>
      <c r="U504" s="153"/>
      <c r="V504" s="153"/>
      <c r="W504" s="153"/>
      <c r="X504" s="153"/>
      <c r="Y504" s="153"/>
      <c r="Z504" s="153"/>
      <c r="AA504" s="153"/>
    </row>
    <row r="505" spans="13:27" ht="15" customHeight="1" x14ac:dyDescent="0.25">
      <c r="M505" s="153"/>
      <c r="N505" s="153"/>
      <c r="O505" s="153"/>
      <c r="P505" s="153"/>
      <c r="Q505" s="153"/>
      <c r="R505" s="153"/>
      <c r="S505" s="153"/>
      <c r="T505" s="153"/>
      <c r="U505" s="153"/>
      <c r="V505" s="153"/>
      <c r="W505" s="153"/>
      <c r="X505" s="153"/>
      <c r="Y505" s="153"/>
      <c r="Z505" s="153"/>
      <c r="AA505" s="153"/>
    </row>
    <row r="506" spans="13:27" ht="15" customHeight="1" x14ac:dyDescent="0.25">
      <c r="M506" s="153"/>
      <c r="N506" s="153"/>
      <c r="O506" s="153"/>
      <c r="P506" s="153"/>
      <c r="Q506" s="153"/>
      <c r="R506" s="153"/>
      <c r="S506" s="153"/>
      <c r="T506" s="153"/>
      <c r="U506" s="153"/>
      <c r="V506" s="153"/>
      <c r="W506" s="153"/>
      <c r="X506" s="153"/>
      <c r="Y506" s="153"/>
      <c r="Z506" s="153"/>
      <c r="AA506" s="153"/>
    </row>
    <row r="507" spans="13:27" ht="15" customHeight="1" x14ac:dyDescent="0.25">
      <c r="M507" s="153"/>
      <c r="N507" s="153"/>
      <c r="O507" s="153"/>
      <c r="P507" s="153"/>
      <c r="Q507" s="153"/>
      <c r="R507" s="153"/>
      <c r="S507" s="153"/>
      <c r="T507" s="153"/>
      <c r="U507" s="153"/>
      <c r="V507" s="153"/>
      <c r="W507" s="153"/>
      <c r="X507" s="153"/>
      <c r="Y507" s="153"/>
      <c r="Z507" s="153"/>
      <c r="AA507" s="153"/>
    </row>
    <row r="508" spans="13:27" ht="15" customHeight="1" x14ac:dyDescent="0.25">
      <c r="M508" s="153"/>
      <c r="N508" s="153"/>
      <c r="O508" s="153"/>
      <c r="P508" s="153"/>
      <c r="Q508" s="153"/>
      <c r="R508" s="153"/>
      <c r="S508" s="153"/>
      <c r="T508" s="153"/>
      <c r="U508" s="153"/>
      <c r="V508" s="153"/>
      <c r="W508" s="153"/>
      <c r="X508" s="153"/>
      <c r="Y508" s="153"/>
      <c r="Z508" s="153"/>
      <c r="AA508" s="153"/>
    </row>
    <row r="509" spans="13:27" ht="15" customHeight="1" x14ac:dyDescent="0.25">
      <c r="M509" s="153"/>
      <c r="N509" s="153"/>
      <c r="O509" s="153"/>
      <c r="P509" s="153"/>
      <c r="Q509" s="153"/>
      <c r="R509" s="153"/>
      <c r="S509" s="153"/>
      <c r="T509" s="153"/>
      <c r="U509" s="153"/>
      <c r="V509" s="153"/>
      <c r="W509" s="153"/>
      <c r="X509" s="153"/>
      <c r="Y509" s="153"/>
      <c r="Z509" s="153"/>
      <c r="AA509" s="153"/>
    </row>
    <row r="510" spans="13:27" ht="15" customHeight="1" x14ac:dyDescent="0.25"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</row>
    <row r="511" spans="13:27" ht="15" customHeight="1" x14ac:dyDescent="0.25"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</row>
    <row r="512" spans="13:27" ht="15" customHeight="1" x14ac:dyDescent="0.25"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</row>
    <row r="513" spans="7:27" ht="15" customHeight="1" x14ac:dyDescent="0.25"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</row>
    <row r="514" spans="7:27" ht="15" customHeight="1" x14ac:dyDescent="0.25"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</row>
    <row r="515" spans="7:27" ht="15" customHeight="1" x14ac:dyDescent="0.25"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</row>
    <row r="516" spans="7:27" ht="15" customHeight="1" x14ac:dyDescent="0.25"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</row>
    <row r="517" spans="7:27" ht="15" customHeight="1" x14ac:dyDescent="0.25"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</row>
    <row r="518" spans="7:27" ht="15" customHeight="1" x14ac:dyDescent="0.25"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</row>
    <row r="519" spans="7:27" ht="15" customHeight="1" x14ac:dyDescent="0.25">
      <c r="G519" s="194"/>
      <c r="H519" s="194"/>
      <c r="I519" s="194"/>
      <c r="J519" s="194"/>
      <c r="K519" s="194"/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  <c r="AA519" s="153"/>
    </row>
    <row r="520" spans="7:27" ht="15" customHeight="1" x14ac:dyDescent="0.25">
      <c r="M520" s="153"/>
      <c r="N520" s="153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  <c r="AA520" s="153"/>
    </row>
    <row r="521" spans="7:27" ht="15" customHeight="1" x14ac:dyDescent="0.25">
      <c r="M521" s="153"/>
      <c r="N521" s="153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3"/>
      <c r="AA521" s="153"/>
    </row>
    <row r="522" spans="7:27" ht="15" customHeight="1" x14ac:dyDescent="0.25">
      <c r="M522" s="153"/>
      <c r="N522" s="153"/>
      <c r="O522" s="153"/>
      <c r="P522" s="15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  <c r="AA522" s="153"/>
    </row>
    <row r="523" spans="7:27" ht="15" customHeight="1" x14ac:dyDescent="0.25">
      <c r="M523" s="153"/>
      <c r="N523" s="153"/>
      <c r="O523" s="153"/>
      <c r="P523" s="153"/>
      <c r="Q523" s="153"/>
      <c r="R523" s="153"/>
      <c r="S523" s="153"/>
      <c r="T523" s="153"/>
      <c r="U523" s="153"/>
      <c r="V523" s="153"/>
      <c r="W523" s="153"/>
      <c r="X523" s="153"/>
      <c r="Y523" s="153"/>
      <c r="Z523" s="153"/>
      <c r="AA523" s="153"/>
    </row>
    <row r="524" spans="7:27" ht="15" customHeight="1" x14ac:dyDescent="0.25">
      <c r="M524" s="153"/>
      <c r="N524" s="153"/>
      <c r="O524" s="153"/>
      <c r="P524" s="153"/>
      <c r="Q524" s="153"/>
      <c r="R524" s="153"/>
      <c r="S524" s="153"/>
      <c r="T524" s="153"/>
      <c r="U524" s="153"/>
      <c r="V524" s="153"/>
      <c r="W524" s="153"/>
      <c r="X524" s="153"/>
      <c r="Y524" s="153"/>
      <c r="Z524" s="153"/>
      <c r="AA524" s="153"/>
    </row>
    <row r="525" spans="7:27" ht="15" customHeight="1" x14ac:dyDescent="0.25">
      <c r="M525" s="153"/>
      <c r="N525" s="153"/>
      <c r="O525" s="153"/>
      <c r="P525" s="153"/>
      <c r="Q525" s="153"/>
      <c r="R525" s="153"/>
      <c r="S525" s="153"/>
      <c r="T525" s="153"/>
      <c r="U525" s="153"/>
      <c r="V525" s="153"/>
      <c r="W525" s="153"/>
      <c r="X525" s="153"/>
      <c r="Y525" s="153"/>
      <c r="Z525" s="153"/>
      <c r="AA525" s="153"/>
    </row>
    <row r="526" spans="7:27" ht="15" customHeight="1" x14ac:dyDescent="0.25">
      <c r="M526" s="153"/>
      <c r="N526" s="153"/>
      <c r="O526" s="153"/>
      <c r="P526" s="153"/>
      <c r="Q526" s="153"/>
      <c r="R526" s="153"/>
      <c r="S526" s="153"/>
      <c r="T526" s="153"/>
      <c r="U526" s="153"/>
      <c r="V526" s="153"/>
      <c r="W526" s="153"/>
      <c r="X526" s="153"/>
      <c r="Y526" s="153"/>
      <c r="Z526" s="153"/>
      <c r="AA526" s="153"/>
    </row>
    <row r="527" spans="7:27" ht="15" customHeight="1" x14ac:dyDescent="0.25">
      <c r="M527" s="153"/>
      <c r="N527" s="153"/>
      <c r="O527" s="153"/>
      <c r="P527" s="153"/>
      <c r="Q527" s="153"/>
      <c r="R527" s="153"/>
      <c r="S527" s="153"/>
      <c r="T527" s="153"/>
      <c r="U527" s="153"/>
      <c r="V527" s="153"/>
      <c r="W527" s="153"/>
      <c r="X527" s="153"/>
      <c r="Y527" s="153"/>
      <c r="Z527" s="153"/>
      <c r="AA527" s="153"/>
    </row>
    <row r="528" spans="7:27" ht="15" customHeight="1" x14ac:dyDescent="0.25"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</row>
    <row r="529" spans="13:27" ht="15" customHeight="1" x14ac:dyDescent="0.25"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</row>
    <row r="530" spans="13:27" ht="15" customHeight="1" x14ac:dyDescent="0.25"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</row>
    <row r="531" spans="13:27" ht="15" customHeight="1" x14ac:dyDescent="0.25"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</row>
    <row r="532" spans="13:27" ht="15" customHeight="1" x14ac:dyDescent="0.25"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</row>
    <row r="533" spans="13:27" ht="15" customHeight="1" x14ac:dyDescent="0.25"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</row>
    <row r="534" spans="13:27" ht="15" customHeight="1" x14ac:dyDescent="0.25"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</row>
    <row r="535" spans="13:27" ht="15" customHeight="1" x14ac:dyDescent="0.25"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</row>
    <row r="536" spans="13:27" ht="15" customHeight="1" x14ac:dyDescent="0.25"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</row>
    <row r="537" spans="13:27" ht="15" customHeight="1" x14ac:dyDescent="0.25">
      <c r="M537" s="153"/>
      <c r="N537" s="153"/>
      <c r="O537" s="153"/>
      <c r="P537" s="153"/>
      <c r="Q537" s="153"/>
      <c r="R537" s="153"/>
      <c r="S537" s="153"/>
      <c r="T537" s="153"/>
      <c r="U537" s="153"/>
      <c r="V537" s="153"/>
      <c r="W537" s="153"/>
      <c r="X537" s="153"/>
      <c r="Y537" s="153"/>
      <c r="Z537" s="153"/>
      <c r="AA537" s="153"/>
    </row>
    <row r="538" spans="13:27" ht="15" customHeight="1" x14ac:dyDescent="0.25">
      <c r="M538" s="153"/>
      <c r="N538" s="153"/>
      <c r="O538" s="153"/>
      <c r="P538" s="153"/>
      <c r="Q538" s="153"/>
      <c r="R538" s="153"/>
      <c r="S538" s="153"/>
      <c r="T538" s="153"/>
      <c r="U538" s="153"/>
      <c r="V538" s="153"/>
      <c r="W538" s="153"/>
      <c r="X538" s="153"/>
      <c r="Y538" s="153"/>
      <c r="Z538" s="153"/>
      <c r="AA538" s="153"/>
    </row>
    <row r="539" spans="13:27" ht="15" customHeight="1" x14ac:dyDescent="0.25">
      <c r="M539" s="153"/>
      <c r="N539" s="153"/>
      <c r="O539" s="153"/>
      <c r="P539" s="153"/>
      <c r="Q539" s="153"/>
      <c r="R539" s="153"/>
      <c r="S539" s="153"/>
      <c r="T539" s="153"/>
      <c r="U539" s="153"/>
      <c r="V539" s="153"/>
      <c r="W539" s="153"/>
      <c r="X539" s="153"/>
      <c r="Y539" s="153"/>
      <c r="Z539" s="153"/>
      <c r="AA539" s="153"/>
    </row>
    <row r="540" spans="13:27" ht="15" customHeight="1" x14ac:dyDescent="0.25">
      <c r="M540" s="153"/>
      <c r="N540" s="153"/>
      <c r="O540" s="153"/>
      <c r="P540" s="153"/>
      <c r="Q540" s="153"/>
      <c r="R540" s="153"/>
      <c r="S540" s="153"/>
      <c r="T540" s="153"/>
      <c r="U540" s="153"/>
      <c r="V540" s="153"/>
      <c r="W540" s="153"/>
      <c r="X540" s="153"/>
      <c r="Y540" s="153"/>
      <c r="Z540" s="153"/>
      <c r="AA540" s="153"/>
    </row>
    <row r="541" spans="13:27" ht="15" customHeight="1" x14ac:dyDescent="0.25">
      <c r="M541" s="153"/>
      <c r="N541" s="153"/>
      <c r="O541" s="153"/>
      <c r="P541" s="153"/>
      <c r="Q541" s="153"/>
      <c r="R541" s="153"/>
      <c r="S541" s="153"/>
      <c r="T541" s="153"/>
      <c r="U541" s="153"/>
      <c r="V541" s="153"/>
      <c r="W541" s="153"/>
      <c r="X541" s="153"/>
      <c r="Y541" s="153"/>
      <c r="Z541" s="153"/>
      <c r="AA541" s="153"/>
    </row>
    <row r="542" spans="13:27" ht="15" customHeight="1" x14ac:dyDescent="0.25">
      <c r="M542" s="153"/>
      <c r="N542" s="153"/>
      <c r="O542" s="153"/>
      <c r="P542" s="153"/>
      <c r="Q542" s="153"/>
      <c r="R542" s="153"/>
      <c r="S542" s="153"/>
      <c r="T542" s="153"/>
      <c r="U542" s="153"/>
      <c r="V542" s="153"/>
      <c r="W542" s="153"/>
      <c r="X542" s="153"/>
      <c r="Y542" s="153"/>
      <c r="Z542" s="153"/>
      <c r="AA542" s="153"/>
    </row>
    <row r="543" spans="13:27" ht="15" customHeight="1" x14ac:dyDescent="0.25">
      <c r="M543" s="153"/>
      <c r="N543" s="153"/>
      <c r="O543" s="153"/>
      <c r="P543" s="153"/>
      <c r="Q543" s="153"/>
      <c r="R543" s="153"/>
      <c r="S543" s="153"/>
      <c r="T543" s="153"/>
      <c r="U543" s="153"/>
      <c r="V543" s="153"/>
      <c r="W543" s="153"/>
      <c r="X543" s="153"/>
      <c r="Y543" s="153"/>
      <c r="Z543" s="153"/>
      <c r="AA543" s="153"/>
    </row>
    <row r="544" spans="13:27" ht="15" customHeight="1" x14ac:dyDescent="0.25">
      <c r="M544" s="153"/>
      <c r="N544" s="153"/>
      <c r="O544" s="153"/>
      <c r="P544" s="153"/>
      <c r="Q544" s="153"/>
      <c r="R544" s="153"/>
      <c r="S544" s="153"/>
      <c r="T544" s="153"/>
      <c r="U544" s="153"/>
      <c r="V544" s="153"/>
      <c r="W544" s="153"/>
      <c r="X544" s="153"/>
      <c r="Y544" s="153"/>
      <c r="Z544" s="153"/>
      <c r="AA544" s="153"/>
    </row>
    <row r="545" spans="13:27" ht="15" customHeight="1" x14ac:dyDescent="0.25">
      <c r="M545" s="153"/>
      <c r="N545" s="153"/>
      <c r="O545" s="153"/>
      <c r="P545" s="153"/>
      <c r="Q545" s="153"/>
      <c r="R545" s="153"/>
      <c r="S545" s="153"/>
      <c r="T545" s="153"/>
      <c r="U545" s="153"/>
      <c r="V545" s="153"/>
      <c r="W545" s="153"/>
      <c r="X545" s="153"/>
      <c r="Y545" s="153"/>
      <c r="Z545" s="153"/>
      <c r="AA545" s="153"/>
    </row>
    <row r="546" spans="13:27" ht="15" customHeight="1" x14ac:dyDescent="0.25"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</row>
    <row r="547" spans="13:27" ht="15" customHeight="1" x14ac:dyDescent="0.25"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</row>
    <row r="548" spans="13:27" ht="15" customHeight="1" x14ac:dyDescent="0.25"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</row>
    <row r="549" spans="13:27" ht="15" customHeight="1" x14ac:dyDescent="0.25"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</row>
    <row r="550" spans="13:27" ht="15" customHeight="1" x14ac:dyDescent="0.25"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</row>
    <row r="551" spans="13:27" ht="15" customHeight="1" x14ac:dyDescent="0.25"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</row>
    <row r="552" spans="13:27" ht="15" customHeight="1" x14ac:dyDescent="0.25"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</row>
    <row r="553" spans="13:27" ht="15" customHeight="1" x14ac:dyDescent="0.25"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</row>
    <row r="554" spans="13:27" ht="15" customHeight="1" x14ac:dyDescent="0.25">
      <c r="M554" s="153"/>
      <c r="N554" s="153"/>
      <c r="O554" s="153"/>
      <c r="P554" s="153"/>
      <c r="Q554" s="153"/>
      <c r="R554" s="153"/>
      <c r="S554" s="153"/>
      <c r="T554" s="153"/>
      <c r="U554" s="153"/>
      <c r="V554" s="153"/>
      <c r="W554" s="153"/>
      <c r="X554" s="153"/>
      <c r="Y554" s="153"/>
      <c r="Z554" s="153"/>
      <c r="AA554" s="153"/>
    </row>
    <row r="555" spans="13:27" ht="15" customHeight="1" x14ac:dyDescent="0.25">
      <c r="M555" s="153"/>
      <c r="N555" s="153"/>
      <c r="O555" s="153"/>
      <c r="P555" s="153"/>
      <c r="Q555" s="153"/>
      <c r="R555" s="153"/>
      <c r="S555" s="153"/>
      <c r="T555" s="153"/>
      <c r="U555" s="153"/>
      <c r="V555" s="153"/>
      <c r="W555" s="153"/>
      <c r="X555" s="153"/>
      <c r="Y555" s="153"/>
      <c r="Z555" s="153"/>
      <c r="AA555" s="153"/>
    </row>
    <row r="556" spans="13:27" ht="15" customHeight="1" x14ac:dyDescent="0.25">
      <c r="M556" s="153"/>
      <c r="N556" s="153"/>
      <c r="O556" s="153"/>
      <c r="P556" s="153"/>
      <c r="Q556" s="153"/>
      <c r="R556" s="153"/>
      <c r="S556" s="153"/>
      <c r="T556" s="153"/>
      <c r="U556" s="153"/>
      <c r="V556" s="153"/>
      <c r="W556" s="153"/>
      <c r="X556" s="153"/>
      <c r="Y556" s="153"/>
      <c r="Z556" s="153"/>
      <c r="AA556" s="153"/>
    </row>
    <row r="557" spans="13:27" ht="15" customHeight="1" x14ac:dyDescent="0.25">
      <c r="M557" s="153"/>
      <c r="N557" s="153"/>
      <c r="O557" s="153"/>
      <c r="P557" s="153"/>
      <c r="Q557" s="153"/>
      <c r="R557" s="153"/>
      <c r="S557" s="153"/>
      <c r="T557" s="153"/>
      <c r="U557" s="153"/>
      <c r="V557" s="153"/>
      <c r="W557" s="153"/>
      <c r="X557" s="153"/>
      <c r="Y557" s="153"/>
      <c r="Z557" s="153"/>
      <c r="AA557" s="153"/>
    </row>
    <row r="558" spans="13:27" ht="15" customHeight="1" x14ac:dyDescent="0.25">
      <c r="M558" s="153"/>
      <c r="N558" s="153"/>
      <c r="O558" s="153"/>
      <c r="P558" s="153"/>
      <c r="Q558" s="153"/>
      <c r="R558" s="153"/>
      <c r="S558" s="153"/>
      <c r="T558" s="153"/>
      <c r="U558" s="153"/>
      <c r="V558" s="153"/>
      <c r="W558" s="153"/>
      <c r="X558" s="153"/>
      <c r="Y558" s="153"/>
      <c r="Z558" s="153"/>
      <c r="AA558" s="153"/>
    </row>
    <row r="559" spans="13:27" ht="15" customHeight="1" x14ac:dyDescent="0.25">
      <c r="M559" s="153"/>
      <c r="N559" s="153"/>
      <c r="O559" s="153"/>
      <c r="P559" s="153"/>
      <c r="Q559" s="153"/>
      <c r="R559" s="153"/>
      <c r="S559" s="153"/>
      <c r="T559" s="153"/>
      <c r="U559" s="153"/>
      <c r="V559" s="153"/>
      <c r="W559" s="153"/>
      <c r="X559" s="153"/>
      <c r="Y559" s="153"/>
      <c r="Z559" s="153"/>
      <c r="AA559" s="153"/>
    </row>
    <row r="560" spans="13:27" ht="15" customHeight="1" x14ac:dyDescent="0.25">
      <c r="M560" s="153"/>
      <c r="N560" s="153"/>
      <c r="O560" s="153"/>
      <c r="P560" s="153"/>
      <c r="Q560" s="153"/>
      <c r="R560" s="153"/>
      <c r="S560" s="153"/>
      <c r="T560" s="153"/>
      <c r="U560" s="153"/>
      <c r="V560" s="153"/>
      <c r="W560" s="153"/>
      <c r="X560" s="153"/>
      <c r="Y560" s="153"/>
      <c r="Z560" s="153"/>
      <c r="AA560" s="153"/>
    </row>
    <row r="561" spans="13:27" ht="15" customHeight="1" x14ac:dyDescent="0.25">
      <c r="M561" s="153"/>
      <c r="N561" s="153"/>
      <c r="O561" s="153"/>
      <c r="P561" s="153"/>
      <c r="Q561" s="153"/>
      <c r="R561" s="153"/>
      <c r="S561" s="153"/>
      <c r="T561" s="153"/>
      <c r="U561" s="153"/>
      <c r="V561" s="153"/>
      <c r="W561" s="153"/>
      <c r="X561" s="153"/>
      <c r="Y561" s="153"/>
      <c r="Z561" s="153"/>
      <c r="AA561" s="153"/>
    </row>
    <row r="562" spans="13:27" ht="15" customHeight="1" x14ac:dyDescent="0.25">
      <c r="M562" s="153"/>
      <c r="N562" s="153"/>
      <c r="O562" s="153"/>
      <c r="P562" s="153"/>
      <c r="Q562" s="153"/>
      <c r="R562" s="153"/>
      <c r="S562" s="153"/>
      <c r="T562" s="153"/>
      <c r="U562" s="153"/>
      <c r="V562" s="153"/>
      <c r="W562" s="153"/>
      <c r="X562" s="153"/>
      <c r="Y562" s="153"/>
      <c r="Z562" s="153"/>
      <c r="AA562" s="153"/>
    </row>
    <row r="563" spans="13:27" ht="15" customHeight="1" x14ac:dyDescent="0.25">
      <c r="M563" s="153"/>
      <c r="N563" s="153"/>
      <c r="O563" s="153"/>
      <c r="P563" s="153"/>
      <c r="Q563" s="153"/>
      <c r="R563" s="153"/>
      <c r="S563" s="153"/>
      <c r="T563" s="153"/>
      <c r="U563" s="153"/>
      <c r="V563" s="153"/>
      <c r="W563" s="153"/>
      <c r="X563" s="153"/>
      <c r="Y563" s="153"/>
      <c r="Z563" s="153"/>
      <c r="AA563" s="153"/>
    </row>
    <row r="564" spans="13:27" ht="15" customHeight="1" x14ac:dyDescent="0.25"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</row>
    <row r="565" spans="13:27" ht="15" customHeight="1" x14ac:dyDescent="0.25"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</row>
    <row r="566" spans="13:27" ht="15" customHeight="1" x14ac:dyDescent="0.25"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</row>
    <row r="567" spans="13:27" ht="15" customHeight="1" x14ac:dyDescent="0.25"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</row>
    <row r="568" spans="13:27" ht="15" customHeight="1" x14ac:dyDescent="0.25"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</row>
    <row r="569" spans="13:27" ht="15" customHeight="1" x14ac:dyDescent="0.25"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</row>
    <row r="570" spans="13:27" ht="15" customHeight="1" x14ac:dyDescent="0.25"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</row>
    <row r="571" spans="13:27" ht="15" customHeight="1" x14ac:dyDescent="0.25"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</row>
    <row r="572" spans="13:27" ht="15" customHeight="1" x14ac:dyDescent="0.25"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</row>
    <row r="573" spans="13:27" ht="15" customHeight="1" x14ac:dyDescent="0.25">
      <c r="M573" s="153"/>
      <c r="N573" s="153"/>
      <c r="O573" s="153"/>
      <c r="P573" s="153"/>
      <c r="Q573" s="153"/>
      <c r="R573" s="153"/>
      <c r="S573" s="153"/>
      <c r="T573" s="153"/>
      <c r="U573" s="153"/>
      <c r="V573" s="153"/>
      <c r="W573" s="153"/>
      <c r="X573" s="153"/>
      <c r="Y573" s="153"/>
      <c r="Z573" s="153"/>
      <c r="AA573" s="153"/>
    </row>
    <row r="574" spans="13:27" ht="15" customHeight="1" x14ac:dyDescent="0.25">
      <c r="M574" s="153"/>
      <c r="N574" s="153"/>
      <c r="O574" s="153"/>
      <c r="P574" s="153"/>
      <c r="Q574" s="153"/>
      <c r="R574" s="153"/>
      <c r="S574" s="153"/>
      <c r="T574" s="153"/>
      <c r="U574" s="153"/>
      <c r="V574" s="153"/>
      <c r="W574" s="153"/>
      <c r="X574" s="153"/>
      <c r="Y574" s="153"/>
      <c r="Z574" s="153"/>
      <c r="AA574" s="153"/>
    </row>
    <row r="575" spans="13:27" ht="15" customHeight="1" x14ac:dyDescent="0.25">
      <c r="M575" s="153"/>
      <c r="N575" s="153"/>
      <c r="O575" s="153"/>
      <c r="P575" s="153"/>
      <c r="Q575" s="153"/>
      <c r="R575" s="153"/>
      <c r="S575" s="153"/>
      <c r="T575" s="153"/>
      <c r="U575" s="153"/>
      <c r="V575" s="153"/>
      <c r="W575" s="153"/>
      <c r="X575" s="153"/>
      <c r="Y575" s="153"/>
      <c r="Z575" s="153"/>
      <c r="AA575" s="153"/>
    </row>
    <row r="576" spans="13:27" ht="15" customHeight="1" x14ac:dyDescent="0.25">
      <c r="M576" s="153"/>
      <c r="N576" s="153"/>
      <c r="O576" s="153"/>
      <c r="P576" s="153"/>
      <c r="Q576" s="153"/>
      <c r="R576" s="153"/>
      <c r="S576" s="153"/>
      <c r="T576" s="153"/>
      <c r="U576" s="153"/>
      <c r="V576" s="153"/>
      <c r="W576" s="153"/>
      <c r="X576" s="153"/>
      <c r="Y576" s="153"/>
      <c r="Z576" s="153"/>
      <c r="AA576" s="153"/>
    </row>
    <row r="577" spans="13:27" ht="15" customHeight="1" x14ac:dyDescent="0.25">
      <c r="M577" s="153"/>
      <c r="N577" s="153"/>
      <c r="O577" s="153"/>
      <c r="P577" s="153"/>
      <c r="Q577" s="153"/>
      <c r="R577" s="153"/>
      <c r="S577" s="153"/>
      <c r="T577" s="153"/>
      <c r="U577" s="153"/>
      <c r="V577" s="153"/>
      <c r="W577" s="153"/>
      <c r="X577" s="153"/>
      <c r="Y577" s="153"/>
      <c r="Z577" s="153"/>
      <c r="AA577" s="153"/>
    </row>
    <row r="578" spans="13:27" ht="15" customHeight="1" x14ac:dyDescent="0.25">
      <c r="M578" s="153"/>
      <c r="N578" s="153"/>
      <c r="O578" s="153"/>
      <c r="P578" s="153"/>
      <c r="Q578" s="153"/>
      <c r="R578" s="153"/>
      <c r="S578" s="153"/>
      <c r="T578" s="153"/>
      <c r="U578" s="153"/>
      <c r="V578" s="153"/>
      <c r="W578" s="153"/>
      <c r="X578" s="153"/>
      <c r="Y578" s="153"/>
      <c r="Z578" s="153"/>
      <c r="AA578" s="153"/>
    </row>
    <row r="579" spans="13:27" ht="15" customHeight="1" x14ac:dyDescent="0.25">
      <c r="M579" s="153"/>
      <c r="N579" s="153"/>
      <c r="O579" s="153"/>
      <c r="P579" s="153"/>
      <c r="Q579" s="153"/>
      <c r="R579" s="153"/>
      <c r="S579" s="153"/>
      <c r="T579" s="153"/>
      <c r="U579" s="153"/>
      <c r="V579" s="153"/>
      <c r="W579" s="153"/>
      <c r="X579" s="153"/>
      <c r="Y579" s="153"/>
      <c r="Z579" s="153"/>
      <c r="AA579" s="153"/>
    </row>
    <row r="580" spans="13:27" ht="15" customHeight="1" x14ac:dyDescent="0.25">
      <c r="M580" s="153"/>
      <c r="N580" s="153"/>
      <c r="O580" s="153"/>
      <c r="P580" s="153"/>
      <c r="Q580" s="153"/>
      <c r="R580" s="153"/>
      <c r="S580" s="153"/>
      <c r="T580" s="153"/>
      <c r="U580" s="153"/>
      <c r="V580" s="153"/>
      <c r="W580" s="153"/>
      <c r="X580" s="153"/>
      <c r="Y580" s="153"/>
      <c r="Z580" s="153"/>
      <c r="AA580" s="153"/>
    </row>
    <row r="581" spans="13:27" ht="15" customHeight="1" x14ac:dyDescent="0.25">
      <c r="M581" s="153"/>
      <c r="N581" s="153"/>
      <c r="O581" s="153"/>
      <c r="P581" s="153"/>
      <c r="Q581" s="153"/>
      <c r="R581" s="153"/>
      <c r="S581" s="153"/>
      <c r="T581" s="153"/>
      <c r="U581" s="153"/>
      <c r="V581" s="153"/>
      <c r="W581" s="153"/>
      <c r="X581" s="153"/>
      <c r="Y581" s="153"/>
      <c r="Z581" s="153"/>
      <c r="AA581" s="153"/>
    </row>
    <row r="582" spans="13:27" ht="15" customHeight="1" x14ac:dyDescent="0.25"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</row>
    <row r="583" spans="13:27" ht="15" customHeight="1" x14ac:dyDescent="0.25"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</row>
    <row r="584" spans="13:27" ht="15" customHeight="1" x14ac:dyDescent="0.25"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</row>
    <row r="585" spans="13:27" ht="15" customHeight="1" x14ac:dyDescent="0.25">
      <c r="M585" s="153"/>
      <c r="N585" s="153"/>
      <c r="O585" s="153"/>
      <c r="P585" s="153"/>
      <c r="Q585" s="153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</row>
    <row r="586" spans="13:27" ht="15" customHeight="1" x14ac:dyDescent="0.25">
      <c r="M586" s="153"/>
      <c r="N586" s="153"/>
      <c r="O586" s="153"/>
      <c r="P586" s="153"/>
      <c r="Q586" s="153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</row>
    <row r="587" spans="13:27" ht="15" customHeight="1" x14ac:dyDescent="0.25"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</row>
    <row r="588" spans="13:27" ht="15" customHeight="1" x14ac:dyDescent="0.25">
      <c r="M588" s="153"/>
      <c r="N588" s="153"/>
      <c r="O588" s="153"/>
      <c r="P588" s="153"/>
      <c r="Q588" s="153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</row>
    <row r="589" spans="13:27" ht="15" customHeight="1" x14ac:dyDescent="0.25">
      <c r="M589" s="153"/>
      <c r="N589" s="153"/>
      <c r="O589" s="153"/>
      <c r="P589" s="153"/>
      <c r="Q589" s="153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</row>
    <row r="590" spans="13:27" ht="15" customHeight="1" x14ac:dyDescent="0.25">
      <c r="M590" s="153"/>
      <c r="N590" s="153"/>
      <c r="O590" s="153"/>
      <c r="P590" s="153"/>
      <c r="Q590" s="153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</row>
    <row r="591" spans="13:27" ht="15" customHeight="1" x14ac:dyDescent="0.25">
      <c r="M591" s="153"/>
      <c r="N591" s="153"/>
      <c r="O591" s="153"/>
      <c r="P591" s="153"/>
      <c r="Q591" s="153"/>
      <c r="R591" s="153"/>
      <c r="S591" s="153"/>
      <c r="T591" s="153"/>
      <c r="U591" s="153"/>
      <c r="V591" s="153"/>
      <c r="W591" s="153"/>
      <c r="X591" s="153"/>
      <c r="Y591" s="153"/>
      <c r="Z591" s="153"/>
      <c r="AA591" s="153"/>
    </row>
    <row r="592" spans="13:27" ht="15" customHeight="1" x14ac:dyDescent="0.25">
      <c r="M592" s="153"/>
      <c r="N592" s="153"/>
      <c r="O592" s="153"/>
      <c r="P592" s="153"/>
      <c r="Q592" s="153"/>
      <c r="R592" s="153"/>
      <c r="S592" s="153"/>
      <c r="T592" s="153"/>
      <c r="U592" s="153"/>
      <c r="V592" s="153"/>
      <c r="W592" s="153"/>
      <c r="X592" s="153"/>
      <c r="Y592" s="153"/>
      <c r="Z592" s="153"/>
      <c r="AA592" s="153"/>
    </row>
    <row r="593" spans="13:27" ht="15" customHeight="1" x14ac:dyDescent="0.25">
      <c r="M593" s="153"/>
      <c r="N593" s="153"/>
      <c r="O593" s="153"/>
      <c r="P593" s="153"/>
      <c r="Q593" s="153"/>
      <c r="R593" s="153"/>
      <c r="S593" s="153"/>
      <c r="T593" s="153"/>
      <c r="U593" s="153"/>
      <c r="V593" s="153"/>
      <c r="W593" s="153"/>
      <c r="X593" s="153"/>
      <c r="Y593" s="153"/>
      <c r="Z593" s="153"/>
      <c r="AA593" s="153"/>
    </row>
    <row r="594" spans="13:27" ht="15" customHeight="1" x14ac:dyDescent="0.25">
      <c r="M594" s="153"/>
      <c r="N594" s="153"/>
      <c r="O594" s="153"/>
      <c r="P594" s="153"/>
      <c r="Q594" s="153"/>
      <c r="R594" s="153"/>
      <c r="S594" s="153"/>
      <c r="T594" s="153"/>
      <c r="U594" s="153"/>
      <c r="V594" s="153"/>
      <c r="W594" s="153"/>
      <c r="X594" s="153"/>
      <c r="Y594" s="153"/>
      <c r="Z594" s="153"/>
      <c r="AA594" s="153"/>
    </row>
    <row r="595" spans="13:27" ht="15" customHeight="1" x14ac:dyDescent="0.25">
      <c r="M595" s="153"/>
      <c r="N595" s="153"/>
      <c r="O595" s="153"/>
      <c r="P595" s="153"/>
      <c r="Q595" s="153"/>
      <c r="R595" s="153"/>
      <c r="S595" s="153"/>
      <c r="T595" s="153"/>
      <c r="U595" s="153"/>
      <c r="V595" s="153"/>
      <c r="W595" s="153"/>
      <c r="X595" s="153"/>
      <c r="Y595" s="153"/>
      <c r="Z595" s="153"/>
      <c r="AA595" s="153"/>
    </row>
    <row r="596" spans="13:27" ht="15" customHeight="1" x14ac:dyDescent="0.25">
      <c r="M596" s="153"/>
      <c r="N596" s="153"/>
      <c r="O596" s="153"/>
      <c r="P596" s="153"/>
      <c r="Q596" s="153"/>
      <c r="R596" s="153"/>
      <c r="S596" s="153"/>
      <c r="T596" s="153"/>
      <c r="U596" s="153"/>
      <c r="V596" s="153"/>
      <c r="W596" s="153"/>
      <c r="X596" s="153"/>
      <c r="Y596" s="153"/>
      <c r="Z596" s="153"/>
      <c r="AA596" s="153"/>
    </row>
    <row r="597" spans="13:27" ht="15" customHeight="1" x14ac:dyDescent="0.25">
      <c r="M597" s="153"/>
      <c r="N597" s="153"/>
      <c r="O597" s="153"/>
      <c r="P597" s="153"/>
      <c r="Q597" s="153"/>
      <c r="R597" s="153"/>
      <c r="S597" s="153"/>
      <c r="T597" s="153"/>
      <c r="U597" s="153"/>
      <c r="V597" s="153"/>
      <c r="W597" s="153"/>
      <c r="X597" s="153"/>
      <c r="Y597" s="153"/>
      <c r="Z597" s="153"/>
      <c r="AA597" s="153"/>
    </row>
    <row r="598" spans="13:27" ht="15" customHeight="1" x14ac:dyDescent="0.25">
      <c r="M598" s="153"/>
      <c r="N598" s="153"/>
      <c r="O598" s="153"/>
      <c r="P598" s="153"/>
      <c r="Q598" s="153"/>
      <c r="R598" s="153"/>
      <c r="S598" s="153"/>
      <c r="T598" s="153"/>
      <c r="U598" s="153"/>
      <c r="V598" s="153"/>
      <c r="W598" s="153"/>
      <c r="X598" s="153"/>
      <c r="Y598" s="153"/>
      <c r="Z598" s="153"/>
      <c r="AA598" s="153"/>
    </row>
    <row r="599" spans="13:27" ht="15" customHeight="1" x14ac:dyDescent="0.25">
      <c r="M599" s="153"/>
      <c r="N599" s="153"/>
      <c r="O599" s="153"/>
      <c r="P599" s="153"/>
      <c r="Q599" s="153"/>
      <c r="R599" s="153"/>
      <c r="S599" s="153"/>
      <c r="T599" s="153"/>
      <c r="U599" s="153"/>
      <c r="V599" s="153"/>
      <c r="W599" s="153"/>
      <c r="X599" s="153"/>
      <c r="Y599" s="153"/>
      <c r="Z599" s="153"/>
      <c r="AA599" s="153"/>
    </row>
    <row r="600" spans="13:27" ht="15" customHeight="1" x14ac:dyDescent="0.25">
      <c r="M600" s="153"/>
      <c r="N600" s="153"/>
      <c r="O600" s="153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</row>
    <row r="601" spans="13:27" ht="15" customHeight="1" x14ac:dyDescent="0.25">
      <c r="M601" s="153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</row>
    <row r="602" spans="13:27" ht="15" customHeight="1" x14ac:dyDescent="0.25">
      <c r="M602" s="153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</row>
    <row r="603" spans="13:27" ht="15" customHeight="1" x14ac:dyDescent="0.25">
      <c r="M603" s="153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</row>
    <row r="604" spans="13:27" ht="15" customHeight="1" x14ac:dyDescent="0.25">
      <c r="M604" s="153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</row>
    <row r="605" spans="13:27" ht="15" customHeight="1" x14ac:dyDescent="0.25">
      <c r="M605" s="153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</row>
    <row r="606" spans="13:27" ht="15" customHeight="1" x14ac:dyDescent="0.25">
      <c r="M606" s="153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</row>
    <row r="607" spans="13:27" ht="15" customHeight="1" x14ac:dyDescent="0.25">
      <c r="M607" s="153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</row>
    <row r="608" spans="13:27" ht="15" customHeight="1" x14ac:dyDescent="0.25"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  <c r="AA608" s="153"/>
    </row>
    <row r="609" spans="13:27" ht="15" customHeight="1" x14ac:dyDescent="0.25">
      <c r="M609" s="153"/>
      <c r="N609" s="153"/>
      <c r="O609" s="153"/>
      <c r="P609" s="153"/>
      <c r="Q609" s="153"/>
      <c r="R609" s="153"/>
      <c r="S609" s="153"/>
      <c r="T609" s="153"/>
      <c r="U609" s="153"/>
      <c r="V609" s="153"/>
      <c r="W609" s="153"/>
      <c r="X609" s="153"/>
      <c r="Y609" s="153"/>
      <c r="Z609" s="153"/>
      <c r="AA609" s="153"/>
    </row>
    <row r="610" spans="13:27" ht="15" customHeight="1" x14ac:dyDescent="0.25">
      <c r="M610" s="153"/>
      <c r="N610" s="153"/>
      <c r="O610" s="153"/>
      <c r="P610" s="153"/>
      <c r="Q610" s="153"/>
      <c r="R610" s="153"/>
      <c r="S610" s="153"/>
      <c r="T610" s="153"/>
      <c r="U610" s="153"/>
      <c r="V610" s="153"/>
      <c r="W610" s="153"/>
      <c r="X610" s="153"/>
      <c r="Y610" s="153"/>
      <c r="Z610" s="153"/>
      <c r="AA610" s="153"/>
    </row>
    <row r="611" spans="13:27" ht="15" customHeight="1" x14ac:dyDescent="0.25">
      <c r="M611" s="153"/>
      <c r="N611" s="153"/>
      <c r="O611" s="153"/>
      <c r="P611" s="153"/>
      <c r="Q611" s="153"/>
      <c r="R611" s="153"/>
      <c r="S611" s="153"/>
      <c r="T611" s="153"/>
      <c r="U611" s="153"/>
      <c r="V611" s="153"/>
      <c r="W611" s="153"/>
      <c r="X611" s="153"/>
      <c r="Y611" s="153"/>
      <c r="Z611" s="153"/>
      <c r="AA611" s="153"/>
    </row>
    <row r="612" spans="13:27" ht="15" customHeight="1" x14ac:dyDescent="0.25">
      <c r="M612" s="153"/>
      <c r="N612" s="153"/>
      <c r="O612" s="153"/>
      <c r="P612" s="153"/>
      <c r="Q612" s="153"/>
      <c r="R612" s="153"/>
      <c r="S612" s="153"/>
      <c r="T612" s="153"/>
      <c r="U612" s="153"/>
      <c r="V612" s="153"/>
      <c r="W612" s="153"/>
      <c r="X612" s="153"/>
      <c r="Y612" s="153"/>
      <c r="Z612" s="153"/>
      <c r="AA612" s="153"/>
    </row>
    <row r="613" spans="13:27" ht="15" customHeight="1" x14ac:dyDescent="0.25">
      <c r="M613" s="153"/>
      <c r="N613" s="153"/>
      <c r="O613" s="153"/>
      <c r="P613" s="153"/>
      <c r="Q613" s="153"/>
      <c r="R613" s="153"/>
      <c r="S613" s="153"/>
      <c r="T613" s="153"/>
      <c r="U613" s="153"/>
      <c r="V613" s="153"/>
      <c r="W613" s="153"/>
      <c r="X613" s="153"/>
      <c r="Y613" s="153"/>
      <c r="Z613" s="153"/>
      <c r="AA613" s="153"/>
    </row>
    <row r="614" spans="13:27" ht="15" customHeight="1" x14ac:dyDescent="0.25">
      <c r="M614" s="153"/>
      <c r="N614" s="153"/>
      <c r="O614" s="153"/>
      <c r="P614" s="153"/>
      <c r="Q614" s="153"/>
      <c r="R614" s="153"/>
      <c r="S614" s="153"/>
      <c r="T614" s="153"/>
      <c r="U614" s="153"/>
      <c r="V614" s="153"/>
      <c r="W614" s="153"/>
      <c r="X614" s="153"/>
      <c r="Y614" s="153"/>
      <c r="Z614" s="153"/>
      <c r="AA614" s="153"/>
    </row>
    <row r="615" spans="13:27" ht="15" customHeight="1" x14ac:dyDescent="0.25">
      <c r="M615" s="153"/>
      <c r="N615" s="153"/>
      <c r="O615" s="153"/>
      <c r="P615" s="153"/>
      <c r="Q615" s="153"/>
      <c r="R615" s="153"/>
      <c r="S615" s="153"/>
      <c r="T615" s="153"/>
      <c r="U615" s="153"/>
      <c r="V615" s="153"/>
      <c r="W615" s="153"/>
      <c r="X615" s="153"/>
      <c r="Y615" s="153"/>
      <c r="Z615" s="153"/>
      <c r="AA615" s="153"/>
    </row>
    <row r="616" spans="13:27" ht="15" customHeight="1" x14ac:dyDescent="0.25">
      <c r="M616" s="153"/>
      <c r="N616" s="153"/>
      <c r="O616" s="153"/>
      <c r="P616" s="153"/>
      <c r="Q616" s="153"/>
      <c r="R616" s="153"/>
      <c r="S616" s="153"/>
      <c r="T616" s="153"/>
      <c r="U616" s="153"/>
      <c r="V616" s="153"/>
      <c r="W616" s="153"/>
      <c r="X616" s="153"/>
      <c r="Y616" s="153"/>
      <c r="Z616" s="153"/>
      <c r="AA616" s="153"/>
    </row>
    <row r="617" spans="13:27" ht="15" customHeight="1" x14ac:dyDescent="0.25">
      <c r="M617" s="153"/>
      <c r="N617" s="153"/>
      <c r="O617" s="153"/>
      <c r="P617" s="153"/>
      <c r="Q617" s="153"/>
      <c r="R617" s="153"/>
      <c r="S617" s="153"/>
      <c r="T617" s="153"/>
      <c r="U617" s="153"/>
      <c r="V617" s="153"/>
      <c r="W617" s="153"/>
      <c r="X617" s="153"/>
      <c r="Y617" s="153"/>
      <c r="Z617" s="153"/>
      <c r="AA617" s="153"/>
    </row>
    <row r="618" spans="13:27" ht="15" customHeight="1" x14ac:dyDescent="0.25"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</row>
    <row r="619" spans="13:27" ht="15" customHeight="1" x14ac:dyDescent="0.25"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</row>
    <row r="620" spans="13:27" ht="15" customHeight="1" x14ac:dyDescent="0.25"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</row>
    <row r="621" spans="13:27" ht="15" customHeight="1" x14ac:dyDescent="0.25"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</row>
    <row r="622" spans="13:27" ht="15" customHeight="1" x14ac:dyDescent="0.25"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</row>
    <row r="623" spans="13:27" ht="15" customHeight="1" x14ac:dyDescent="0.25"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</row>
    <row r="624" spans="13:27" ht="15" customHeight="1" x14ac:dyDescent="0.25"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</row>
    <row r="625" spans="13:27" ht="15" customHeight="1" x14ac:dyDescent="0.25"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</row>
    <row r="626" spans="13:27" ht="15" customHeight="1" x14ac:dyDescent="0.25"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</row>
    <row r="627" spans="13:27" ht="15" customHeight="1" x14ac:dyDescent="0.25">
      <c r="M627" s="153"/>
      <c r="N627" s="153"/>
      <c r="O627" s="153"/>
      <c r="P627" s="153"/>
      <c r="Q627" s="153"/>
      <c r="R627" s="153"/>
      <c r="S627" s="153"/>
      <c r="T627" s="153"/>
      <c r="U627" s="153"/>
      <c r="V627" s="153"/>
      <c r="W627" s="153"/>
      <c r="X627" s="153"/>
      <c r="Y627" s="153"/>
      <c r="Z627" s="153"/>
      <c r="AA627" s="153"/>
    </row>
    <row r="628" spans="13:27" ht="15" customHeight="1" x14ac:dyDescent="0.25">
      <c r="M628" s="153"/>
      <c r="N628" s="153"/>
      <c r="O628" s="153"/>
      <c r="P628" s="153"/>
      <c r="Q628" s="153"/>
      <c r="R628" s="153"/>
      <c r="S628" s="153"/>
      <c r="T628" s="153"/>
      <c r="U628" s="153"/>
      <c r="V628" s="153"/>
      <c r="W628" s="153"/>
      <c r="X628" s="153"/>
      <c r="Y628" s="153"/>
      <c r="Z628" s="153"/>
      <c r="AA628" s="153"/>
    </row>
    <row r="629" spans="13:27" ht="15" customHeight="1" x14ac:dyDescent="0.25">
      <c r="M629" s="153"/>
      <c r="N629" s="153"/>
      <c r="O629" s="153"/>
      <c r="P629" s="153"/>
      <c r="Q629" s="153"/>
      <c r="R629" s="153"/>
      <c r="S629" s="153"/>
      <c r="T629" s="153"/>
      <c r="U629" s="153"/>
      <c r="V629" s="153"/>
      <c r="W629" s="153"/>
      <c r="X629" s="153"/>
      <c r="Y629" s="153"/>
      <c r="Z629" s="153"/>
      <c r="AA629" s="153"/>
    </row>
    <row r="630" spans="13:27" ht="15" customHeight="1" x14ac:dyDescent="0.25">
      <c r="M630" s="153"/>
      <c r="N630" s="153"/>
      <c r="O630" s="153"/>
      <c r="P630" s="153"/>
      <c r="Q630" s="153"/>
      <c r="R630" s="153"/>
      <c r="S630" s="153"/>
      <c r="T630" s="153"/>
      <c r="U630" s="153"/>
      <c r="V630" s="153"/>
      <c r="W630" s="153"/>
      <c r="X630" s="153"/>
      <c r="Y630" s="153"/>
      <c r="Z630" s="153"/>
      <c r="AA630" s="153"/>
    </row>
    <row r="631" spans="13:27" ht="15" customHeight="1" x14ac:dyDescent="0.25">
      <c r="M631" s="153"/>
      <c r="N631" s="153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3"/>
      <c r="AA631" s="153"/>
    </row>
    <row r="632" spans="13:27" ht="15" customHeight="1" x14ac:dyDescent="0.25">
      <c r="M632" s="153"/>
      <c r="N632" s="153"/>
      <c r="O632" s="153"/>
      <c r="P632" s="153"/>
      <c r="Q632" s="153"/>
      <c r="R632" s="153"/>
      <c r="S632" s="153"/>
      <c r="T632" s="153"/>
      <c r="U632" s="153"/>
      <c r="V632" s="153"/>
      <c r="W632" s="153"/>
      <c r="X632" s="153"/>
      <c r="Y632" s="153"/>
      <c r="Z632" s="153"/>
      <c r="AA632" s="153"/>
    </row>
    <row r="633" spans="13:27" ht="15" customHeight="1" x14ac:dyDescent="0.25">
      <c r="M633" s="153"/>
      <c r="N633" s="153"/>
      <c r="O633" s="153"/>
      <c r="P633" s="153"/>
      <c r="Q633" s="153"/>
      <c r="R633" s="153"/>
      <c r="S633" s="153"/>
      <c r="T633" s="153"/>
      <c r="U633" s="153"/>
      <c r="V633" s="153"/>
      <c r="W633" s="153"/>
      <c r="X633" s="153"/>
      <c r="Y633" s="153"/>
      <c r="Z633" s="153"/>
      <c r="AA633" s="153"/>
    </row>
    <row r="634" spans="13:27" ht="15" customHeight="1" x14ac:dyDescent="0.25">
      <c r="M634" s="153"/>
      <c r="N634" s="153"/>
      <c r="O634" s="153"/>
      <c r="P634" s="153"/>
      <c r="Q634" s="153"/>
      <c r="R634" s="153"/>
      <c r="S634" s="153"/>
      <c r="T634" s="153"/>
      <c r="U634" s="153"/>
      <c r="V634" s="153"/>
      <c r="W634" s="153"/>
      <c r="X634" s="153"/>
      <c r="Y634" s="153"/>
      <c r="Z634" s="153"/>
      <c r="AA634" s="153"/>
    </row>
    <row r="635" spans="13:27" ht="15" customHeight="1" x14ac:dyDescent="0.25">
      <c r="M635" s="153"/>
      <c r="N635" s="153"/>
      <c r="O635" s="153"/>
      <c r="P635" s="153"/>
      <c r="Q635" s="153"/>
      <c r="R635" s="153"/>
      <c r="S635" s="153"/>
      <c r="T635" s="153"/>
      <c r="U635" s="153"/>
      <c r="V635" s="153"/>
      <c r="W635" s="153"/>
      <c r="X635" s="153"/>
      <c r="Y635" s="153"/>
      <c r="Z635" s="153"/>
      <c r="AA635" s="153"/>
    </row>
    <row r="636" spans="13:27" ht="15" customHeight="1" x14ac:dyDescent="0.25"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</row>
    <row r="637" spans="13:27" ht="15" customHeight="1" x14ac:dyDescent="0.25"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</row>
    <row r="638" spans="13:27" ht="15" customHeight="1" x14ac:dyDescent="0.25"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</row>
    <row r="639" spans="13:27" ht="15" customHeight="1" x14ac:dyDescent="0.25"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</row>
    <row r="640" spans="13:27" ht="15" customHeight="1" x14ac:dyDescent="0.25"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</row>
    <row r="641" spans="13:27" ht="15" customHeight="1" x14ac:dyDescent="0.25"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</row>
    <row r="642" spans="13:27" ht="15" customHeight="1" x14ac:dyDescent="0.25"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</row>
    <row r="643" spans="13:27" ht="15" customHeight="1" x14ac:dyDescent="0.25"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</row>
    <row r="644" spans="13:27" ht="15" customHeight="1" x14ac:dyDescent="0.25"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</row>
    <row r="645" spans="13:27" ht="15" customHeight="1" x14ac:dyDescent="0.25">
      <c r="M645" s="153"/>
      <c r="N645" s="153"/>
      <c r="O645" s="153"/>
      <c r="P645" s="153"/>
      <c r="Q645" s="153"/>
      <c r="R645" s="153"/>
      <c r="S645" s="153"/>
      <c r="T645" s="153"/>
      <c r="U645" s="153"/>
      <c r="V645" s="153"/>
      <c r="W645" s="153"/>
      <c r="X645" s="153"/>
      <c r="Y645" s="153"/>
      <c r="Z645" s="153"/>
      <c r="AA645" s="153"/>
    </row>
    <row r="646" spans="13:27" ht="15" customHeight="1" x14ac:dyDescent="0.25">
      <c r="M646" s="153"/>
      <c r="N646" s="153"/>
      <c r="O646" s="153"/>
      <c r="P646" s="153"/>
      <c r="Q646" s="153"/>
      <c r="R646" s="153"/>
      <c r="S646" s="153"/>
      <c r="T646" s="153"/>
      <c r="U646" s="153"/>
      <c r="V646" s="153"/>
      <c r="W646" s="153"/>
      <c r="X646" s="153"/>
      <c r="Y646" s="153"/>
      <c r="Z646" s="153"/>
      <c r="AA646" s="153"/>
    </row>
  </sheetData>
  <conditionalFormatting sqref="M4:N4">
    <cfRule type="expression" dxfId="96" priority="37" stopIfTrue="1">
      <formula>$H4=4</formula>
    </cfRule>
    <cfRule type="expression" dxfId="95" priority="40">
      <formula>$H4=7</formula>
    </cfRule>
    <cfRule type="expression" dxfId="94" priority="39" stopIfTrue="1">
      <formula>$H4=6</formula>
    </cfRule>
    <cfRule type="expression" dxfId="93" priority="35">
      <formula>$G4="Y"</formula>
    </cfRule>
    <cfRule type="expression" dxfId="92" priority="36" stopIfTrue="1">
      <formula>$H4=3</formula>
    </cfRule>
    <cfRule type="expression" dxfId="91" priority="27" stopIfTrue="1">
      <formula>$G4="N"</formula>
    </cfRule>
    <cfRule type="expression" dxfId="90" priority="38" stopIfTrue="1">
      <formula>$H4=5</formula>
    </cfRule>
  </conditionalFormatting>
  <conditionalFormatting sqref="M13:N13">
    <cfRule type="expression" dxfId="89" priority="46" stopIfTrue="1">
      <formula>$H13=4</formula>
    </cfRule>
    <cfRule type="expression" dxfId="88" priority="45" stopIfTrue="1">
      <formula>$H13=3</formula>
    </cfRule>
    <cfRule type="expression" dxfId="87" priority="44">
      <formula>$G13="Y"</formula>
    </cfRule>
    <cfRule type="expression" dxfId="86" priority="43" stopIfTrue="1">
      <formula>$E13="BLANK"</formula>
    </cfRule>
    <cfRule type="expression" dxfId="85" priority="42" stopIfTrue="1">
      <formula>$E13="TOTAL"</formula>
    </cfRule>
    <cfRule type="expression" dxfId="84" priority="47">
      <formula>$H13=7</formula>
    </cfRule>
  </conditionalFormatting>
  <conditionalFormatting sqref="M13:N14">
    <cfRule type="expression" dxfId="83" priority="17" stopIfTrue="1">
      <formula>$H13=5</formula>
    </cfRule>
    <cfRule type="expression" dxfId="82" priority="18" stopIfTrue="1">
      <formula>$H13=6</formula>
    </cfRule>
  </conditionalFormatting>
  <conditionalFormatting sqref="M14:N14">
    <cfRule type="expression" dxfId="81" priority="48" stopIfTrue="1">
      <formula>#REF!="TOTAL"</formula>
    </cfRule>
    <cfRule type="expression" dxfId="80" priority="49" stopIfTrue="1">
      <formula>#REF!="BLANK"</formula>
    </cfRule>
    <cfRule type="expression" dxfId="79" priority="50">
      <formula>#REF!="Y"</formula>
    </cfRule>
    <cfRule type="expression" dxfId="78" priority="51" stopIfTrue="1">
      <formula>$H14=3</formula>
    </cfRule>
    <cfRule type="expression" dxfId="77" priority="52" stopIfTrue="1">
      <formula>$H14=4</formula>
    </cfRule>
    <cfRule type="expression" dxfId="76" priority="53">
      <formula>$H14=7</formula>
    </cfRule>
  </conditionalFormatting>
  <conditionalFormatting sqref="O4:AA4">
    <cfRule type="expression" dxfId="75" priority="25">
      <formula>$H4=7</formula>
    </cfRule>
    <cfRule type="cellIs" dxfId="74" priority="26" stopIfTrue="1" operator="notEqual">
      <formula>#REF!</formula>
    </cfRule>
    <cfRule type="expression" dxfId="73" priority="19" stopIfTrue="1">
      <formula>$G4="N"</formula>
    </cfRule>
    <cfRule type="expression" dxfId="72" priority="20">
      <formula>$G4="Y"</formula>
    </cfRule>
    <cfRule type="expression" dxfId="71" priority="21" stopIfTrue="1">
      <formula>$H4=3</formula>
    </cfRule>
    <cfRule type="expression" dxfId="70" priority="22" stopIfTrue="1">
      <formula>$H4=4</formula>
    </cfRule>
    <cfRule type="expression" dxfId="69" priority="23" stopIfTrue="1">
      <formula>$H4=5</formula>
    </cfRule>
    <cfRule type="expression" dxfId="68" priority="24" stopIfTrue="1">
      <formula>$H4=6</formula>
    </cfRule>
  </conditionalFormatting>
  <conditionalFormatting sqref="O36:AA45 O48:AA57 O61:AA69 O72:AA81 O83:AA92 O95:AA103 O106:AA106 O108:AA109 O111:AA122 O124:AA129 O131:AA139 O141:AA141">
    <cfRule type="expression" dxfId="67" priority="6" stopIfTrue="1">
      <formula>$H35=5</formula>
    </cfRule>
    <cfRule type="expression" dxfId="66" priority="8">
      <formula>$H35=7</formula>
    </cfRule>
    <cfRule type="expression" dxfId="65" priority="7" stopIfTrue="1">
      <formula>$H35=6</formula>
    </cfRule>
    <cfRule type="expression" dxfId="64" priority="5" stopIfTrue="1">
      <formula>$H35=4</formula>
    </cfRule>
    <cfRule type="expression" dxfId="63" priority="4" stopIfTrue="1">
      <formula>$H35=3</formula>
    </cfRule>
    <cfRule type="expression" dxfId="62" priority="3">
      <formula>$G35="Y"</formula>
    </cfRule>
    <cfRule type="expression" dxfId="61" priority="2" stopIfTrue="1">
      <formula>$G35="N"</formula>
    </cfRule>
    <cfRule type="cellIs" dxfId="60" priority="1" stopIfTrue="1" operator="notEqual">
      <formula>#REF!</formula>
    </cfRule>
  </conditionalFormatting>
  <conditionalFormatting sqref="T23:T24">
    <cfRule type="expression" dxfId="59" priority="28" stopIfTrue="1">
      <formula>$G22="N"</formula>
    </cfRule>
    <cfRule type="cellIs" dxfId="58" priority="41" stopIfTrue="1" operator="notEqual">
      <formula>#REF!</formula>
    </cfRule>
    <cfRule type="expression" dxfId="57" priority="32" stopIfTrue="1">
      <formula>$H22=5</formula>
    </cfRule>
    <cfRule type="expression" dxfId="56" priority="33" stopIfTrue="1">
      <formula>$H22=6</formula>
    </cfRule>
    <cfRule type="expression" dxfId="55" priority="34">
      <formula>$H22=7</formula>
    </cfRule>
    <cfRule type="expression" dxfId="54" priority="30" stopIfTrue="1">
      <formula>$H22=3</formula>
    </cfRule>
    <cfRule type="expression" dxfId="53" priority="31" stopIfTrue="1">
      <formula>$H22=4</formula>
    </cfRule>
    <cfRule type="expression" dxfId="52" priority="29">
      <formula>$G22="Y"</formula>
    </cfRule>
  </conditionalFormatting>
  <dataValidations count="4">
    <dataValidation type="list" allowBlank="1" showInputMessage="1" showErrorMessage="1" sqref="F14" xr:uid="{505CDF07-BECB-4F20-A856-AB578521906C}">
      <formula1>$L$6:$L$10</formula1>
    </dataValidation>
    <dataValidation type="list" allowBlank="1" showInputMessage="1" showErrorMessage="1" sqref="N26" xr:uid="{3AD35848-6040-4EC2-8CDD-3E763EB35B0F}">
      <formula1>$P$1:$P$2</formula1>
    </dataValidation>
    <dataValidation type="list" allowBlank="1" showInputMessage="1" showErrorMessage="1" sqref="N11" xr:uid="{08F4D92D-8A35-4E09-BB32-12D19B3086D1}">
      <formula1>$B$22:$B$23</formula1>
    </dataValidation>
    <dataValidation type="list" allowBlank="1" showInputMessage="1" showErrorMessage="1" sqref="N21" xr:uid="{1570473D-D4FB-4F1D-BA97-2B056F1C6BA4}">
      <formula1>$K$6:$K$10</formula1>
    </dataValidation>
  </dataValidations>
  <pageMargins left="0.7" right="0.7" top="0.75" bottom="0.75" header="0.3" footer="0.3"/>
  <pageSetup scale="37" fitToHeight="0" orientation="landscape" r:id="rId1"/>
  <rowBreaks count="1" manualBreakCount="1">
    <brk id="108" min="11" max="26" man="1"/>
  </rowBreaks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9217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784860</xdr:colOff>
                <xdr:row>0</xdr:row>
                <xdr:rowOff>0</xdr:rowOff>
              </to>
            </anchor>
          </controlPr>
        </control>
      </mc:Choice>
      <mc:Fallback>
        <control shapeId="9217" r:id="rId5" name="FPMExcelClientSheetOptions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9AF1-5BCB-4726-9405-16AFD8671419}">
  <sheetPr codeName="Sheet4">
    <pageSetUpPr fitToPage="1"/>
  </sheetPr>
  <dimension ref="A1:AA707"/>
  <sheetViews>
    <sheetView view="pageBreakPreview" topLeftCell="N185" zoomScale="70" zoomScaleNormal="78" zoomScaleSheetLayoutView="70" workbookViewId="0">
      <selection activeCell="P192" sqref="P192"/>
    </sheetView>
  </sheetViews>
  <sheetFormatPr defaultColWidth="8.6640625" defaultRowHeight="15" customHeight="1" outlineLevelRow="1" outlineLevelCol="1" x14ac:dyDescent="0.2"/>
  <cols>
    <col min="1" max="1" width="15.109375" style="190" hidden="1" customWidth="1" outlineLevel="1"/>
    <col min="2" max="2" width="19.6640625" style="190" hidden="1" customWidth="1" outlineLevel="1"/>
    <col min="3" max="4" width="15.109375" style="190" hidden="1" customWidth="1" outlineLevel="1"/>
    <col min="5" max="5" width="41.6640625" style="190" hidden="1" customWidth="1" outlineLevel="1"/>
    <col min="6" max="7" width="16.33203125" style="190" hidden="1" customWidth="1" outlineLevel="1"/>
    <col min="8" max="8" width="5.5546875" style="190" hidden="1" customWidth="1" outlineLevel="1" collapsed="1"/>
    <col min="9" max="10" width="5.5546875" style="190" hidden="1" customWidth="1" outlineLevel="1"/>
    <col min="11" max="11" width="9.109375" style="190" hidden="1" customWidth="1" outlineLevel="1"/>
    <col min="12" max="12" width="2" style="192" customWidth="1" collapsed="1"/>
    <col min="13" max="13" width="24.5546875" style="192" customWidth="1"/>
    <col min="14" max="14" width="48.6640625" style="192" customWidth="1"/>
    <col min="15" max="27" width="19.6640625" style="192" customWidth="1"/>
    <col min="28" max="16384" width="8.6640625" style="192"/>
  </cols>
  <sheetData>
    <row r="1" spans="1:27" s="129" customFormat="1" ht="15" hidden="1" customHeight="1" outlineLevel="1" x14ac:dyDescent="0.25">
      <c r="A1" s="127" t="s">
        <v>128</v>
      </c>
      <c r="B1" s="128" t="str">
        <f>_xll.EPMReportID(B7)</f>
        <v>000</v>
      </c>
      <c r="D1" s="130" t="s">
        <v>129</v>
      </c>
      <c r="E1" s="129" t="s">
        <v>130</v>
      </c>
      <c r="J1" s="129">
        <v>2</v>
      </c>
      <c r="N1" s="131">
        <v>2</v>
      </c>
      <c r="P1" s="132" t="s">
        <v>131</v>
      </c>
      <c r="Q1" s="128" t="str">
        <f>IF(R1=1,"TRUE","FALSE")</f>
        <v>TRUE</v>
      </c>
      <c r="R1" s="128">
        <f>IF(N26=P1,1,0)</f>
        <v>1</v>
      </c>
    </row>
    <row r="2" spans="1:27" s="129" customFormat="1" ht="15" hidden="1" customHeight="1" outlineLevel="1" x14ac:dyDescent="0.25">
      <c r="A2" s="127" t="s">
        <v>132</v>
      </c>
      <c r="B2" s="133" t="s">
        <v>133</v>
      </c>
      <c r="D2" s="134" t="s">
        <v>134</v>
      </c>
      <c r="E2" s="129" t="s">
        <v>130</v>
      </c>
      <c r="N2" s="131"/>
      <c r="P2" s="132" t="s">
        <v>135</v>
      </c>
      <c r="Q2" s="129" t="str">
        <f>_xll.EPMReportOptions("000",IF(R1=1,"KeepEmptyRows =RemoveEmptyandZero","KeepEmptyRows =True"))</f>
        <v>EPMReportOptions on report 000</v>
      </c>
    </row>
    <row r="3" spans="1:27" s="129" customFormat="1" ht="15" hidden="1" customHeight="1" outlineLevel="1" x14ac:dyDescent="0.25">
      <c r="A3" s="127" t="s">
        <v>136</v>
      </c>
      <c r="B3" s="135" t="s">
        <v>137</v>
      </c>
      <c r="D3" s="136" t="s">
        <v>138</v>
      </c>
      <c r="N3" s="137"/>
    </row>
    <row r="4" spans="1:27" s="129" customFormat="1" ht="15" hidden="1" customHeight="1" outlineLevel="1" x14ac:dyDescent="0.25">
      <c r="D4" s="138" t="s">
        <v>139</v>
      </c>
      <c r="E4" s="139" t="s">
        <v>140</v>
      </c>
      <c r="G4" s="140" t="str">
        <f>_xll.EPMMemberProperty(,E4,"CALC")</f>
        <v>#Error - Invalid Member Name: EPMCopyRange(B1,TRUE,F4:AM4,TRUE)</v>
      </c>
      <c r="H4" s="140" t="e">
        <f>VALUE(_xll.EPMMemberProperty(,E4,"HLEVEL"))</f>
        <v>#VALUE!</v>
      </c>
      <c r="I4" s="141"/>
      <c r="J4" s="141"/>
      <c r="K4" s="141"/>
      <c r="M4" s="142" t="e">
        <f>REPT(" ",$H4)&amp;_xll.EPMMemberDesc($E4)</f>
        <v>#VALUE!</v>
      </c>
      <c r="N4" s="142" t="e">
        <f>REPT(" ",$H4)&amp;($E4)</f>
        <v>#VALUE!</v>
      </c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s="129" customFormat="1" ht="15" hidden="1" customHeight="1" outlineLevel="1" x14ac:dyDescent="0.25">
      <c r="A5" s="127" t="s">
        <v>141</v>
      </c>
      <c r="B5" s="134" t="s">
        <v>142</v>
      </c>
      <c r="C5" s="144" t="s">
        <v>143</v>
      </c>
      <c r="D5" s="145"/>
    </row>
    <row r="6" spans="1:27" s="129" customFormat="1" ht="15" hidden="1" customHeight="1" outlineLevel="1" x14ac:dyDescent="0.25">
      <c r="A6" s="127" t="s">
        <v>144</v>
      </c>
      <c r="B6" s="134" t="s">
        <v>145</v>
      </c>
      <c r="C6" s="144" t="s">
        <v>146</v>
      </c>
      <c r="D6" s="146" t="s">
        <v>147</v>
      </c>
      <c r="E6" s="129" t="str">
        <f>_xll.EPMMemberProperty(,D6,"YEAR")</f>
        <v>2023</v>
      </c>
      <c r="F6" s="129" t="str">
        <f>D6</f>
        <v>FORECAST</v>
      </c>
      <c r="K6" s="147" t="str">
        <f>_xll.EPMMemberDesc(L6)</f>
        <v>REVENUES</v>
      </c>
      <c r="L6" s="132" t="s">
        <v>148</v>
      </c>
      <c r="M6" s="148" t="str">
        <f>"LDEP(9,"&amp;L6&amp;"),"&amp;L6</f>
        <v>LDEP(9,REVENUES),REVENUES</v>
      </c>
      <c r="N6" s="129">
        <f>IFERROR(IF(VLOOKUP($N$25,$D$6:$D$7,1,FALSE)&lt;&gt;"",1,0),0)</f>
        <v>1</v>
      </c>
      <c r="O6" s="129" t="str">
        <f>_xll.EPMMemberProperty(,O16,"CURRENTMONTH")&amp;$N$6</f>
        <v>PA1</v>
      </c>
      <c r="P6" s="129" t="str">
        <f>_xll.EPMMemberProperty(,P16,"CURRENTMONTH")&amp;$N$6</f>
        <v>PA1</v>
      </c>
      <c r="Q6" s="129" t="str">
        <f>_xll.EPMMemberProperty(,Q16,"CURRENTMONTH")&amp;$N$6</f>
        <v>PA1</v>
      </c>
      <c r="R6" s="129" t="str">
        <f>_xll.EPMMemberProperty(,R16,"CURRENTMONTH")&amp;$N$6</f>
        <v>PA1</v>
      </c>
      <c r="S6" s="129" t="str">
        <f>_xll.EPMMemberProperty(,S16,"CURRENTMONTH")&amp;$N$6</f>
        <v>PA1</v>
      </c>
      <c r="T6" s="129" t="str">
        <f>_xll.EPMMemberProperty(,T16,"CURRENTMONTH")&amp;$N$6</f>
        <v>PA1</v>
      </c>
      <c r="U6" s="129" t="str">
        <f>_xll.EPMMemberProperty(,U16,"CURRENTMONTH")&amp;$N$6</f>
        <v>PA1</v>
      </c>
      <c r="V6" s="129" t="str">
        <f>_xll.EPMMemberProperty(,V16,"CURRENTMONTH")&amp;$N$6</f>
        <v>PA1</v>
      </c>
      <c r="W6" s="129" t="str">
        <f>_xll.EPMMemberProperty(,W16,"CURRENTMONTH")&amp;$N$6</f>
        <v>PA1</v>
      </c>
      <c r="X6" s="129" t="str">
        <f>_xll.EPMMemberProperty(,X16,"CURRENTMONTH")&amp;$N$6</f>
        <v>A1</v>
      </c>
      <c r="Y6" s="129" t="str">
        <f>_xll.EPMMemberProperty(,Y16,"CURRENTMONTH")&amp;$N$6</f>
        <v>F1</v>
      </c>
      <c r="Z6" s="129" t="str">
        <f>_xll.EPMMemberProperty(,Z16,"CURRENTMONTH")&amp;$N$6</f>
        <v>F1</v>
      </c>
    </row>
    <row r="7" spans="1:27" s="129" customFormat="1" ht="15" hidden="1" customHeight="1" outlineLevel="1" x14ac:dyDescent="0.25">
      <c r="A7" s="127" t="s">
        <v>149</v>
      </c>
      <c r="B7" s="149" t="str">
        <f xml:space="preserve"> _xll.EPMOlapMemberO(B16,"[COSTCENTER].[PARENTH1].[1002]","1002","","000")</f>
        <v>1002</v>
      </c>
      <c r="C7" s="144" t="s">
        <v>150</v>
      </c>
      <c r="D7" s="146" t="s">
        <v>151</v>
      </c>
      <c r="E7" s="129" t="str">
        <f>_xll.EPMMemberProperty(,D7,"YEAR")</f>
        <v>2024</v>
      </c>
      <c r="F7" s="129" t="str">
        <f>D7</f>
        <v>WKG_BUDGET</v>
      </c>
      <c r="K7" s="147" t="str">
        <f>_xll.EPMMemberDesc(L7)</f>
        <v>Electric</v>
      </c>
      <c r="L7" s="132" t="s">
        <v>152</v>
      </c>
      <c r="M7" s="148" t="str">
        <f>"LDEP(99,"&amp;L7&amp;"),"&amp;L7</f>
        <v>LDEP(99,ELECTRIC),ELECTRIC</v>
      </c>
    </row>
    <row r="8" spans="1:27" s="129" customFormat="1" ht="15" hidden="1" customHeight="1" outlineLevel="1" x14ac:dyDescent="0.25">
      <c r="A8" s="127" t="s">
        <v>153</v>
      </c>
      <c r="B8" s="134" t="s">
        <v>145</v>
      </c>
      <c r="C8" s="144" t="s">
        <v>146</v>
      </c>
      <c r="D8" s="145"/>
      <c r="E8" s="129" t="s">
        <v>154</v>
      </c>
      <c r="F8" s="129" t="str">
        <f>+F6</f>
        <v>FORECAST</v>
      </c>
      <c r="G8" s="129" t="s">
        <v>155</v>
      </c>
      <c r="H8" s="129" t="str">
        <f>_xll.EPMSelectMember("","[I_ENTITY].[PARENTH1].[IE_NA]","","",FALSE)</f>
        <v>IE_NA</v>
      </c>
      <c r="K8" s="147" t="str">
        <f>_xll.EPMMemberDesc(L8)</f>
        <v>Gas</v>
      </c>
      <c r="L8" s="132" t="s">
        <v>156</v>
      </c>
      <c r="M8" s="148" t="str">
        <f>"LDEP(99,"&amp;L8&amp;"),"&amp;L8</f>
        <v>LDEP(99,GAS),GAS</v>
      </c>
      <c r="O8" s="150" t="s">
        <v>157</v>
      </c>
    </row>
    <row r="9" spans="1:27" s="129" customFormat="1" ht="15" hidden="1" customHeight="1" outlineLevel="1" x14ac:dyDescent="0.25">
      <c r="A9" s="127" t="s">
        <v>158</v>
      </c>
      <c r="B9" s="149" t="str">
        <f xml:space="preserve"> _xll.EPMOlapMemberO(B17,"[ENTITY].[PARENTH1].[E_2201]","E_2201","","000")</f>
        <v>E_2201</v>
      </c>
      <c r="C9" s="144" t="s">
        <v>150</v>
      </c>
      <c r="D9" s="145"/>
      <c r="E9" s="129" t="s">
        <v>159</v>
      </c>
      <c r="F9" s="129" t="str">
        <f>+F7</f>
        <v>WKG_BUDGET</v>
      </c>
      <c r="G9" s="129" t="s">
        <v>155</v>
      </c>
      <c r="H9" s="129" t="str">
        <f>_xll.EPMSelectMember("","[I_ENTITY].[PARENTH1].[IE_NA]","","",FALSE)</f>
        <v>IE_NA</v>
      </c>
      <c r="K9" s="147" t="str">
        <f>_xll.EPMMemberDesc(L9)</f>
        <v>Unregulated</v>
      </c>
      <c r="L9" s="132" t="s">
        <v>160</v>
      </c>
      <c r="M9" s="148" t="str">
        <f>"LDEP(99,"&amp;L9&amp;"),"&amp;L9</f>
        <v>LDEP(99,UNREGULATED),UNREGULATED</v>
      </c>
      <c r="O9" s="151" t="s">
        <v>161</v>
      </c>
    </row>
    <row r="10" spans="1:27" s="129" customFormat="1" ht="15" hidden="1" customHeight="1" outlineLevel="1" x14ac:dyDescent="0.25">
      <c r="A10" s="127" t="s">
        <v>162</v>
      </c>
      <c r="B10" s="149" t="str">
        <f xml:space="preserve"> _xll.EPMOlapMemberO("[FLOW].[PARENTH1].[NO_FLOW]","","NO_FLOW","","000")</f>
        <v>NO_FLOW</v>
      </c>
      <c r="C10" s="144" t="s">
        <v>163</v>
      </c>
      <c r="D10" s="152" t="str">
        <f>IFERROR(VLOOKUP(LEFT($N$24,4),$E$6:$F$7,2,FALSE),"ACTUAL")</f>
        <v>FORECAST</v>
      </c>
      <c r="E10" s="129" t="s">
        <v>164</v>
      </c>
      <c r="F10" s="129" t="str">
        <f>+F8</f>
        <v>FORECAST</v>
      </c>
      <c r="G10" s="129" t="s">
        <v>165</v>
      </c>
      <c r="H10" s="129" t="str">
        <f>_xll.EPMSelectMember("","[I_ENTITY].[PARENTH1].[IE_NA]","","",FALSE)</f>
        <v>IE_NA</v>
      </c>
      <c r="K10" s="147" t="str">
        <f>_xll.EPMMemberDesc(L10)</f>
        <v>SVC_CO_REV</v>
      </c>
      <c r="L10" s="132" t="s">
        <v>166</v>
      </c>
      <c r="M10" s="148" t="str">
        <f>"LDEP(99,"&amp;L10&amp;"),"&amp;L10</f>
        <v>LDEP(99,SVC_CO_REV),SVC_CO_REV</v>
      </c>
      <c r="O10" s="151" t="s">
        <v>144</v>
      </c>
    </row>
    <row r="11" spans="1:27" s="129" customFormat="1" ht="15" hidden="1" customHeight="1" outlineLevel="1" x14ac:dyDescent="0.25">
      <c r="A11" s="127" t="s">
        <v>167</v>
      </c>
      <c r="B11" s="153"/>
      <c r="C11" s="144" t="s">
        <v>163</v>
      </c>
      <c r="D11" s="145"/>
      <c r="E11" s="129" t="s">
        <v>168</v>
      </c>
      <c r="F11" s="129" t="str">
        <f>+F9</f>
        <v>WKG_BUDGET</v>
      </c>
      <c r="G11" s="129" t="s">
        <v>165</v>
      </c>
      <c r="H11" s="129" t="str">
        <f>_xll.EPMSelectMember("","[I_ENTITY].[PARENTH1].[IE_NA]","","",FALSE)</f>
        <v>IE_NA</v>
      </c>
      <c r="M11" s="154" t="s">
        <v>169</v>
      </c>
      <c r="N11" s="155" t="s">
        <v>170</v>
      </c>
      <c r="O11" s="129" t="str">
        <f>_xll.EPMSelectMember(,IFERROR(VLOOKUP(O6&amp;$N$11,$E$8:$H$11,4,FALSE),$E$12))</f>
        <v>ALL_IE_ENTITIES</v>
      </c>
      <c r="P11" s="129" t="str">
        <f>_xll.EPMSelectMember(,IFERROR(VLOOKUP(P6&amp;$N$11,$E$8:$H$11,4,FALSE),$E$12))</f>
        <v>ALL_IE_ENTITIES</v>
      </c>
      <c r="Q11" s="129" t="str">
        <f>_xll.EPMSelectMember(,IFERROR(VLOOKUP(Q6&amp;$N$11,$E$8:$H$11,4,FALSE),$E$12))</f>
        <v>ALL_IE_ENTITIES</v>
      </c>
      <c r="R11" s="129" t="str">
        <f>_xll.EPMSelectMember(,IFERROR(VLOOKUP(R6&amp;$N$11,$E$8:$H$11,4,FALSE),$E$12))</f>
        <v>ALL_IE_ENTITIES</v>
      </c>
      <c r="S11" s="129" t="str">
        <f>_xll.EPMSelectMember(,IFERROR(VLOOKUP(S6&amp;$N$11,$E$8:$H$11,4,FALSE),$E$12))</f>
        <v>ALL_IE_ENTITIES</v>
      </c>
      <c r="T11" s="129" t="str">
        <f>_xll.EPMSelectMember(,IFERROR(VLOOKUP(T6&amp;$N$11,$E$8:$H$11,4,FALSE),$E$12))</f>
        <v>ALL_IE_ENTITIES</v>
      </c>
      <c r="U11" s="129" t="str">
        <f>_xll.EPMSelectMember(,IFERROR(VLOOKUP(U6&amp;$N$11,$E$8:$H$11,4,FALSE),$E$12))</f>
        <v>ALL_IE_ENTITIES</v>
      </c>
      <c r="V11" s="129" t="str">
        <f>_xll.EPMSelectMember(,IFERROR(VLOOKUP(V6&amp;$N$11,$E$8:$H$11,4,FALSE),$E$12))</f>
        <v>ALL_IE_ENTITIES</v>
      </c>
      <c r="W11" s="129" t="str">
        <f>_xll.EPMSelectMember(,IFERROR(VLOOKUP(W6&amp;$N$11,$E$8:$H$11,4,FALSE),$E$12))</f>
        <v>ALL_IE_ENTITIES</v>
      </c>
      <c r="X11" s="129" t="str">
        <f>_xll.EPMSelectMember(,IFERROR(VLOOKUP(X6&amp;$N$11,$E$8:$H$11,4,FALSE),$E$12))</f>
        <v>ALL_IE_ENTITIES</v>
      </c>
      <c r="Y11" s="129" t="str">
        <f>_xll.EPMSelectMember(,IFERROR(VLOOKUP(Y6&amp;$N$11,$E$8:$H$11,4,FALSE),$E$12))</f>
        <v>IE_NA</v>
      </c>
      <c r="Z11" s="129" t="str">
        <f>_xll.EPMSelectMember(,IFERROR(VLOOKUP(Z6&amp;$N$11,$E$8:$H$11,4,FALSE),$E$12))</f>
        <v>IE_NA</v>
      </c>
    </row>
    <row r="12" spans="1:27" s="129" customFormat="1" ht="15" hidden="1" customHeight="1" outlineLevel="1" x14ac:dyDescent="0.25">
      <c r="A12" s="127" t="s">
        <v>171</v>
      </c>
      <c r="B12" s="149" t="str">
        <f xml:space="preserve"> _xll.EPMOlapMemberO("[RPTCURRENCY].[].[LC]","","LC","","000")</f>
        <v>LC</v>
      </c>
      <c r="C12" s="144" t="s">
        <v>163</v>
      </c>
      <c r="D12" s="145"/>
      <c r="E12" s="129" t="str">
        <f>_xll.EPMSelectMember("","[I_ENTITY].[PARENTH1].[ALL_IE_ENTITIES]","","",FALSE)</f>
        <v>ALL_IE_ENTITIES</v>
      </c>
      <c r="O12" s="156" t="s">
        <v>172</v>
      </c>
      <c r="P12" s="156" t="s">
        <v>173</v>
      </c>
      <c r="Q12" s="156" t="s">
        <v>174</v>
      </c>
      <c r="R12" s="156" t="s">
        <v>175</v>
      </c>
      <c r="S12" s="156" t="s">
        <v>176</v>
      </c>
      <c r="T12" s="156" t="s">
        <v>177</v>
      </c>
      <c r="U12" s="156" t="s">
        <v>178</v>
      </c>
      <c r="V12" s="156" t="s">
        <v>179</v>
      </c>
      <c r="W12" s="156" t="s">
        <v>180</v>
      </c>
      <c r="X12" s="156" t="s">
        <v>181</v>
      </c>
      <c r="Y12" s="156" t="s">
        <v>182</v>
      </c>
      <c r="Z12" s="156" t="s">
        <v>183</v>
      </c>
      <c r="AA12" s="156" t="s">
        <v>184</v>
      </c>
    </row>
    <row r="13" spans="1:27" s="129" customFormat="1" ht="15" hidden="1" customHeight="1" outlineLevel="1" x14ac:dyDescent="0.25">
      <c r="A13" s="127" t="s">
        <v>161</v>
      </c>
      <c r="B13" s="134" t="s">
        <v>145</v>
      </c>
      <c r="C13" s="144" t="s">
        <v>146</v>
      </c>
      <c r="D13" s="145"/>
      <c r="M13" s="157" t="s">
        <v>185</v>
      </c>
      <c r="N13" s="157" t="s">
        <v>186</v>
      </c>
      <c r="O13" s="158" t="str">
        <f t="shared" ref="O13:AA13" si="0">LEFT($N$24,5)&amp;O12</f>
        <v>2023.JAN</v>
      </c>
      <c r="P13" s="158" t="str">
        <f t="shared" si="0"/>
        <v>2023.FEB</v>
      </c>
      <c r="Q13" s="158" t="str">
        <f t="shared" si="0"/>
        <v>2023.MAR</v>
      </c>
      <c r="R13" s="158" t="str">
        <f t="shared" si="0"/>
        <v>2023.APR</v>
      </c>
      <c r="S13" s="158" t="str">
        <f t="shared" si="0"/>
        <v>2023.MAY</v>
      </c>
      <c r="T13" s="158" t="str">
        <f t="shared" si="0"/>
        <v>2023.JUN</v>
      </c>
      <c r="U13" s="158" t="str">
        <f t="shared" si="0"/>
        <v>2023.JUL</v>
      </c>
      <c r="V13" s="158" t="str">
        <f t="shared" si="0"/>
        <v>2023.AUG</v>
      </c>
      <c r="W13" s="158" t="str">
        <f t="shared" si="0"/>
        <v>2023.SEP</v>
      </c>
      <c r="X13" s="158" t="str">
        <f t="shared" si="0"/>
        <v>2023.OCT</v>
      </c>
      <c r="Y13" s="158" t="str">
        <f t="shared" si="0"/>
        <v>2023.NOV</v>
      </c>
      <c r="Z13" s="158" t="str">
        <f t="shared" si="0"/>
        <v>2023.DEC</v>
      </c>
      <c r="AA13" s="158" t="str">
        <f t="shared" si="0"/>
        <v>2023.TOTAL</v>
      </c>
    </row>
    <row r="14" spans="1:27" s="129" customFormat="1" ht="15" hidden="1" customHeight="1" outlineLevel="1" x14ac:dyDescent="0.25">
      <c r="A14" s="159" t="s">
        <v>187</v>
      </c>
      <c r="B14" s="149" t="str">
        <f xml:space="preserve"> _xll.EPMOlapMemberO("[MEASURES].[].[PERIODIC]","","PERIODIC","","000")</f>
        <v>PERIODIC</v>
      </c>
      <c r="C14" s="144" t="s">
        <v>163</v>
      </c>
      <c r="D14" s="145"/>
      <c r="E14" s="160" t="s">
        <v>188</v>
      </c>
      <c r="F14" s="155" t="s">
        <v>189</v>
      </c>
      <c r="G14" s="161" t="str">
        <f>_xll.EPMMemberDesc(F14)</f>
        <v>Expenses According to 3611 Report</v>
      </c>
      <c r="M14" s="157" t="s">
        <v>190</v>
      </c>
      <c r="N14" s="157" t="s">
        <v>191</v>
      </c>
      <c r="O14" s="162" t="str">
        <f t="shared" ref="O14:AA14" si="1">$N$25</f>
        <v>FORECAST</v>
      </c>
      <c r="P14" s="162" t="str">
        <f t="shared" si="1"/>
        <v>FORECAST</v>
      </c>
      <c r="Q14" s="162" t="str">
        <f t="shared" si="1"/>
        <v>FORECAST</v>
      </c>
      <c r="R14" s="162" t="str">
        <f t="shared" si="1"/>
        <v>FORECAST</v>
      </c>
      <c r="S14" s="162" t="str">
        <f t="shared" si="1"/>
        <v>FORECAST</v>
      </c>
      <c r="T14" s="162" t="str">
        <f t="shared" si="1"/>
        <v>FORECAST</v>
      </c>
      <c r="U14" s="162" t="str">
        <f t="shared" si="1"/>
        <v>FORECAST</v>
      </c>
      <c r="V14" s="162" t="str">
        <f t="shared" si="1"/>
        <v>FORECAST</v>
      </c>
      <c r="W14" s="162" t="str">
        <f t="shared" si="1"/>
        <v>FORECAST</v>
      </c>
      <c r="X14" s="162" t="str">
        <f t="shared" si="1"/>
        <v>FORECAST</v>
      </c>
      <c r="Y14" s="162" t="str">
        <f t="shared" si="1"/>
        <v>FORECAST</v>
      </c>
      <c r="Z14" s="162" t="str">
        <f t="shared" si="1"/>
        <v>FORECAST</v>
      </c>
      <c r="AA14" s="162" t="str">
        <f t="shared" si="1"/>
        <v>FORECAST</v>
      </c>
    </row>
    <row r="15" spans="1:27" s="129" customFormat="1" ht="15" hidden="1" customHeight="1" outlineLevel="1" x14ac:dyDescent="0.25">
      <c r="A15" s="163" t="s">
        <v>192</v>
      </c>
      <c r="B15" s="164"/>
      <c r="O15" s="165" t="str">
        <f>_xll.EPMSelectMember(,IFERROR(VLOOKUP(O6&amp;$N$11,$E$8:$G$11,3,FALSE),VLOOKUP($N$11,$B$22:$C$23,2,FALSE)))</f>
        <v>TOTAL_REST_FI</v>
      </c>
      <c r="P15" s="165" t="str">
        <f>_xll.EPMSelectMember(,IFERROR(VLOOKUP(P6&amp;$N$11,$E$8:$G$11,3,FALSE),VLOOKUP($N$11,$B$22:$C$23,2,FALSE)))</f>
        <v>TOTAL_REST_FI</v>
      </c>
      <c r="Q15" s="165" t="str">
        <f>_xll.EPMSelectMember(,IFERROR(VLOOKUP(Q6&amp;$N$11,$E$8:$G$11,3,FALSE),VLOOKUP($N$11,$B$22:$C$23,2,FALSE)))</f>
        <v>TOTAL_REST_FI</v>
      </c>
      <c r="R15" s="165" t="str">
        <f>_xll.EPMSelectMember(,IFERROR(VLOOKUP(R6&amp;$N$11,$E$8:$G$11,3,FALSE),VLOOKUP($N$11,$B$22:$C$23,2,FALSE)))</f>
        <v>TOTAL_REST_FI</v>
      </c>
      <c r="S15" s="165" t="str">
        <f>_xll.EPMSelectMember(,IFERROR(VLOOKUP(S6&amp;$N$11,$E$8:$G$11,3,FALSE),VLOOKUP($N$11,$B$22:$C$23,2,FALSE)))</f>
        <v>TOTAL_REST_FI</v>
      </c>
      <c r="T15" s="165" t="str">
        <f>_xll.EPMSelectMember(,IFERROR(VLOOKUP(T6&amp;$N$11,$E$8:$G$11,3,FALSE),VLOOKUP($N$11,$B$22:$C$23,2,FALSE)))</f>
        <v>TOTAL_REST_FI</v>
      </c>
      <c r="U15" s="165" t="str">
        <f>_xll.EPMSelectMember(,IFERROR(VLOOKUP(U6&amp;$N$11,$E$8:$G$11,3,FALSE),VLOOKUP($N$11,$B$22:$C$23,2,FALSE)))</f>
        <v>TOTAL_REST_FI</v>
      </c>
      <c r="V15" s="165" t="str">
        <f>_xll.EPMSelectMember(,IFERROR(VLOOKUP(V6&amp;$N$11,$E$8:$G$11,3,FALSE),VLOOKUP($N$11,$B$22:$C$23,2,FALSE)))</f>
        <v>TOTAL_REST_FI</v>
      </c>
      <c r="W15" s="165" t="str">
        <f>_xll.EPMSelectMember(,IFERROR(VLOOKUP(W6&amp;$N$11,$E$8:$G$11,3,FALSE),VLOOKUP($N$11,$B$22:$C$23,2,FALSE)))</f>
        <v>TOTAL_REST_FI</v>
      </c>
      <c r="X15" s="165" t="str">
        <f>_xll.EPMSelectMember(,IFERROR(VLOOKUP(X6&amp;$N$11,$E$8:$G$11,3,FALSE),VLOOKUP($N$11,$B$22:$C$23,2,FALSE)))</f>
        <v>TOTAL_REST_FI</v>
      </c>
      <c r="Y15" s="165" t="str">
        <f>_xll.EPMSelectMember(,IFERROR(VLOOKUP(Y6&amp;$N$11,$E$8:$G$11,3,FALSE),VLOOKUP($N$11,$B$22:$C$23,2,FALSE)))</f>
        <v>INPUT</v>
      </c>
      <c r="Z15" s="165" t="str">
        <f>_xll.EPMSelectMember(,IFERROR(VLOOKUP(Z6&amp;$N$11,$E$8:$G$11,3,FALSE),VLOOKUP($N$11,$B$22:$C$23,2,FALSE)))</f>
        <v>INPUT</v>
      </c>
      <c r="AA15" s="165"/>
    </row>
    <row r="16" spans="1:27" s="129" customFormat="1" ht="15" hidden="1" customHeight="1" outlineLevel="1" x14ac:dyDescent="0.25">
      <c r="A16" s="127" t="s">
        <v>149</v>
      </c>
      <c r="B16" s="166" t="str">
        <f>N22</f>
        <v>1002</v>
      </c>
      <c r="C16" s="145" t="s">
        <v>193</v>
      </c>
      <c r="D16" s="129" t="str">
        <f>_xll.EPMMemberProperty(,_xll.EPMContextMember(,"COSTCENTER"),"TYPE")</f>
        <v>CC</v>
      </c>
      <c r="E16" s="167" t="s">
        <v>148</v>
      </c>
      <c r="N16" s="168" t="str">
        <f xml:space="preserve"> _xll.EPMOlapMemberO("[Blank Member]","","","","000")</f>
        <v/>
      </c>
      <c r="O16" s="168" t="str">
        <f xml:space="preserve"> _xll.EPMOlapMemberO(O13,"[TIME].[PARENTH1].[2020.JAN]","2020 JAN","","000")</f>
        <v>2023.JAN</v>
      </c>
      <c r="P16" s="168" t="str">
        <f xml:space="preserve"> _xll.EPMOlapMemberO(P13,"[TIME].[PARENTH1].[2020.FEB]","2020 FEB","","000")</f>
        <v>2023.FEB</v>
      </c>
      <c r="Q16" s="168" t="str">
        <f xml:space="preserve"> _xll.EPMOlapMemberO(Q13,"[TIME].[PARENTH1].[2020.MAR]","2020 MAR","","000")</f>
        <v>2023.MAR</v>
      </c>
      <c r="R16" s="168" t="str">
        <f xml:space="preserve"> _xll.EPMOlapMemberO(R13,"[TIME].[PARENTH1].[2020.APR]","2020 APR","","000")</f>
        <v>2023.APR</v>
      </c>
      <c r="S16" s="168" t="str">
        <f xml:space="preserve"> _xll.EPMOlapMemberO(S13,"[TIME].[PARENTH1].[2020.MAY]","2020 MAY","","000")</f>
        <v>2023.MAY</v>
      </c>
      <c r="T16" s="168" t="str">
        <f xml:space="preserve"> _xll.EPMOlapMemberO(T13,"[TIME].[PARENTH1].[2020.JUN]","2020 JUN","","000")</f>
        <v>2023.JUN</v>
      </c>
      <c r="U16" s="168" t="str">
        <f xml:space="preserve"> _xll.EPMOlapMemberO(U13,"[TIME].[PARENTH1].[2020.JUL]","2020 JUL","","000")</f>
        <v>2023.JUL</v>
      </c>
      <c r="V16" s="168" t="str">
        <f xml:space="preserve"> _xll.EPMOlapMemberO(V13,"[TIME].[PARENTH1].[2020.AUG]","2020 AUG","","000")</f>
        <v>2023.AUG</v>
      </c>
      <c r="W16" s="168" t="str">
        <f xml:space="preserve"> _xll.EPMOlapMemberO(W13,"[TIME].[PARENTH1].[2020.SEP]","2020 SEP","","000")</f>
        <v>2023.SEP</v>
      </c>
      <c r="X16" s="168" t="str">
        <f xml:space="preserve"> _xll.EPMOlapMemberO(X13,"[TIME].[PARENTH1].[2020.OCT]","2020 OCT","","000")</f>
        <v>2023.OCT</v>
      </c>
      <c r="Y16" s="168" t="str">
        <f xml:space="preserve"> _xll.EPMOlapMemberO(Y13,"[TIME].[PARENTH1].[2020.NOV]","2020 NOV","","000")</f>
        <v>2023.NOV</v>
      </c>
      <c r="Z16" s="168" t="str">
        <f xml:space="preserve"> _xll.EPMOlapMemberO(Z13,"[TIME].[PARENTH1].[2020.DEC]","2020 DEC","","000")</f>
        <v>2023.DEC</v>
      </c>
      <c r="AA16" s="168" t="str">
        <f xml:space="preserve"> _xll.EPMOlapMemberO(Z13,"[TIME].[PARENTH1].[2020.DEC]","2020 DEC","","000")</f>
        <v>2023.DEC</v>
      </c>
    </row>
    <row r="17" spans="1:27" s="129" customFormat="1" ht="15" hidden="1" customHeight="1" outlineLevel="1" x14ac:dyDescent="0.25">
      <c r="A17" s="169" t="s">
        <v>158</v>
      </c>
      <c r="B17" s="166" t="str">
        <f>N23</f>
        <v>E_2201</v>
      </c>
      <c r="C17" s="145" t="s">
        <v>193</v>
      </c>
      <c r="D17" s="129" t="str">
        <f>_xll.EPMSelectMember(,IF(D16="PC",_xll.EPMContextMember(,"COSTCENTER"),"1002"))</f>
        <v>1002</v>
      </c>
      <c r="E17" s="167" t="s">
        <v>194</v>
      </c>
      <c r="N17" s="168" t="str">
        <f xml:space="preserve"> _xll.EPMOlapMemberO("[Blank Member]","","","","000")</f>
        <v/>
      </c>
      <c r="O17" s="168" t="str">
        <f xml:space="preserve"> _xll.EPMOlapMemberO(O14,"[CATEGORY].[PARENTH1].[FORECAST]","FORECAST","","000")</f>
        <v>FORECAST</v>
      </c>
      <c r="P17" s="168" t="str">
        <f xml:space="preserve"> _xll.EPMOlapMemberO(P14,"[CATEGORY].[PARENTH1].[FORECAST]","FORECAST","","000")</f>
        <v>FORECAST</v>
      </c>
      <c r="Q17" s="168" t="str">
        <f xml:space="preserve"> _xll.EPMOlapMemberO(Q14,"[CATEGORY].[PARENTH1].[FORECAST]","FORECAST","","000")</f>
        <v>FORECAST</v>
      </c>
      <c r="R17" s="168" t="str">
        <f xml:space="preserve"> _xll.EPMOlapMemberO(R14,"[CATEGORY].[PARENTH1].[FORECAST]","FORECAST","","000")</f>
        <v>FORECAST</v>
      </c>
      <c r="S17" s="168" t="str">
        <f xml:space="preserve"> _xll.EPMOlapMemberO(S14,"[CATEGORY].[PARENTH1].[FORECAST]","FORECAST","","000")</f>
        <v>FORECAST</v>
      </c>
      <c r="T17" s="168" t="str">
        <f xml:space="preserve"> _xll.EPMOlapMemberO(T14,"[CATEGORY].[PARENTH1].[FORECAST]","FORECAST","","000")</f>
        <v>FORECAST</v>
      </c>
      <c r="U17" s="168" t="str">
        <f xml:space="preserve"> _xll.EPMOlapMemberO(U14,"[CATEGORY].[PARENTH1].[FORECAST]","FORECAST","","000")</f>
        <v>FORECAST</v>
      </c>
      <c r="V17" s="168" t="str">
        <f xml:space="preserve"> _xll.EPMOlapMemberO(V14,"[CATEGORY].[PARENTH1].[FORECAST]","FORECAST","","000")</f>
        <v>FORECAST</v>
      </c>
      <c r="W17" s="168" t="str">
        <f xml:space="preserve"> _xll.EPMOlapMemberO(W14,"[CATEGORY].[PARENTH1].[FORECAST]","FORECAST","","000")</f>
        <v>FORECAST</v>
      </c>
      <c r="X17" s="168" t="str">
        <f xml:space="preserve"> _xll.EPMOlapMemberO(X14,"[CATEGORY].[PARENTH1].[FORECAST]","FORECAST","","000")</f>
        <v>FORECAST</v>
      </c>
      <c r="Y17" s="168" t="str">
        <f xml:space="preserve"> _xll.EPMOlapMemberO(Y14,"[CATEGORY].[PARENTH1].[FORECAST]","FORECAST","","000")</f>
        <v>FORECAST</v>
      </c>
      <c r="Z17" s="168" t="str">
        <f xml:space="preserve"> _xll.EPMOlapMemberO(Z14,"[CATEGORY].[PARENTH1].[FORECAST]","FORECAST","","000")</f>
        <v>FORECAST</v>
      </c>
      <c r="AA17" s="168" t="str">
        <f xml:space="preserve"> _xll.EPMOlapMemberO(Z14,"[CATEGORY].[PARENTH1].[FORECAST]","FORECAST","","000")</f>
        <v>FORECAST</v>
      </c>
    </row>
    <row r="18" spans="1:27" s="129" customFormat="1" ht="15" hidden="1" customHeight="1" outlineLevel="1" x14ac:dyDescent="0.25">
      <c r="A18" s="138" t="s">
        <v>195</v>
      </c>
      <c r="B18" s="170" t="str">
        <f>_xll.EPMDimensionOverride($B$1,$A$5,VLOOKUP($N$21,$K$6:$M$10,3,FALSE))</f>
        <v>Expansion of C_ACCOUNT Overriden</v>
      </c>
      <c r="D18" s="147"/>
      <c r="E18" s="167" t="s">
        <v>156</v>
      </c>
      <c r="N18" s="168" t="str">
        <f xml:space="preserve"> _xll.EPMOlapMemberO("[Blank Member]","","","","000")</f>
        <v/>
      </c>
      <c r="O18" s="168" t="str">
        <f xml:space="preserve"> _xll.EPMOlapMemberO(O15,"[DATASOURCE].[PARENTH1].[TOTAL_REST_FI]","TOTAL_REST_FI","","000")</f>
        <v>TOTAL_REST_FI</v>
      </c>
      <c r="P18" s="168" t="str">
        <f xml:space="preserve"> _xll.EPMOlapMemberO(P15,"[DATASOURCE].[PARENTH1].[TOTAL_REST_FI]","TOTAL_REST_FI","","000")</f>
        <v>TOTAL_REST_FI</v>
      </c>
      <c r="Q18" s="168" t="str">
        <f xml:space="preserve"> _xll.EPMOlapMemberO(Q15,"[DATASOURCE].[PARENTH1].[TOTAL_REST_FI]","TOTAL_REST_FI","","000")</f>
        <v>TOTAL_REST_FI</v>
      </c>
      <c r="R18" s="168" t="str">
        <f xml:space="preserve"> _xll.EPMOlapMemberO(R15,"[DATASOURCE].[PARENTH1].[TOTAL_REST_FI]","TOTAL_REST_FI","","000")</f>
        <v>TOTAL_REST_FI</v>
      </c>
      <c r="S18" s="168" t="str">
        <f xml:space="preserve"> _xll.EPMOlapMemberO(S15,"[DATASOURCE].[PARENTH1].[TOTAL_REST_FI]","TOTAL_REST_FI","","000")</f>
        <v>TOTAL_REST_FI</v>
      </c>
      <c r="T18" s="168" t="str">
        <f xml:space="preserve"> _xll.EPMOlapMemberO(T15,"[DATASOURCE].[PARENTH1].[TOTAL_REST_FI]","TOTAL_REST_FI","","000")</f>
        <v>TOTAL_REST_FI</v>
      </c>
      <c r="U18" s="168" t="str">
        <f xml:space="preserve"> _xll.EPMOlapMemberO(U15,"[DATASOURCE].[PARENTH1].[TOTAL_REST_FI]","TOTAL_REST_FI","","000")</f>
        <v>TOTAL_REST_FI</v>
      </c>
      <c r="V18" s="168" t="str">
        <f xml:space="preserve"> _xll.EPMOlapMemberO(V15,"[DATASOURCE].[PARENTH1].[INPUT]","INPUT","","000")</f>
        <v>TOTAL_REST_FI</v>
      </c>
      <c r="W18" s="168" t="str">
        <f xml:space="preserve"> _xll.EPMOlapMemberO(W15,"[DATASOURCE].[PARENTH1].[INPUT]","INPUT","","000")</f>
        <v>TOTAL_REST_FI</v>
      </c>
      <c r="X18" s="168" t="str">
        <f xml:space="preserve"> _xll.EPMOlapMemberO(X15,"[DATASOURCE].[PARENTH1].[INPUT]","INPUT","","000")</f>
        <v>TOTAL_REST_FI</v>
      </c>
      <c r="Y18" s="168" t="str">
        <f xml:space="preserve"> _xll.EPMOlapMemberO(Y15,"[DATASOURCE].[PARENTH1].[INPUT]","INPUT","","000")</f>
        <v>INPUT</v>
      </c>
      <c r="Z18" s="168" t="str">
        <f xml:space="preserve"> _xll.EPMOlapMemberO(Z15,"[DATASOURCE].[PARENTH1].[INPUT]","INPUT","","000")</f>
        <v>INPUT</v>
      </c>
      <c r="AA18" s="168" t="str">
        <f xml:space="preserve"> _xll.EPMOlapMemberO(Z15,"[DATASOURCE].[PARENTH1].[INPUT]","INPUT","","000")</f>
        <v>INPUT</v>
      </c>
    </row>
    <row r="19" spans="1:27" s="129" customFormat="1" ht="9.9" hidden="1" customHeight="1" outlineLevel="1" x14ac:dyDescent="0.25">
      <c r="E19" s="167" t="s">
        <v>160</v>
      </c>
      <c r="N19" s="168" t="str">
        <f xml:space="preserve"> _xll.FPMXLClient.TechnicalCategory.EPMLocalMember("ACCOUNT_DESC","000","000")</f>
        <v>ACCOUNT_DESC</v>
      </c>
      <c r="O19" s="168" t="str">
        <f xml:space="preserve"> _xll.EPMOlapMemberO(O11,"[I_ENTITY].[PARENTH1].[ALL_IE_ENTITIES]","ALL_IE_ENTITIES","","000")</f>
        <v>ALL_IE_ENTITIES</v>
      </c>
      <c r="P19" s="168" t="str">
        <f xml:space="preserve"> _xll.EPMOlapMemberO(P11,"[I_ENTITY].[PARENTH1].[ALL_IE_ENTITIES]","ALL_IE_ENTITIES","","000")</f>
        <v>ALL_IE_ENTITIES</v>
      </c>
      <c r="Q19" s="168" t="str">
        <f xml:space="preserve"> _xll.EPMOlapMemberO(Q11,"[I_ENTITY].[PARENTH1].[ALL_IE_ENTITIES]","ALL_IE_ENTITIES","","000")</f>
        <v>ALL_IE_ENTITIES</v>
      </c>
      <c r="R19" s="168" t="str">
        <f xml:space="preserve"> _xll.EPMOlapMemberO(R11,"[I_ENTITY].[PARENTH1].[ALL_IE_ENTITIES]","ALL_IE_ENTITIES","","000")</f>
        <v>ALL_IE_ENTITIES</v>
      </c>
      <c r="S19" s="168" t="str">
        <f xml:space="preserve"> _xll.EPMOlapMemberO(S11,"[I_ENTITY].[PARENTH1].[ALL_IE_ENTITIES]","ALL_IE_ENTITIES","","000")</f>
        <v>ALL_IE_ENTITIES</v>
      </c>
      <c r="T19" s="168" t="str">
        <f xml:space="preserve"> _xll.EPMOlapMemberO(T11,"[I_ENTITY].[PARENTH1].[ALL_IE_ENTITIES]","ALL_IE_ENTITIES","","000")</f>
        <v>ALL_IE_ENTITIES</v>
      </c>
      <c r="U19" s="168" t="str">
        <f xml:space="preserve"> _xll.EPMOlapMemberO(U11,"[I_ENTITY].[PARENTH1].[ALL_IE_ENTITIES]","ALL_IE_ENTITIES","","000")</f>
        <v>ALL_IE_ENTITIES</v>
      </c>
      <c r="V19" s="168" t="str">
        <f xml:space="preserve"> _xll.EPMOlapMemberO(V11,"[I_ENTITY].[PARENTH1].[IE_NA]","IE_NA","","000")</f>
        <v>ALL_IE_ENTITIES</v>
      </c>
      <c r="W19" s="168" t="str">
        <f xml:space="preserve"> _xll.EPMOlapMemberO(W11,"[I_ENTITY].[PARENTH1].[IE_NA]","IE_NA","","000")</f>
        <v>ALL_IE_ENTITIES</v>
      </c>
      <c r="X19" s="168" t="str">
        <f xml:space="preserve"> _xll.EPMOlapMemberO(X11,"[I_ENTITY].[PARENTH1].[IE_NA]","IE_NA","","000")</f>
        <v>ALL_IE_ENTITIES</v>
      </c>
      <c r="Y19" s="168" t="str">
        <f xml:space="preserve"> _xll.EPMOlapMemberO(Y11,"[I_ENTITY].[PARENTH1].[IE_NA]","IE_NA","","000")</f>
        <v>IE_NA</v>
      </c>
      <c r="Z19" s="168" t="str">
        <f xml:space="preserve"> _xll.EPMOlapMemberO(Z11,"[I_ENTITY].[PARENTH1].[IE_NA]","IE_NA","","000")</f>
        <v>IE_NA</v>
      </c>
      <c r="AA19" s="168" t="str">
        <f xml:space="preserve"> _xll.FPMXLClient.TechnicalCategory.EPMLocalMember("TOTAL_MONTHS","002","000")</f>
        <v>TOTAL_MONTHS</v>
      </c>
    </row>
    <row r="20" spans="1:27" s="171" customFormat="1" ht="15" customHeight="1" collapsed="1" thickBot="1" x14ac:dyDescent="0.3">
      <c r="A20" s="129"/>
      <c r="B20" s="129"/>
      <c r="C20" s="129"/>
      <c r="D20" s="129"/>
      <c r="E20" s="167" t="s">
        <v>166</v>
      </c>
      <c r="F20" s="129"/>
      <c r="G20" s="129"/>
      <c r="H20" s="129"/>
      <c r="I20" s="129"/>
      <c r="J20" s="129"/>
      <c r="K20" s="129"/>
    </row>
    <row r="21" spans="1:27" s="171" customFormat="1" ht="15" customHeight="1" thickBot="1" x14ac:dyDescent="0.3">
      <c r="A21" s="172" t="str">
        <f>IF(_xll.EPMMemberProperty(,N22,"company")="",_xll.EPMContextMember(,"entity"),_xll.EPMMemberProperty(,N22,"company"))</f>
        <v>E_2201</v>
      </c>
      <c r="B21" s="172" t="str">
        <f>_xll.EPMContextMember(,"ENTITY")</f>
        <v>E_2201</v>
      </c>
      <c r="C21" s="173" t="str">
        <f>IFERROR(VLOOKUP(LEFT($N$24,4),$E$6:$G$7,2,FALSE),"ACTUAL")</f>
        <v>FORECAST</v>
      </c>
      <c r="D21" s="129"/>
      <c r="E21" s="152" t="str">
        <f>_xll.EPMContextMember(,"COSTCENTER")</f>
        <v>CC_262004</v>
      </c>
      <c r="F21" s="147" t="s">
        <v>196</v>
      </c>
      <c r="G21" s="129" t="str">
        <f>_xll.EPMSelectMember("","[C_ACCOUNT].[PARENTH1].[CUSTOMERS_SKF]","","",FALSE)</f>
        <v>CUSTOMERS_SKF</v>
      </c>
      <c r="H21" s="129"/>
      <c r="I21" s="129"/>
      <c r="J21" s="129"/>
      <c r="K21" s="129"/>
      <c r="M21" s="160" t="s">
        <v>197</v>
      </c>
      <c r="N21" s="155" t="s">
        <v>148</v>
      </c>
    </row>
    <row r="22" spans="1:27" s="171" customFormat="1" ht="15" customHeight="1" thickBot="1" x14ac:dyDescent="0.3">
      <c r="A22" s="172">
        <v>1</v>
      </c>
      <c r="B22" s="172" t="s">
        <v>170</v>
      </c>
      <c r="C22" s="172" t="str">
        <f>_xll.EPMSelectMember("","[DATASOURCE].[PARENTH1].[TOTAL_REST_FI]","","",FALSE)</f>
        <v>TOTAL_REST_FI</v>
      </c>
      <c r="D22" s="129"/>
      <c r="E22" s="129"/>
      <c r="F22" s="147" t="s">
        <v>198</v>
      </c>
      <c r="G22" s="129" t="str">
        <f>_xll.EPMSelectMember("","[C_ACCOUNT].[PARENTH1].[MWHS_SKF]","","",FALSE)</f>
        <v>MWHS_SKF</v>
      </c>
      <c r="H22" s="129"/>
      <c r="I22" s="129"/>
      <c r="J22" s="129"/>
      <c r="K22" s="129"/>
      <c r="M22" s="160" t="s">
        <v>199</v>
      </c>
      <c r="N22" s="155" t="s">
        <v>200</v>
      </c>
      <c r="O22" s="161" t="s">
        <v>147</v>
      </c>
    </row>
    <row r="23" spans="1:27" s="171" customFormat="1" ht="15" customHeight="1" thickBot="1" x14ac:dyDescent="0.3">
      <c r="A23" s="172">
        <v>2</v>
      </c>
      <c r="B23" s="172" t="s">
        <v>165</v>
      </c>
      <c r="C23" s="172" t="str">
        <f>_xll.EPMSelectMember("","[DATASOURCE].[PARENTH2].[ALLOCABLE_CO]","","",FALSE)</f>
        <v>ALLOCABLE_CO</v>
      </c>
      <c r="D23" s="129"/>
      <c r="E23" s="129"/>
      <c r="F23" s="147" t="s">
        <v>202</v>
      </c>
      <c r="G23" s="129" t="str">
        <f>_xll.EPMSelectMember("","[C_ACCOUNT].[PARENTH1].[THERMS_SKF]","","",FALSE)</f>
        <v>THERMS_SKF</v>
      </c>
      <c r="H23" s="129"/>
      <c r="I23" s="129"/>
      <c r="J23" s="129"/>
      <c r="K23" s="129"/>
      <c r="M23" s="160" t="s">
        <v>203</v>
      </c>
      <c r="N23" s="155" t="s">
        <v>204</v>
      </c>
      <c r="O23" s="161" t="s">
        <v>205</v>
      </c>
      <c r="T23" s="174"/>
      <c r="U23" s="175" t="s">
        <v>206</v>
      </c>
    </row>
    <row r="24" spans="1:27" s="171" customFormat="1" ht="15" customHeight="1" thickBot="1" x14ac:dyDescent="0.3">
      <c r="A24" s="172">
        <v>3</v>
      </c>
      <c r="B24" s="172" t="s">
        <v>207</v>
      </c>
      <c r="C24" s="172" t="str">
        <f>_xll.EPMSelectMember("","[DATASOURCE].[PARENTH2].[TOTAL_CO]","","",FALSE)</f>
        <v>TOTAL_CO</v>
      </c>
      <c r="D24" s="129"/>
      <c r="E24" s="129"/>
      <c r="F24" s="129"/>
      <c r="G24" s="129"/>
      <c r="H24" s="129"/>
      <c r="I24" s="129"/>
      <c r="J24" s="129"/>
      <c r="K24" s="129"/>
      <c r="M24" s="160" t="s">
        <v>208</v>
      </c>
      <c r="N24" s="155" t="s">
        <v>468</v>
      </c>
      <c r="O24" s="161" t="s">
        <v>210</v>
      </c>
      <c r="T24" s="176"/>
      <c r="U24" s="175" t="s">
        <v>211</v>
      </c>
    </row>
    <row r="25" spans="1:27" s="171" customFormat="1" ht="15" customHeight="1" thickBot="1" x14ac:dyDescent="0.3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M25" s="160" t="s">
        <v>212</v>
      </c>
      <c r="N25" s="155" t="s">
        <v>147</v>
      </c>
      <c r="O25" s="161" t="s">
        <v>469</v>
      </c>
      <c r="P25" s="177"/>
    </row>
    <row r="26" spans="1:27" s="171" customFormat="1" ht="15" customHeight="1" thickBot="1" x14ac:dyDescent="0.3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N26" s="155" t="s">
        <v>131</v>
      </c>
    </row>
    <row r="27" spans="1:27" s="171" customFormat="1" ht="15" customHeight="1" thickBot="1" x14ac:dyDescent="0.3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P27" s="178" t="s">
        <v>214</v>
      </c>
    </row>
    <row r="28" spans="1:27" s="171" customFormat="1" ht="8.4" customHeight="1" thickBot="1" x14ac:dyDescent="0.3">
      <c r="A28" s="129"/>
      <c r="B28" s="129"/>
      <c r="C28" s="129"/>
      <c r="D28" s="150" t="s">
        <v>157</v>
      </c>
      <c r="E28" s="151" t="s">
        <v>141</v>
      </c>
      <c r="F28" s="129"/>
      <c r="G28" s="129"/>
      <c r="H28" s="129"/>
      <c r="I28" s="129"/>
      <c r="J28" s="129"/>
      <c r="K28" s="129"/>
      <c r="M28" s="179"/>
      <c r="N28" s="180"/>
    </row>
    <row r="29" spans="1:27" s="171" customFormat="1" ht="29.1" customHeight="1" thickBot="1" x14ac:dyDescent="0.3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M29" s="181" t="s">
        <v>215</v>
      </c>
      <c r="N29" s="182"/>
      <c r="O29" s="177"/>
      <c r="P29" s="178" t="s">
        <v>216</v>
      </c>
    </row>
    <row r="30" spans="1:27" s="171" customFormat="1" ht="12" x14ac:dyDescent="0.25">
      <c r="A30" s="129"/>
      <c r="B30" s="129"/>
      <c r="C30" s="129"/>
      <c r="D30" s="129"/>
      <c r="E30" s="129"/>
      <c r="F30" s="129"/>
      <c r="G30" s="183" t="s">
        <v>217</v>
      </c>
      <c r="H30" s="183" t="s">
        <v>217</v>
      </c>
      <c r="I30" s="183"/>
      <c r="J30" s="183"/>
      <c r="K30" s="183"/>
      <c r="M30" s="184"/>
      <c r="N30" s="185"/>
      <c r="O30" s="186" t="s">
        <v>147</v>
      </c>
      <c r="P30" s="186" t="s">
        <v>147</v>
      </c>
      <c r="Q30" s="186" t="s">
        <v>147</v>
      </c>
      <c r="R30" s="186" t="s">
        <v>147</v>
      </c>
      <c r="S30" s="186" t="s">
        <v>147</v>
      </c>
      <c r="T30" s="186" t="s">
        <v>147</v>
      </c>
      <c r="U30" s="186" t="s">
        <v>147</v>
      </c>
      <c r="V30" s="186" t="s">
        <v>147</v>
      </c>
      <c r="W30" s="186" t="s">
        <v>147</v>
      </c>
      <c r="X30" s="186" t="s">
        <v>147</v>
      </c>
      <c r="Y30" s="186" t="s">
        <v>147</v>
      </c>
      <c r="Z30" s="186" t="s">
        <v>147</v>
      </c>
      <c r="AA30" s="186" t="s">
        <v>147</v>
      </c>
    </row>
    <row r="31" spans="1:27" s="171" customFormat="1" ht="12.6" customHeight="1" thickBot="1" x14ac:dyDescent="0.3">
      <c r="A31" s="129"/>
      <c r="B31" s="129"/>
      <c r="C31" s="129"/>
      <c r="D31" s="129"/>
      <c r="E31" s="129"/>
      <c r="F31" s="129"/>
      <c r="G31" s="183" t="s">
        <v>217</v>
      </c>
      <c r="H31" s="183" t="s">
        <v>217</v>
      </c>
      <c r="I31" s="183"/>
      <c r="J31" s="183"/>
      <c r="K31" s="183"/>
      <c r="M31" s="187" t="s">
        <v>218</v>
      </c>
      <c r="N31" s="188" t="s">
        <v>219</v>
      </c>
      <c r="O31" s="189" t="s">
        <v>470</v>
      </c>
      <c r="P31" s="189" t="s">
        <v>471</v>
      </c>
      <c r="Q31" s="189" t="s">
        <v>472</v>
      </c>
      <c r="R31" s="189" t="s">
        <v>473</v>
      </c>
      <c r="S31" s="189" t="s">
        <v>474</v>
      </c>
      <c r="T31" s="189" t="s">
        <v>475</v>
      </c>
      <c r="U31" s="189" t="s">
        <v>476</v>
      </c>
      <c r="V31" s="189" t="s">
        <v>477</v>
      </c>
      <c r="W31" s="189" t="s">
        <v>478</v>
      </c>
      <c r="X31" s="189" t="s">
        <v>479</v>
      </c>
      <c r="Y31" s="189" t="s">
        <v>480</v>
      </c>
      <c r="Z31" s="189" t="s">
        <v>481</v>
      </c>
      <c r="AA31" s="189" t="s">
        <v>469</v>
      </c>
    </row>
    <row r="32" spans="1:27" ht="9.9" customHeight="1" x14ac:dyDescent="0.2">
      <c r="G32" s="191" t="s">
        <v>217</v>
      </c>
      <c r="H32" s="191" t="s">
        <v>217</v>
      </c>
      <c r="M32" s="193"/>
      <c r="N32" s="193"/>
      <c r="O32" s="193"/>
    </row>
    <row r="33" spans="7:27" ht="15" customHeight="1" x14ac:dyDescent="0.25">
      <c r="G33" s="191" t="s">
        <v>217</v>
      </c>
      <c r="H33" s="191" t="s">
        <v>217</v>
      </c>
      <c r="I33" s="194"/>
      <c r="J33" s="194"/>
      <c r="K33" s="194"/>
      <c r="M33" s="195" t="s">
        <v>232</v>
      </c>
      <c r="N33" s="196" t="s">
        <v>233</v>
      </c>
      <c r="O33" s="196">
        <v>197737051.05000001</v>
      </c>
      <c r="P33" s="196">
        <v>168252679.25999999</v>
      </c>
      <c r="Q33" s="196">
        <v>185683459.80000001</v>
      </c>
      <c r="R33" s="196">
        <v>208337359.11000001</v>
      </c>
      <c r="S33" s="196">
        <v>226059370</v>
      </c>
      <c r="T33" s="196">
        <v>242807135.63999999</v>
      </c>
      <c r="U33" s="196">
        <v>266563955.56</v>
      </c>
      <c r="V33" s="196">
        <v>270402284.94312018</v>
      </c>
      <c r="W33" s="196">
        <v>259101584.7855413</v>
      </c>
      <c r="X33" s="196">
        <v>240304618.8502664</v>
      </c>
      <c r="Y33" s="196">
        <v>199356673.3868545</v>
      </c>
      <c r="Z33" s="196">
        <v>203290843.7148158</v>
      </c>
      <c r="AA33" s="196">
        <v>2667897016.1005983</v>
      </c>
    </row>
    <row r="34" spans="7:27" ht="15" customHeight="1" x14ac:dyDescent="0.25">
      <c r="G34" s="191" t="s">
        <v>217</v>
      </c>
      <c r="H34" s="191" t="s">
        <v>217</v>
      </c>
      <c r="I34" s="194"/>
      <c r="J34" s="194"/>
      <c r="K34" s="194"/>
      <c r="M34" s="195" t="s">
        <v>152</v>
      </c>
      <c r="N34" s="196" t="s">
        <v>234</v>
      </c>
      <c r="O34" s="196">
        <v>197737051.05000001</v>
      </c>
      <c r="P34" s="196">
        <v>168252679.25999999</v>
      </c>
      <c r="Q34" s="196">
        <v>185683459.80000001</v>
      </c>
      <c r="R34" s="196">
        <v>208337359.11000001</v>
      </c>
      <c r="S34" s="196">
        <v>226059370</v>
      </c>
      <c r="T34" s="196">
        <v>242807135.63999999</v>
      </c>
      <c r="U34" s="196">
        <v>266563955.56</v>
      </c>
      <c r="V34" s="196">
        <v>270402284.94312018</v>
      </c>
      <c r="W34" s="196">
        <v>259101584.7855413</v>
      </c>
      <c r="X34" s="196">
        <v>240304618.8502664</v>
      </c>
      <c r="Y34" s="196">
        <v>199356673.3868545</v>
      </c>
      <c r="Z34" s="196">
        <v>203290843.7148158</v>
      </c>
      <c r="AA34" s="196">
        <v>2667897016.1005983</v>
      </c>
    </row>
    <row r="35" spans="7:27" ht="15" customHeight="1" x14ac:dyDescent="0.25">
      <c r="G35" s="191" t="s">
        <v>217</v>
      </c>
      <c r="H35" s="191" t="s">
        <v>217</v>
      </c>
      <c r="I35" s="194"/>
      <c r="J35" s="194"/>
      <c r="K35" s="194"/>
      <c r="M35" s="195" t="s">
        <v>235</v>
      </c>
      <c r="N35" s="196" t="s">
        <v>236</v>
      </c>
      <c r="O35" s="196">
        <v>119983562.44</v>
      </c>
      <c r="P35" s="196">
        <v>100796281.45999999</v>
      </c>
      <c r="Q35" s="196">
        <v>104486720.66</v>
      </c>
      <c r="R35" s="196">
        <v>130825079.03</v>
      </c>
      <c r="S35" s="196">
        <v>139761723.50999999</v>
      </c>
      <c r="T35" s="196">
        <v>159161872.49000001</v>
      </c>
      <c r="U35" s="196">
        <v>186240066.06999999</v>
      </c>
      <c r="V35" s="196">
        <v>186669306.65000001</v>
      </c>
      <c r="W35" s="196">
        <v>184952400.86000001</v>
      </c>
      <c r="X35" s="196">
        <v>166965063.78</v>
      </c>
      <c r="Y35" s="196">
        <v>136686753.25</v>
      </c>
      <c r="Z35" s="196">
        <v>119684991.45</v>
      </c>
      <c r="AA35" s="196">
        <v>1736213821.6500001</v>
      </c>
    </row>
    <row r="36" spans="7:27" ht="15" customHeight="1" x14ac:dyDescent="0.25">
      <c r="G36" s="191" t="s">
        <v>217</v>
      </c>
      <c r="H36" s="191" t="s">
        <v>217</v>
      </c>
      <c r="I36" s="194"/>
      <c r="J36" s="194"/>
      <c r="K36" s="194"/>
      <c r="M36" s="197" t="s">
        <v>237</v>
      </c>
      <c r="N36" s="198" t="s">
        <v>238</v>
      </c>
      <c r="O36" s="199">
        <v>69269822.829999998</v>
      </c>
      <c r="P36" s="199">
        <v>58869928.869999997</v>
      </c>
      <c r="Q36" s="199">
        <v>60696837.310000002</v>
      </c>
      <c r="R36" s="199">
        <v>68591917.129999995</v>
      </c>
      <c r="S36" s="199">
        <v>72621989.640000001</v>
      </c>
      <c r="T36" s="199">
        <v>81787104.650000006</v>
      </c>
      <c r="U36" s="199">
        <v>94300963.439999998</v>
      </c>
      <c r="V36" s="200">
        <v>101184363</v>
      </c>
      <c r="W36" s="200">
        <v>97202443</v>
      </c>
      <c r="X36" s="200">
        <v>88715924</v>
      </c>
      <c r="Y36" s="200">
        <v>76179972</v>
      </c>
      <c r="Z36" s="200">
        <v>64962303</v>
      </c>
      <c r="AA36" s="199">
        <v>934383568.86999989</v>
      </c>
    </row>
    <row r="37" spans="7:27" ht="15" customHeight="1" x14ac:dyDescent="0.25">
      <c r="G37" s="191" t="s">
        <v>217</v>
      </c>
      <c r="H37" s="191" t="s">
        <v>217</v>
      </c>
      <c r="I37" s="194"/>
      <c r="J37" s="194"/>
      <c r="K37" s="194"/>
      <c r="M37" s="197" t="s">
        <v>239</v>
      </c>
      <c r="N37" s="198" t="s">
        <v>240</v>
      </c>
      <c r="O37" s="199">
        <v>36586462.82</v>
      </c>
      <c r="P37" s="199">
        <v>30094821.460000001</v>
      </c>
      <c r="Q37" s="199">
        <v>31492274.199999999</v>
      </c>
      <c r="R37" s="199">
        <v>39743842.68</v>
      </c>
      <c r="S37" s="199">
        <v>42986935.950000003</v>
      </c>
      <c r="T37" s="199">
        <v>49736513.359999999</v>
      </c>
      <c r="U37" s="199">
        <v>59420228.950000003</v>
      </c>
      <c r="V37" s="200">
        <v>55063365</v>
      </c>
      <c r="W37" s="200">
        <v>56590075</v>
      </c>
      <c r="X37" s="200">
        <v>50235500</v>
      </c>
      <c r="Y37" s="200">
        <v>38532547</v>
      </c>
      <c r="Z37" s="200">
        <v>34709433</v>
      </c>
      <c r="AA37" s="199">
        <v>525191999.42000002</v>
      </c>
    </row>
    <row r="38" spans="7:27" ht="15" customHeight="1" x14ac:dyDescent="0.25">
      <c r="G38" s="191" t="s">
        <v>217</v>
      </c>
      <c r="H38" s="191" t="s">
        <v>217</v>
      </c>
      <c r="I38" s="194"/>
      <c r="J38" s="194"/>
      <c r="K38" s="194"/>
      <c r="M38" s="197" t="s">
        <v>241</v>
      </c>
      <c r="N38" s="198" t="s">
        <v>242</v>
      </c>
      <c r="O38" s="199">
        <v>-137369.32999999999</v>
      </c>
      <c r="P38" s="199">
        <v>-114915.2</v>
      </c>
      <c r="Q38" s="199">
        <v>-119970.07</v>
      </c>
      <c r="R38" s="199">
        <v>-138568.04</v>
      </c>
      <c r="S38" s="199">
        <v>-148924.51</v>
      </c>
      <c r="T38" s="199">
        <v>-170462.93</v>
      </c>
      <c r="U38" s="199">
        <v>-201019.62</v>
      </c>
      <c r="V38" s="200">
        <v>-187197</v>
      </c>
      <c r="W38" s="200">
        <v>-191570</v>
      </c>
      <c r="X38" s="200">
        <v>-172290</v>
      </c>
      <c r="Y38" s="200">
        <v>-134671</v>
      </c>
      <c r="Z38" s="200">
        <v>-122258</v>
      </c>
      <c r="AA38" s="199">
        <v>-1839215.7000000002</v>
      </c>
    </row>
    <row r="39" spans="7:27" ht="15" customHeight="1" x14ac:dyDescent="0.25">
      <c r="G39" s="191" t="s">
        <v>217</v>
      </c>
      <c r="H39" s="191" t="s">
        <v>217</v>
      </c>
      <c r="I39" s="194"/>
      <c r="J39" s="194"/>
      <c r="K39" s="194"/>
      <c r="M39" s="197" t="s">
        <v>243</v>
      </c>
      <c r="N39" s="198" t="s">
        <v>244</v>
      </c>
      <c r="O39" s="199">
        <v>2095954.8</v>
      </c>
      <c r="P39" s="199">
        <v>1753536.31</v>
      </c>
      <c r="Q39" s="199">
        <v>1823567.82</v>
      </c>
      <c r="R39" s="199">
        <v>2100430.0099999998</v>
      </c>
      <c r="S39" s="199">
        <v>2277823.96</v>
      </c>
      <c r="T39" s="199">
        <v>2632148.27</v>
      </c>
      <c r="U39" s="199">
        <v>3099741.04</v>
      </c>
      <c r="V39" s="200">
        <v>2923778</v>
      </c>
      <c r="W39" s="200">
        <v>2992047</v>
      </c>
      <c r="X39" s="200">
        <v>2691076</v>
      </c>
      <c r="Y39" s="200">
        <v>2103804</v>
      </c>
      <c r="Z39" s="200">
        <v>1910037</v>
      </c>
      <c r="AA39" s="199">
        <v>28403944.210000001</v>
      </c>
    </row>
    <row r="40" spans="7:27" ht="15" customHeight="1" x14ac:dyDescent="0.25">
      <c r="G40" s="191" t="s">
        <v>217</v>
      </c>
      <c r="H40" s="191" t="s">
        <v>217</v>
      </c>
      <c r="I40" s="194"/>
      <c r="J40" s="194"/>
      <c r="K40" s="194"/>
      <c r="M40" s="197" t="s">
        <v>245</v>
      </c>
      <c r="N40" s="198" t="s">
        <v>246</v>
      </c>
      <c r="O40" s="199">
        <v>704657.24</v>
      </c>
      <c r="P40" s="199">
        <v>588714.35</v>
      </c>
      <c r="Q40" s="199">
        <v>613975.51</v>
      </c>
      <c r="R40" s="199">
        <v>708617.3</v>
      </c>
      <c r="S40" s="199">
        <v>762113.51</v>
      </c>
      <c r="T40" s="199">
        <v>871714.27</v>
      </c>
      <c r="U40" s="199">
        <v>1027727.97</v>
      </c>
      <c r="V40" s="200">
        <v>957138</v>
      </c>
      <c r="W40" s="200">
        <v>979499</v>
      </c>
      <c r="X40" s="200">
        <v>880939</v>
      </c>
      <c r="Y40" s="200">
        <v>688660</v>
      </c>
      <c r="Z40" s="200">
        <v>625200</v>
      </c>
      <c r="AA40" s="199">
        <v>9408956.1499999985</v>
      </c>
    </row>
    <row r="41" spans="7:27" ht="15" customHeight="1" x14ac:dyDescent="0.25">
      <c r="G41" s="191" t="s">
        <v>217</v>
      </c>
      <c r="H41" s="191" t="s">
        <v>217</v>
      </c>
      <c r="I41" s="194"/>
      <c r="J41" s="194"/>
      <c r="K41" s="194"/>
      <c r="M41" s="197" t="s">
        <v>247</v>
      </c>
      <c r="N41" s="198" t="s">
        <v>248</v>
      </c>
      <c r="O41" s="199">
        <v>2379889.13</v>
      </c>
      <c r="P41" s="199">
        <v>2000818.59</v>
      </c>
      <c r="Q41" s="199">
        <v>2065775.99</v>
      </c>
      <c r="R41" s="199">
        <v>2567443.91</v>
      </c>
      <c r="S41" s="199">
        <v>2730754.82</v>
      </c>
      <c r="T41" s="199">
        <v>3121625.46</v>
      </c>
      <c r="U41" s="199">
        <v>3650347.82</v>
      </c>
      <c r="V41" s="200">
        <v>3523343.59</v>
      </c>
      <c r="W41" s="200">
        <v>3623123.21</v>
      </c>
      <c r="X41" s="200">
        <v>3255037.18</v>
      </c>
      <c r="Y41" s="200">
        <v>2581294.1800000002</v>
      </c>
      <c r="Z41" s="200">
        <v>2369361.25</v>
      </c>
      <c r="AA41" s="199">
        <v>33868815.130000003</v>
      </c>
    </row>
    <row r="42" spans="7:27" ht="15" customHeight="1" x14ac:dyDescent="0.25">
      <c r="G42" s="191" t="s">
        <v>217</v>
      </c>
      <c r="H42" s="191" t="s">
        <v>217</v>
      </c>
      <c r="I42" s="194"/>
      <c r="J42" s="194"/>
      <c r="K42" s="194"/>
      <c r="M42" s="197" t="s">
        <v>249</v>
      </c>
      <c r="N42" s="198" t="s">
        <v>250</v>
      </c>
      <c r="O42" s="199">
        <v>2930421.21</v>
      </c>
      <c r="P42" s="199">
        <v>2460163.08</v>
      </c>
      <c r="Q42" s="199">
        <v>2550750.94</v>
      </c>
      <c r="R42" s="199">
        <v>3196615.34</v>
      </c>
      <c r="S42" s="199">
        <v>3415900.91</v>
      </c>
      <c r="T42" s="199">
        <v>3891194.24</v>
      </c>
      <c r="U42" s="199">
        <v>4554921.59</v>
      </c>
      <c r="V42" s="200">
        <v>4217385.07</v>
      </c>
      <c r="W42" s="200">
        <v>4326206.5999999996</v>
      </c>
      <c r="X42" s="200">
        <v>3882938.8</v>
      </c>
      <c r="Y42" s="200">
        <v>3072779.88</v>
      </c>
      <c r="Z42" s="200">
        <v>2827007.78</v>
      </c>
      <c r="AA42" s="199">
        <v>41326285.439999998</v>
      </c>
    </row>
    <row r="43" spans="7:27" ht="15" customHeight="1" x14ac:dyDescent="0.25">
      <c r="G43" s="191" t="s">
        <v>217</v>
      </c>
      <c r="H43" s="191" t="s">
        <v>217</v>
      </c>
      <c r="I43" s="194"/>
      <c r="J43" s="194"/>
      <c r="K43" s="194"/>
      <c r="M43" s="197" t="s">
        <v>251</v>
      </c>
      <c r="N43" s="198" t="s">
        <v>252</v>
      </c>
      <c r="O43" s="199">
        <v>2863324.14</v>
      </c>
      <c r="P43" s="199">
        <v>2394045.73</v>
      </c>
      <c r="Q43" s="199">
        <v>2496424.59</v>
      </c>
      <c r="R43" s="199">
        <v>2880565.67</v>
      </c>
      <c r="S43" s="199">
        <v>3097094.72</v>
      </c>
      <c r="T43" s="199">
        <v>3541652.87</v>
      </c>
      <c r="U43" s="199">
        <v>4174167.61</v>
      </c>
      <c r="V43" s="200">
        <v>3888639.5</v>
      </c>
      <c r="W43" s="200">
        <v>3979290.18</v>
      </c>
      <c r="X43" s="200">
        <v>3579817.36</v>
      </c>
      <c r="Y43" s="200">
        <v>2800311.55</v>
      </c>
      <c r="Z43" s="200">
        <v>2543210.41</v>
      </c>
      <c r="AA43" s="199">
        <v>38238544.329999998</v>
      </c>
    </row>
    <row r="44" spans="7:27" ht="15" customHeight="1" x14ac:dyDescent="0.25">
      <c r="G44" s="191" t="s">
        <v>217</v>
      </c>
      <c r="H44" s="191" t="s">
        <v>217</v>
      </c>
      <c r="I44" s="194"/>
      <c r="J44" s="194"/>
      <c r="K44" s="194"/>
      <c r="M44" s="197" t="s">
        <v>253</v>
      </c>
      <c r="N44" s="198" t="s">
        <v>254</v>
      </c>
      <c r="O44" s="199">
        <v>3290399.6</v>
      </c>
      <c r="P44" s="199">
        <v>2749168.27</v>
      </c>
      <c r="Q44" s="199">
        <v>2867077.43</v>
      </c>
      <c r="R44" s="199">
        <v>3309989.16</v>
      </c>
      <c r="S44" s="199">
        <v>3559703.26</v>
      </c>
      <c r="T44" s="199">
        <v>4072211.85</v>
      </c>
      <c r="U44" s="199">
        <v>4801445.82</v>
      </c>
      <c r="V44" s="200">
        <v>4471410</v>
      </c>
      <c r="W44" s="200">
        <v>4575879</v>
      </c>
      <c r="X44" s="200">
        <v>4115313</v>
      </c>
      <c r="Y44" s="200">
        <v>3216687</v>
      </c>
      <c r="Z44" s="200">
        <v>2920138</v>
      </c>
      <c r="AA44" s="199">
        <v>43949422.390000001</v>
      </c>
    </row>
    <row r="45" spans="7:27" ht="15" customHeight="1" x14ac:dyDescent="0.25">
      <c r="G45" s="191" t="s">
        <v>217</v>
      </c>
      <c r="H45" s="191" t="s">
        <v>217</v>
      </c>
      <c r="I45" s="194"/>
      <c r="J45" s="194"/>
      <c r="K45" s="194"/>
      <c r="M45" s="197" t="s">
        <v>458</v>
      </c>
      <c r="N45" s="198" t="s">
        <v>459</v>
      </c>
      <c r="O45" s="199">
        <v>0</v>
      </c>
      <c r="P45" s="199">
        <v>0</v>
      </c>
      <c r="Q45" s="199">
        <v>6.94</v>
      </c>
      <c r="R45" s="199">
        <v>7864225.8700000001</v>
      </c>
      <c r="S45" s="199">
        <v>8458331.25</v>
      </c>
      <c r="T45" s="199">
        <v>9678170.4499999993</v>
      </c>
      <c r="U45" s="199">
        <v>11411541.449999999</v>
      </c>
      <c r="V45" s="200">
        <v>10627081.49</v>
      </c>
      <c r="W45" s="200">
        <v>10875407.869999999</v>
      </c>
      <c r="X45" s="200">
        <v>9780808.4399999995</v>
      </c>
      <c r="Y45" s="200">
        <v>7645368.6399999997</v>
      </c>
      <c r="Z45" s="200">
        <v>6940559.0099999998</v>
      </c>
      <c r="AA45" s="199">
        <v>83281501.409999996</v>
      </c>
    </row>
    <row r="46" spans="7:27" ht="15" customHeight="1" x14ac:dyDescent="0.25">
      <c r="G46" s="191" t="s">
        <v>217</v>
      </c>
      <c r="H46" s="191" t="s">
        <v>217</v>
      </c>
      <c r="I46" s="194"/>
      <c r="J46" s="194"/>
      <c r="K46" s="194"/>
      <c r="M46" s="195" t="s">
        <v>255</v>
      </c>
      <c r="N46" s="196" t="s">
        <v>256</v>
      </c>
      <c r="O46" s="196">
        <v>57784597.939999998</v>
      </c>
      <c r="P46" s="196">
        <v>54710052.590000004</v>
      </c>
      <c r="Q46" s="196">
        <v>57456625.420000002</v>
      </c>
      <c r="R46" s="196">
        <v>64341785.060000002</v>
      </c>
      <c r="S46" s="196">
        <v>66877923.200000003</v>
      </c>
      <c r="T46" s="196">
        <v>70318248.379999995</v>
      </c>
      <c r="U46" s="196">
        <v>76664382.090000004</v>
      </c>
      <c r="V46" s="196">
        <v>72793512.909999996</v>
      </c>
      <c r="W46" s="196">
        <v>73495419.730000004</v>
      </c>
      <c r="X46" s="196">
        <v>70576423.040000007</v>
      </c>
      <c r="Y46" s="196">
        <v>64243674.75</v>
      </c>
      <c r="Z46" s="196">
        <v>60804694.329999998</v>
      </c>
      <c r="AA46" s="196">
        <v>790067339.43999994</v>
      </c>
    </row>
    <row r="47" spans="7:27" ht="15" customHeight="1" x14ac:dyDescent="0.25">
      <c r="G47" s="191" t="s">
        <v>217</v>
      </c>
      <c r="H47" s="191" t="s">
        <v>217</v>
      </c>
      <c r="I47" s="194"/>
      <c r="J47" s="194"/>
      <c r="K47" s="194"/>
      <c r="M47" s="195" t="s">
        <v>482</v>
      </c>
      <c r="N47" s="196" t="s">
        <v>483</v>
      </c>
      <c r="O47" s="196">
        <v>13824259.310000001</v>
      </c>
      <c r="P47" s="196">
        <v>13270165.08</v>
      </c>
      <c r="Q47" s="196">
        <v>13946331.41</v>
      </c>
      <c r="R47" s="196">
        <v>16106780.49</v>
      </c>
      <c r="S47" s="196">
        <v>16797809.59</v>
      </c>
      <c r="T47" s="196">
        <v>18093679.329999998</v>
      </c>
      <c r="U47" s="196">
        <v>19593224.829999998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111632250.03999999</v>
      </c>
    </row>
    <row r="48" spans="7:27" ht="15" customHeight="1" x14ac:dyDescent="0.25">
      <c r="G48" s="191" t="s">
        <v>217</v>
      </c>
      <c r="H48" s="191" t="s">
        <v>217</v>
      </c>
      <c r="I48" s="194"/>
      <c r="J48" s="194"/>
      <c r="K48" s="194"/>
      <c r="M48" s="197" t="s">
        <v>484</v>
      </c>
      <c r="N48" s="198" t="s">
        <v>485</v>
      </c>
      <c r="O48" s="199">
        <v>9298428.3399999999</v>
      </c>
      <c r="P48" s="199">
        <v>8997502.6600000001</v>
      </c>
      <c r="Q48" s="199">
        <v>9329658.1600000001</v>
      </c>
      <c r="R48" s="199">
        <v>9906910.0199999996</v>
      </c>
      <c r="S48" s="199">
        <v>10244843.17</v>
      </c>
      <c r="T48" s="199">
        <v>10891981.59</v>
      </c>
      <c r="U48" s="199">
        <v>11605160.619999999</v>
      </c>
      <c r="V48" s="200">
        <v>0</v>
      </c>
      <c r="W48" s="200">
        <v>0</v>
      </c>
      <c r="X48" s="200">
        <v>0</v>
      </c>
      <c r="Y48" s="200">
        <v>0</v>
      </c>
      <c r="Z48" s="200">
        <v>0</v>
      </c>
      <c r="AA48" s="199">
        <v>70274484.560000002</v>
      </c>
    </row>
    <row r="49" spans="7:27" ht="15" customHeight="1" x14ac:dyDescent="0.25">
      <c r="G49" s="191" t="s">
        <v>217</v>
      </c>
      <c r="H49" s="191" t="s">
        <v>217</v>
      </c>
      <c r="I49" s="194"/>
      <c r="J49" s="194"/>
      <c r="K49" s="194"/>
      <c r="M49" s="197" t="s">
        <v>486</v>
      </c>
      <c r="N49" s="198" t="s">
        <v>487</v>
      </c>
      <c r="O49" s="199">
        <v>3141694.56</v>
      </c>
      <c r="P49" s="199">
        <v>2964171.14</v>
      </c>
      <c r="Q49" s="199">
        <v>3210113.68</v>
      </c>
      <c r="R49" s="199">
        <v>3850528.45</v>
      </c>
      <c r="S49" s="199">
        <v>4074969.44</v>
      </c>
      <c r="T49" s="199">
        <v>4488007.0599999996</v>
      </c>
      <c r="U49" s="199">
        <v>4979957.1900000004</v>
      </c>
      <c r="V49" s="200">
        <v>0</v>
      </c>
      <c r="W49" s="200">
        <v>0</v>
      </c>
      <c r="X49" s="200">
        <v>0</v>
      </c>
      <c r="Y49" s="200">
        <v>0</v>
      </c>
      <c r="Z49" s="200">
        <v>0</v>
      </c>
      <c r="AA49" s="199">
        <v>26709441.520000003</v>
      </c>
    </row>
    <row r="50" spans="7:27" ht="15" customHeight="1" x14ac:dyDescent="0.25">
      <c r="G50" s="191" t="s">
        <v>217</v>
      </c>
      <c r="H50" s="191" t="s">
        <v>217</v>
      </c>
      <c r="I50" s="194"/>
      <c r="J50" s="194"/>
      <c r="K50" s="194"/>
      <c r="M50" s="197" t="s">
        <v>488</v>
      </c>
      <c r="N50" s="198" t="s">
        <v>489</v>
      </c>
      <c r="O50" s="199">
        <v>-10423.620000000001</v>
      </c>
      <c r="P50" s="199">
        <v>-9811.86</v>
      </c>
      <c r="Q50" s="199">
        <v>-10668.22</v>
      </c>
      <c r="R50" s="199">
        <v>-11898.65</v>
      </c>
      <c r="S50" s="199">
        <v>-12570.43</v>
      </c>
      <c r="T50" s="199">
        <v>-13887.42</v>
      </c>
      <c r="U50" s="199">
        <v>-15565.71</v>
      </c>
      <c r="V50" s="200">
        <v>0</v>
      </c>
      <c r="W50" s="200">
        <v>0</v>
      </c>
      <c r="X50" s="200">
        <v>0</v>
      </c>
      <c r="Y50" s="200">
        <v>0</v>
      </c>
      <c r="Z50" s="200">
        <v>0</v>
      </c>
      <c r="AA50" s="199">
        <v>-84825.91</v>
      </c>
    </row>
    <row r="51" spans="7:27" ht="15" customHeight="1" x14ac:dyDescent="0.25">
      <c r="G51" s="191" t="s">
        <v>217</v>
      </c>
      <c r="H51" s="191" t="s">
        <v>217</v>
      </c>
      <c r="I51" s="194"/>
      <c r="J51" s="194"/>
      <c r="K51" s="194"/>
      <c r="M51" s="197" t="s">
        <v>490</v>
      </c>
      <c r="N51" s="198" t="s">
        <v>491</v>
      </c>
      <c r="O51" s="199">
        <v>178102.39999999999</v>
      </c>
      <c r="P51" s="199">
        <v>167981.93</v>
      </c>
      <c r="Q51" s="199">
        <v>181991.34</v>
      </c>
      <c r="R51" s="199">
        <v>201443.72</v>
      </c>
      <c r="S51" s="199">
        <v>213221.15</v>
      </c>
      <c r="T51" s="199">
        <v>234911.49</v>
      </c>
      <c r="U51" s="199">
        <v>260727</v>
      </c>
      <c r="V51" s="200">
        <v>0</v>
      </c>
      <c r="W51" s="200">
        <v>0</v>
      </c>
      <c r="X51" s="200">
        <v>0</v>
      </c>
      <c r="Y51" s="200">
        <v>0</v>
      </c>
      <c r="Z51" s="200">
        <v>0</v>
      </c>
      <c r="AA51" s="199">
        <v>1438379.0299999998</v>
      </c>
    </row>
    <row r="52" spans="7:27" ht="15" customHeight="1" x14ac:dyDescent="0.25">
      <c r="G52" s="191" t="s">
        <v>217</v>
      </c>
      <c r="H52" s="191" t="s">
        <v>217</v>
      </c>
      <c r="I52" s="194"/>
      <c r="J52" s="194"/>
      <c r="K52" s="194"/>
      <c r="M52" s="197" t="s">
        <v>492</v>
      </c>
      <c r="N52" s="198" t="s">
        <v>493</v>
      </c>
      <c r="O52" s="199">
        <v>57562.42</v>
      </c>
      <c r="P52" s="199">
        <v>54262.8</v>
      </c>
      <c r="Q52" s="199">
        <v>58770.99</v>
      </c>
      <c r="R52" s="199">
        <v>65204.160000000003</v>
      </c>
      <c r="S52" s="199">
        <v>69127.600000000006</v>
      </c>
      <c r="T52" s="199">
        <v>76252.94</v>
      </c>
      <c r="U52" s="199">
        <v>84607.61</v>
      </c>
      <c r="V52" s="200">
        <v>0</v>
      </c>
      <c r="W52" s="200">
        <v>0</v>
      </c>
      <c r="X52" s="200">
        <v>0</v>
      </c>
      <c r="Y52" s="200">
        <v>0</v>
      </c>
      <c r="Z52" s="200">
        <v>0</v>
      </c>
      <c r="AA52" s="199">
        <v>465788.51999999996</v>
      </c>
    </row>
    <row r="53" spans="7:27" ht="15" customHeight="1" x14ac:dyDescent="0.25">
      <c r="G53" s="191" t="s">
        <v>217</v>
      </c>
      <c r="H53" s="191" t="s">
        <v>217</v>
      </c>
      <c r="I53" s="194"/>
      <c r="J53" s="194"/>
      <c r="K53" s="194"/>
      <c r="M53" s="197" t="s">
        <v>494</v>
      </c>
      <c r="N53" s="198" t="s">
        <v>495</v>
      </c>
      <c r="O53" s="199">
        <v>327823.95</v>
      </c>
      <c r="P53" s="199">
        <v>311228.48</v>
      </c>
      <c r="Q53" s="199">
        <v>331875.96000000002</v>
      </c>
      <c r="R53" s="199">
        <v>389844.1</v>
      </c>
      <c r="S53" s="199">
        <v>407387.76</v>
      </c>
      <c r="T53" s="199">
        <v>435091.5</v>
      </c>
      <c r="U53" s="199">
        <v>482487.57</v>
      </c>
      <c r="V53" s="200">
        <v>0</v>
      </c>
      <c r="W53" s="200">
        <v>0</v>
      </c>
      <c r="X53" s="200">
        <v>0</v>
      </c>
      <c r="Y53" s="200">
        <v>0</v>
      </c>
      <c r="Z53" s="200">
        <v>0</v>
      </c>
      <c r="AA53" s="199">
        <v>2685739.32</v>
      </c>
    </row>
    <row r="54" spans="7:27" ht="15" customHeight="1" x14ac:dyDescent="0.25">
      <c r="G54" s="191" t="s">
        <v>217</v>
      </c>
      <c r="H54" s="191" t="s">
        <v>217</v>
      </c>
      <c r="I54" s="194"/>
      <c r="J54" s="194"/>
      <c r="K54" s="194"/>
      <c r="M54" s="197" t="s">
        <v>496</v>
      </c>
      <c r="N54" s="198" t="s">
        <v>497</v>
      </c>
      <c r="O54" s="199">
        <v>263598.34999999998</v>
      </c>
      <c r="P54" s="199">
        <v>247809.98</v>
      </c>
      <c r="Q54" s="199">
        <v>265410.11</v>
      </c>
      <c r="R54" s="199">
        <v>318146.55</v>
      </c>
      <c r="S54" s="199">
        <v>334311.02</v>
      </c>
      <c r="T54" s="199">
        <v>365939.87</v>
      </c>
      <c r="U54" s="199">
        <v>401884.82</v>
      </c>
      <c r="V54" s="200">
        <v>0</v>
      </c>
      <c r="W54" s="200">
        <v>0</v>
      </c>
      <c r="X54" s="200">
        <v>0</v>
      </c>
      <c r="Y54" s="200">
        <v>0</v>
      </c>
      <c r="Z54" s="200">
        <v>0</v>
      </c>
      <c r="AA54" s="199">
        <v>2197100.6999999997</v>
      </c>
    </row>
    <row r="55" spans="7:27" ht="15" customHeight="1" x14ac:dyDescent="0.25">
      <c r="G55" s="191" t="s">
        <v>217</v>
      </c>
      <c r="H55" s="191" t="s">
        <v>217</v>
      </c>
      <c r="I55" s="194"/>
      <c r="J55" s="194"/>
      <c r="K55" s="194"/>
      <c r="M55" s="197" t="s">
        <v>498</v>
      </c>
      <c r="N55" s="198" t="s">
        <v>499</v>
      </c>
      <c r="O55" s="199">
        <v>306227.89</v>
      </c>
      <c r="P55" s="199">
        <v>291502.94</v>
      </c>
      <c r="Q55" s="199">
        <v>311676.33</v>
      </c>
      <c r="R55" s="199">
        <v>339009.67</v>
      </c>
      <c r="S55" s="199">
        <v>356195.14</v>
      </c>
      <c r="T55" s="199">
        <v>387558.25</v>
      </c>
      <c r="U55" s="199">
        <v>425242.64</v>
      </c>
      <c r="V55" s="200">
        <v>0</v>
      </c>
      <c r="W55" s="200">
        <v>0</v>
      </c>
      <c r="X55" s="200">
        <v>0</v>
      </c>
      <c r="Y55" s="200">
        <v>0</v>
      </c>
      <c r="Z55" s="200">
        <v>0</v>
      </c>
      <c r="AA55" s="199">
        <v>2417412.8600000003</v>
      </c>
    </row>
    <row r="56" spans="7:27" ht="15" customHeight="1" x14ac:dyDescent="0.25">
      <c r="G56" s="191" t="s">
        <v>217</v>
      </c>
      <c r="H56" s="191" t="s">
        <v>217</v>
      </c>
      <c r="I56" s="194"/>
      <c r="J56" s="194"/>
      <c r="K56" s="194"/>
      <c r="M56" s="197" t="s">
        <v>500</v>
      </c>
      <c r="N56" s="198" t="s">
        <v>501</v>
      </c>
      <c r="O56" s="199">
        <v>261245.02</v>
      </c>
      <c r="P56" s="199">
        <v>245517.01</v>
      </c>
      <c r="Q56" s="199">
        <v>267503.06</v>
      </c>
      <c r="R56" s="199">
        <v>297830.03999999998</v>
      </c>
      <c r="S56" s="199">
        <v>316131.32</v>
      </c>
      <c r="T56" s="199">
        <v>349904.56</v>
      </c>
      <c r="U56" s="199">
        <v>389879.03</v>
      </c>
      <c r="V56" s="200">
        <v>0</v>
      </c>
      <c r="W56" s="200">
        <v>0</v>
      </c>
      <c r="X56" s="200">
        <v>0</v>
      </c>
      <c r="Y56" s="200">
        <v>0</v>
      </c>
      <c r="Z56" s="200">
        <v>0</v>
      </c>
      <c r="AA56" s="199">
        <v>2128010.04</v>
      </c>
    </row>
    <row r="57" spans="7:27" ht="15" customHeight="1" x14ac:dyDescent="0.25">
      <c r="G57" s="191" t="s">
        <v>217</v>
      </c>
      <c r="H57" s="191" t="s">
        <v>217</v>
      </c>
      <c r="I57" s="194"/>
      <c r="J57" s="194"/>
      <c r="K57" s="194"/>
      <c r="M57" s="197" t="s">
        <v>502</v>
      </c>
      <c r="N57" s="198" t="s">
        <v>503</v>
      </c>
      <c r="O57" s="199">
        <v>0</v>
      </c>
      <c r="P57" s="199">
        <v>0</v>
      </c>
      <c r="Q57" s="199">
        <v>0</v>
      </c>
      <c r="R57" s="199">
        <v>749762.43</v>
      </c>
      <c r="S57" s="199">
        <v>794193.42</v>
      </c>
      <c r="T57" s="199">
        <v>877919.49</v>
      </c>
      <c r="U57" s="199">
        <v>978844.06</v>
      </c>
      <c r="V57" s="200">
        <v>0</v>
      </c>
      <c r="W57" s="200">
        <v>0</v>
      </c>
      <c r="X57" s="200">
        <v>0</v>
      </c>
      <c r="Y57" s="200">
        <v>0</v>
      </c>
      <c r="Z57" s="200">
        <v>0</v>
      </c>
      <c r="AA57" s="199">
        <v>3400719.4</v>
      </c>
    </row>
    <row r="58" spans="7:27" ht="15" customHeight="1" x14ac:dyDescent="0.25">
      <c r="G58" s="191" t="s">
        <v>217</v>
      </c>
      <c r="H58" s="191" t="s">
        <v>217</v>
      </c>
      <c r="I58" s="194"/>
      <c r="J58" s="194"/>
      <c r="K58" s="194"/>
      <c r="M58" s="195" t="s">
        <v>257</v>
      </c>
      <c r="N58" s="196" t="s">
        <v>258</v>
      </c>
      <c r="O58" s="196">
        <v>43960338.630000003</v>
      </c>
      <c r="P58" s="196">
        <v>41439887.509999998</v>
      </c>
      <c r="Q58" s="196">
        <v>43510294.009999998</v>
      </c>
      <c r="R58" s="196">
        <v>48235004.57</v>
      </c>
      <c r="S58" s="196">
        <v>50080113.609999999</v>
      </c>
      <c r="T58" s="196">
        <v>52224569.049999997</v>
      </c>
      <c r="U58" s="196">
        <v>57071157.259999998</v>
      </c>
      <c r="V58" s="196">
        <v>72793512.909999996</v>
      </c>
      <c r="W58" s="196">
        <v>73495419.730000004</v>
      </c>
      <c r="X58" s="196">
        <v>70576423.040000007</v>
      </c>
      <c r="Y58" s="196">
        <v>64243674.75</v>
      </c>
      <c r="Z58" s="196">
        <v>60804694.329999998</v>
      </c>
      <c r="AA58" s="196">
        <v>678435089.39999998</v>
      </c>
    </row>
    <row r="59" spans="7:27" ht="15" customHeight="1" x14ac:dyDescent="0.25">
      <c r="G59" s="191" t="s">
        <v>217</v>
      </c>
      <c r="H59" s="191" t="s">
        <v>217</v>
      </c>
      <c r="I59" s="194"/>
      <c r="J59" s="194"/>
      <c r="K59" s="194"/>
      <c r="M59" s="197" t="s">
        <v>259</v>
      </c>
      <c r="N59" s="198" t="s">
        <v>260</v>
      </c>
      <c r="O59" s="199">
        <v>18536285.09</v>
      </c>
      <c r="P59" s="199">
        <v>17783152.539999999</v>
      </c>
      <c r="Q59" s="199">
        <v>18435119.760000002</v>
      </c>
      <c r="R59" s="199">
        <v>19043248.920000002</v>
      </c>
      <c r="S59" s="199">
        <v>19536739.23</v>
      </c>
      <c r="T59" s="199">
        <v>20167206.129999999</v>
      </c>
      <c r="U59" s="199">
        <v>21624144.27</v>
      </c>
      <c r="V59" s="200">
        <v>32161391</v>
      </c>
      <c r="W59" s="200">
        <v>32441264</v>
      </c>
      <c r="X59" s="200">
        <v>31733728</v>
      </c>
      <c r="Y59" s="200">
        <v>29642734</v>
      </c>
      <c r="Z59" s="200">
        <v>28003607</v>
      </c>
      <c r="AA59" s="199">
        <v>289108619.94</v>
      </c>
    </row>
    <row r="60" spans="7:27" ht="15" customHeight="1" x14ac:dyDescent="0.25">
      <c r="G60" s="191" t="s">
        <v>217</v>
      </c>
      <c r="H60" s="191" t="s">
        <v>217</v>
      </c>
      <c r="I60" s="194"/>
      <c r="J60" s="194"/>
      <c r="K60" s="194"/>
      <c r="M60" s="197" t="s">
        <v>261</v>
      </c>
      <c r="N60" s="198" t="s">
        <v>262</v>
      </c>
      <c r="O60" s="199">
        <v>19969935.379999999</v>
      </c>
      <c r="P60" s="199">
        <v>18451363.969999999</v>
      </c>
      <c r="Q60" s="199">
        <v>19659411.73</v>
      </c>
      <c r="R60" s="199">
        <v>22433403.870000001</v>
      </c>
      <c r="S60" s="199">
        <v>23561874.129999999</v>
      </c>
      <c r="T60" s="199">
        <v>24802317.579999998</v>
      </c>
      <c r="U60" s="199">
        <v>27581461.719999999</v>
      </c>
      <c r="V60" s="200">
        <v>30600434</v>
      </c>
      <c r="W60" s="200">
        <v>30971994</v>
      </c>
      <c r="X60" s="200">
        <v>29140199</v>
      </c>
      <c r="Y60" s="200">
        <v>25886205</v>
      </c>
      <c r="Z60" s="200">
        <v>24378387</v>
      </c>
      <c r="AA60" s="199">
        <v>297436987.38</v>
      </c>
    </row>
    <row r="61" spans="7:27" ht="15" customHeight="1" x14ac:dyDescent="0.25">
      <c r="G61" s="191" t="s">
        <v>217</v>
      </c>
      <c r="H61" s="191" t="s">
        <v>217</v>
      </c>
      <c r="I61" s="194"/>
      <c r="J61" s="194"/>
      <c r="K61" s="194"/>
      <c r="M61" s="197" t="s">
        <v>263</v>
      </c>
      <c r="N61" s="198" t="s">
        <v>264</v>
      </c>
      <c r="O61" s="199">
        <v>-60339.95</v>
      </c>
      <c r="P61" s="199">
        <v>-59530.37</v>
      </c>
      <c r="Q61" s="199">
        <v>-61084.83</v>
      </c>
      <c r="R61" s="199">
        <v>-62731.82</v>
      </c>
      <c r="S61" s="199">
        <v>-63513.62</v>
      </c>
      <c r="T61" s="199">
        <v>-65472.3</v>
      </c>
      <c r="U61" s="199">
        <v>-69732.22</v>
      </c>
      <c r="V61" s="200">
        <v>-79184</v>
      </c>
      <c r="W61" s="200">
        <v>-78969</v>
      </c>
      <c r="X61" s="200">
        <v>-77691</v>
      </c>
      <c r="Y61" s="200">
        <v>-70039</v>
      </c>
      <c r="Z61" s="200">
        <v>-69222</v>
      </c>
      <c r="AA61" s="199">
        <v>-817510.11</v>
      </c>
    </row>
    <row r="62" spans="7:27" ht="15" customHeight="1" x14ac:dyDescent="0.25">
      <c r="G62" s="191" t="s">
        <v>217</v>
      </c>
      <c r="H62" s="191" t="s">
        <v>217</v>
      </c>
      <c r="I62" s="194"/>
      <c r="J62" s="194"/>
      <c r="K62" s="194"/>
      <c r="M62" s="197" t="s">
        <v>265</v>
      </c>
      <c r="N62" s="198" t="s">
        <v>266</v>
      </c>
      <c r="O62" s="199">
        <v>908485.31</v>
      </c>
      <c r="P62" s="199">
        <v>878456.48</v>
      </c>
      <c r="Q62" s="199">
        <v>904666.33</v>
      </c>
      <c r="R62" s="199">
        <v>928465.11</v>
      </c>
      <c r="S62" s="199">
        <v>944716.68</v>
      </c>
      <c r="T62" s="199">
        <v>970950.53</v>
      </c>
      <c r="U62" s="199">
        <v>1034713.34</v>
      </c>
      <c r="V62" s="200">
        <v>1196386</v>
      </c>
      <c r="W62" s="200">
        <v>1193634</v>
      </c>
      <c r="X62" s="200">
        <v>1173498</v>
      </c>
      <c r="Y62" s="200">
        <v>1058434</v>
      </c>
      <c r="Z62" s="200">
        <v>1045382</v>
      </c>
      <c r="AA62" s="199">
        <v>12237787.780000001</v>
      </c>
    </row>
    <row r="63" spans="7:27" ht="15" customHeight="1" x14ac:dyDescent="0.25">
      <c r="G63" s="191" t="s">
        <v>217</v>
      </c>
      <c r="H63" s="191" t="s">
        <v>217</v>
      </c>
      <c r="I63" s="194"/>
      <c r="J63" s="194"/>
      <c r="K63" s="194"/>
      <c r="M63" s="197" t="s">
        <v>267</v>
      </c>
      <c r="N63" s="198" t="s">
        <v>268</v>
      </c>
      <c r="O63" s="199">
        <v>348199.24</v>
      </c>
      <c r="P63" s="199">
        <v>320317.96000000002</v>
      </c>
      <c r="Q63" s="199">
        <v>341261.05</v>
      </c>
      <c r="R63" s="199">
        <v>358922.34</v>
      </c>
      <c r="S63" s="199">
        <v>376944.41</v>
      </c>
      <c r="T63" s="199">
        <v>396438.69</v>
      </c>
      <c r="U63" s="199">
        <v>440574.93</v>
      </c>
      <c r="V63" s="200">
        <v>493107</v>
      </c>
      <c r="W63" s="200">
        <v>499185</v>
      </c>
      <c r="X63" s="200">
        <v>469548</v>
      </c>
      <c r="Y63" s="200">
        <v>417342</v>
      </c>
      <c r="Z63" s="200">
        <v>393474</v>
      </c>
      <c r="AA63" s="199">
        <v>4855314.62</v>
      </c>
    </row>
    <row r="64" spans="7:27" ht="15" customHeight="1" x14ac:dyDescent="0.25">
      <c r="G64" s="191" t="s">
        <v>217</v>
      </c>
      <c r="H64" s="191" t="s">
        <v>217</v>
      </c>
      <c r="I64" s="194"/>
      <c r="J64" s="194"/>
      <c r="K64" s="194"/>
      <c r="M64" s="197" t="s">
        <v>269</v>
      </c>
      <c r="N64" s="198" t="s">
        <v>270</v>
      </c>
      <c r="O64" s="199">
        <v>1425200.58</v>
      </c>
      <c r="P64" s="199">
        <v>1352257.93</v>
      </c>
      <c r="Q64" s="199">
        <v>1415379.33</v>
      </c>
      <c r="R64" s="199">
        <v>1572435.94</v>
      </c>
      <c r="S64" s="199">
        <v>1636239.99</v>
      </c>
      <c r="T64" s="199">
        <v>1712028.16</v>
      </c>
      <c r="U64" s="199">
        <v>1859227.23</v>
      </c>
      <c r="V64" s="200">
        <v>2114771.7999999998</v>
      </c>
      <c r="W64" s="200">
        <v>2128787.77</v>
      </c>
      <c r="X64" s="200">
        <v>2040526.53</v>
      </c>
      <c r="Y64" s="200">
        <v>1836818.78</v>
      </c>
      <c r="Z64" s="200">
        <v>1767826.26</v>
      </c>
      <c r="AA64" s="199">
        <v>20861500.300000004</v>
      </c>
    </row>
    <row r="65" spans="7:27" ht="15" customHeight="1" x14ac:dyDescent="0.25">
      <c r="G65" s="191" t="s">
        <v>217</v>
      </c>
      <c r="H65" s="191" t="s">
        <v>217</v>
      </c>
      <c r="I65" s="194"/>
      <c r="J65" s="194"/>
      <c r="K65" s="194"/>
      <c r="M65" s="197" t="s">
        <v>271</v>
      </c>
      <c r="N65" s="198" t="s">
        <v>272</v>
      </c>
      <c r="O65" s="199">
        <v>1055456.46</v>
      </c>
      <c r="P65" s="199">
        <v>994223.89</v>
      </c>
      <c r="Q65" s="199">
        <v>1044270.71</v>
      </c>
      <c r="R65" s="199">
        <v>1158408.3500000001</v>
      </c>
      <c r="S65" s="199">
        <v>1202927.77</v>
      </c>
      <c r="T65" s="199">
        <v>1254648.3700000001</v>
      </c>
      <c r="U65" s="199">
        <v>1371934.01</v>
      </c>
      <c r="V65" s="200">
        <v>1737189.61</v>
      </c>
      <c r="W65" s="200">
        <v>1748710</v>
      </c>
      <c r="X65" s="200">
        <v>1676217.76</v>
      </c>
      <c r="Y65" s="200">
        <v>1508896.1</v>
      </c>
      <c r="Z65" s="200">
        <v>1452233.1</v>
      </c>
      <c r="AA65" s="199">
        <v>16205116.129999999</v>
      </c>
    </row>
    <row r="66" spans="7:27" ht="15" customHeight="1" x14ac:dyDescent="0.25">
      <c r="G66" s="191" t="s">
        <v>217</v>
      </c>
      <c r="H66" s="191" t="s">
        <v>217</v>
      </c>
      <c r="I66" s="194"/>
      <c r="J66" s="194"/>
      <c r="K66" s="194"/>
      <c r="M66" s="197" t="s">
        <v>504</v>
      </c>
      <c r="N66" s="198" t="s">
        <v>505</v>
      </c>
      <c r="O66" s="199">
        <v>76.09</v>
      </c>
      <c r="P66" s="199">
        <v>0</v>
      </c>
      <c r="Q66" s="199">
        <v>0</v>
      </c>
      <c r="R66" s="199">
        <v>0</v>
      </c>
      <c r="S66" s="199">
        <v>0</v>
      </c>
      <c r="T66" s="199">
        <v>0</v>
      </c>
      <c r="U66" s="199">
        <v>0</v>
      </c>
      <c r="V66" s="200">
        <v>0</v>
      </c>
      <c r="W66" s="200">
        <v>0</v>
      </c>
      <c r="X66" s="200">
        <v>0</v>
      </c>
      <c r="Y66" s="200">
        <v>0</v>
      </c>
      <c r="Z66" s="200">
        <v>0</v>
      </c>
      <c r="AA66" s="199">
        <v>76.09</v>
      </c>
    </row>
    <row r="67" spans="7:27" ht="15" customHeight="1" x14ac:dyDescent="0.25">
      <c r="G67" s="191" t="s">
        <v>217</v>
      </c>
      <c r="H67" s="191" t="s">
        <v>217</v>
      </c>
      <c r="I67" s="194"/>
      <c r="J67" s="194"/>
      <c r="K67" s="194"/>
      <c r="M67" s="197" t="s">
        <v>273</v>
      </c>
      <c r="N67" s="198" t="s">
        <v>274</v>
      </c>
      <c r="O67" s="199">
        <v>633341.1</v>
      </c>
      <c r="P67" s="199">
        <v>612797.92000000004</v>
      </c>
      <c r="Q67" s="199">
        <v>631218.43000000005</v>
      </c>
      <c r="R67" s="199">
        <v>647691.19999999995</v>
      </c>
      <c r="S67" s="199">
        <v>659088.89</v>
      </c>
      <c r="T67" s="199">
        <v>676843.45</v>
      </c>
      <c r="U67" s="199">
        <v>720348.96</v>
      </c>
      <c r="V67" s="200">
        <v>1021374.02</v>
      </c>
      <c r="W67" s="200">
        <v>1021304.08</v>
      </c>
      <c r="X67" s="200">
        <v>999265.99</v>
      </c>
      <c r="Y67" s="200">
        <v>904100.91</v>
      </c>
      <c r="Z67" s="200">
        <v>889224.4</v>
      </c>
      <c r="AA67" s="199">
        <v>9416599.3500000015</v>
      </c>
    </row>
    <row r="68" spans="7:27" ht="15" customHeight="1" x14ac:dyDescent="0.25">
      <c r="G68" s="191" t="s">
        <v>217</v>
      </c>
      <c r="H68" s="191" t="s">
        <v>217</v>
      </c>
      <c r="I68" s="194"/>
      <c r="J68" s="194"/>
      <c r="K68" s="194"/>
      <c r="M68" s="197" t="s">
        <v>275</v>
      </c>
      <c r="N68" s="198" t="s">
        <v>276</v>
      </c>
      <c r="O68" s="199">
        <v>1143699.33</v>
      </c>
      <c r="P68" s="199">
        <v>1106847.19</v>
      </c>
      <c r="Q68" s="199">
        <v>1140051.5</v>
      </c>
      <c r="R68" s="199">
        <v>1169666.81</v>
      </c>
      <c r="S68" s="199">
        <v>1190292.1200000001</v>
      </c>
      <c r="T68" s="199">
        <v>1221994.3999999999</v>
      </c>
      <c r="U68" s="199">
        <v>1299828.03</v>
      </c>
      <c r="V68" s="200">
        <v>1557050</v>
      </c>
      <c r="W68" s="200">
        <v>1553991</v>
      </c>
      <c r="X68" s="200">
        <v>1525130</v>
      </c>
      <c r="Y68" s="200">
        <v>1373744</v>
      </c>
      <c r="Z68" s="200">
        <v>1354569</v>
      </c>
      <c r="AA68" s="199">
        <v>15636863.379999999</v>
      </c>
    </row>
    <row r="69" spans="7:27" ht="15" customHeight="1" x14ac:dyDescent="0.25">
      <c r="G69" s="191" t="s">
        <v>217</v>
      </c>
      <c r="H69" s="191" t="s">
        <v>217</v>
      </c>
      <c r="I69" s="194"/>
      <c r="J69" s="194"/>
      <c r="K69" s="194"/>
      <c r="M69" s="197" t="s">
        <v>460</v>
      </c>
      <c r="N69" s="198" t="s">
        <v>461</v>
      </c>
      <c r="O69" s="199">
        <v>0</v>
      </c>
      <c r="P69" s="199">
        <v>0</v>
      </c>
      <c r="Q69" s="199">
        <v>0</v>
      </c>
      <c r="R69" s="199">
        <v>985493.85</v>
      </c>
      <c r="S69" s="199">
        <v>1034804.01</v>
      </c>
      <c r="T69" s="199">
        <v>1087614.04</v>
      </c>
      <c r="U69" s="199">
        <v>1208656.99</v>
      </c>
      <c r="V69" s="200">
        <v>1990993.48</v>
      </c>
      <c r="W69" s="200">
        <v>2015518.88</v>
      </c>
      <c r="X69" s="200">
        <v>1896000.76</v>
      </c>
      <c r="Y69" s="200">
        <v>1685438.96</v>
      </c>
      <c r="Z69" s="200">
        <v>1589213.57</v>
      </c>
      <c r="AA69" s="199">
        <v>13493734.539999999</v>
      </c>
    </row>
    <row r="70" spans="7:27" ht="15" customHeight="1" x14ac:dyDescent="0.25">
      <c r="G70" s="191" t="s">
        <v>217</v>
      </c>
      <c r="H70" s="191" t="s">
        <v>217</v>
      </c>
      <c r="I70" s="194"/>
      <c r="J70" s="194"/>
      <c r="K70" s="194"/>
      <c r="M70" s="195" t="s">
        <v>277</v>
      </c>
      <c r="N70" s="196" t="s">
        <v>278</v>
      </c>
      <c r="O70" s="196">
        <v>14529130.66</v>
      </c>
      <c r="P70" s="196">
        <v>15997611.16</v>
      </c>
      <c r="Q70" s="196">
        <v>15895285.640000001</v>
      </c>
      <c r="R70" s="196">
        <v>16344491.77</v>
      </c>
      <c r="S70" s="196">
        <v>17407068.91</v>
      </c>
      <c r="T70" s="196">
        <v>15760931.789999999</v>
      </c>
      <c r="U70" s="196">
        <v>18907017.649999999</v>
      </c>
      <c r="V70" s="196">
        <v>16741325.470000001</v>
      </c>
      <c r="W70" s="196">
        <v>16640622.32</v>
      </c>
      <c r="X70" s="196">
        <v>16637588.699999999</v>
      </c>
      <c r="Y70" s="196">
        <v>16003726.369999999</v>
      </c>
      <c r="Z70" s="196">
        <v>15770478.66</v>
      </c>
      <c r="AA70" s="196">
        <v>196635279.09999999</v>
      </c>
    </row>
    <row r="71" spans="7:27" ht="15" customHeight="1" x14ac:dyDescent="0.25">
      <c r="G71" s="191" t="s">
        <v>217</v>
      </c>
      <c r="H71" s="191" t="s">
        <v>217</v>
      </c>
      <c r="I71" s="194"/>
      <c r="J71" s="194"/>
      <c r="K71" s="194"/>
      <c r="M71" s="195" t="s">
        <v>279</v>
      </c>
      <c r="N71" s="196" t="s">
        <v>280</v>
      </c>
      <c r="O71" s="196">
        <v>6944587.04</v>
      </c>
      <c r="P71" s="196">
        <v>5020564.2300000004</v>
      </c>
      <c r="Q71" s="196">
        <v>6329778.7699999996</v>
      </c>
      <c r="R71" s="196">
        <v>6062003.7300000004</v>
      </c>
      <c r="S71" s="196">
        <v>6695474.71</v>
      </c>
      <c r="T71" s="196">
        <v>6681126.3200000003</v>
      </c>
      <c r="U71" s="196">
        <v>6736561.5800000001</v>
      </c>
      <c r="V71" s="196">
        <v>5103849.53</v>
      </c>
      <c r="W71" s="196">
        <v>5075887.3600000003</v>
      </c>
      <c r="X71" s="196">
        <v>5298389.9400000004</v>
      </c>
      <c r="Y71" s="196">
        <v>5213057.3600000003</v>
      </c>
      <c r="Z71" s="196">
        <v>5133365.55</v>
      </c>
      <c r="AA71" s="196">
        <v>70294646.11999999</v>
      </c>
    </row>
    <row r="72" spans="7:27" ht="15" customHeight="1" x14ac:dyDescent="0.25">
      <c r="G72" s="191" t="s">
        <v>217</v>
      </c>
      <c r="H72" s="191" t="s">
        <v>217</v>
      </c>
      <c r="I72" s="194"/>
      <c r="J72" s="194"/>
      <c r="K72" s="194"/>
      <c r="M72" s="195" t="s">
        <v>506</v>
      </c>
      <c r="N72" s="196" t="s">
        <v>507</v>
      </c>
      <c r="O72" s="196">
        <v>383.49</v>
      </c>
      <c r="P72" s="196">
        <v>383.49</v>
      </c>
      <c r="Q72" s="196">
        <v>383.49</v>
      </c>
      <c r="R72" s="196">
        <v>391.83</v>
      </c>
      <c r="S72" s="196">
        <v>391.83</v>
      </c>
      <c r="T72" s="196">
        <v>391.83</v>
      </c>
      <c r="U72" s="196">
        <v>391.83</v>
      </c>
      <c r="V72" s="196">
        <v>0</v>
      </c>
      <c r="W72" s="196">
        <v>0</v>
      </c>
      <c r="X72" s="196">
        <v>0</v>
      </c>
      <c r="Y72" s="196">
        <v>0</v>
      </c>
      <c r="Z72" s="196">
        <v>0</v>
      </c>
      <c r="AA72" s="196">
        <v>2717.79</v>
      </c>
    </row>
    <row r="73" spans="7:27" ht="15" customHeight="1" x14ac:dyDescent="0.25">
      <c r="G73" s="191" t="s">
        <v>217</v>
      </c>
      <c r="H73" s="191" t="s">
        <v>217</v>
      </c>
      <c r="I73" s="194"/>
      <c r="J73" s="194"/>
      <c r="K73" s="194"/>
      <c r="M73" s="197" t="s">
        <v>508</v>
      </c>
      <c r="N73" s="198" t="s">
        <v>509</v>
      </c>
      <c r="O73" s="199">
        <v>307.2</v>
      </c>
      <c r="P73" s="199">
        <v>307.2</v>
      </c>
      <c r="Q73" s="199">
        <v>307.2</v>
      </c>
      <c r="R73" s="199">
        <v>307.2</v>
      </c>
      <c r="S73" s="199">
        <v>307.2</v>
      </c>
      <c r="T73" s="199">
        <v>307.2</v>
      </c>
      <c r="U73" s="199">
        <v>307.2</v>
      </c>
      <c r="V73" s="200">
        <v>0</v>
      </c>
      <c r="W73" s="200">
        <v>0</v>
      </c>
      <c r="X73" s="200">
        <v>0</v>
      </c>
      <c r="Y73" s="200">
        <v>0</v>
      </c>
      <c r="Z73" s="200">
        <v>0</v>
      </c>
      <c r="AA73" s="199">
        <v>2150.4</v>
      </c>
    </row>
    <row r="74" spans="7:27" ht="15" customHeight="1" x14ac:dyDescent="0.25">
      <c r="G74" s="191" t="s">
        <v>217</v>
      </c>
      <c r="H74" s="191" t="s">
        <v>217</v>
      </c>
      <c r="I74" s="194"/>
      <c r="J74" s="194"/>
      <c r="K74" s="194"/>
      <c r="M74" s="197" t="s">
        <v>510</v>
      </c>
      <c r="N74" s="198" t="s">
        <v>511</v>
      </c>
      <c r="O74" s="199">
        <v>53.2</v>
      </c>
      <c r="P74" s="199">
        <v>53.2</v>
      </c>
      <c r="Q74" s="199">
        <v>53.2</v>
      </c>
      <c r="R74" s="199">
        <v>57.69</v>
      </c>
      <c r="S74" s="199">
        <v>57.69</v>
      </c>
      <c r="T74" s="199">
        <v>57.69</v>
      </c>
      <c r="U74" s="199">
        <v>57.69</v>
      </c>
      <c r="V74" s="200">
        <v>0</v>
      </c>
      <c r="W74" s="200">
        <v>0</v>
      </c>
      <c r="X74" s="200">
        <v>0</v>
      </c>
      <c r="Y74" s="200">
        <v>0</v>
      </c>
      <c r="Z74" s="200">
        <v>0</v>
      </c>
      <c r="AA74" s="199">
        <v>390.36</v>
      </c>
    </row>
    <row r="75" spans="7:27" ht="15" customHeight="1" x14ac:dyDescent="0.25">
      <c r="G75" s="191" t="s">
        <v>217</v>
      </c>
      <c r="H75" s="191" t="s">
        <v>217</v>
      </c>
      <c r="I75" s="194"/>
      <c r="J75" s="194"/>
      <c r="K75" s="194"/>
      <c r="M75" s="197" t="s">
        <v>512</v>
      </c>
      <c r="N75" s="198" t="s">
        <v>513</v>
      </c>
      <c r="O75" s="199">
        <v>-0.03</v>
      </c>
      <c r="P75" s="199">
        <v>-0.03</v>
      </c>
      <c r="Q75" s="199">
        <v>-0.03</v>
      </c>
      <c r="R75" s="199">
        <v>-0.03</v>
      </c>
      <c r="S75" s="199">
        <v>-0.03</v>
      </c>
      <c r="T75" s="199">
        <v>-0.03</v>
      </c>
      <c r="U75" s="199">
        <v>-0.03</v>
      </c>
      <c r="V75" s="200">
        <v>0</v>
      </c>
      <c r="W75" s="200">
        <v>0</v>
      </c>
      <c r="X75" s="200">
        <v>0</v>
      </c>
      <c r="Y75" s="200">
        <v>0</v>
      </c>
      <c r="Z75" s="200">
        <v>0</v>
      </c>
      <c r="AA75" s="199">
        <v>-0.21</v>
      </c>
    </row>
    <row r="76" spans="7:27" ht="15" customHeight="1" x14ac:dyDescent="0.25">
      <c r="G76" s="191" t="s">
        <v>217</v>
      </c>
      <c r="H76" s="191" t="s">
        <v>217</v>
      </c>
      <c r="I76" s="194"/>
      <c r="J76" s="194"/>
      <c r="K76" s="194"/>
      <c r="M76" s="197" t="s">
        <v>514</v>
      </c>
      <c r="N76" s="198" t="s">
        <v>515</v>
      </c>
      <c r="O76" s="199">
        <v>2.82</v>
      </c>
      <c r="P76" s="199">
        <v>2.82</v>
      </c>
      <c r="Q76" s="199">
        <v>2.82</v>
      </c>
      <c r="R76" s="199">
        <v>2.82</v>
      </c>
      <c r="S76" s="199">
        <v>2.82</v>
      </c>
      <c r="T76" s="199">
        <v>2.82</v>
      </c>
      <c r="U76" s="199">
        <v>2.82</v>
      </c>
      <c r="V76" s="200">
        <v>0</v>
      </c>
      <c r="W76" s="200">
        <v>0</v>
      </c>
      <c r="X76" s="200">
        <v>0</v>
      </c>
      <c r="Y76" s="200">
        <v>0</v>
      </c>
      <c r="Z76" s="200">
        <v>0</v>
      </c>
      <c r="AA76" s="199">
        <v>19.739999999999998</v>
      </c>
    </row>
    <row r="77" spans="7:27" ht="15" customHeight="1" x14ac:dyDescent="0.25">
      <c r="G77" s="191" t="s">
        <v>217</v>
      </c>
      <c r="H77" s="191" t="s">
        <v>217</v>
      </c>
      <c r="I77" s="194"/>
      <c r="J77" s="194"/>
      <c r="K77" s="194"/>
      <c r="M77" s="197" t="s">
        <v>516</v>
      </c>
      <c r="N77" s="198" t="s">
        <v>517</v>
      </c>
      <c r="O77" s="199">
        <v>0.74</v>
      </c>
      <c r="P77" s="199">
        <v>0.74</v>
      </c>
      <c r="Q77" s="199">
        <v>0.74</v>
      </c>
      <c r="R77" s="199">
        <v>0.74</v>
      </c>
      <c r="S77" s="199">
        <v>0.74</v>
      </c>
      <c r="T77" s="199">
        <v>0.74</v>
      </c>
      <c r="U77" s="199">
        <v>0.74</v>
      </c>
      <c r="V77" s="200">
        <v>0</v>
      </c>
      <c r="W77" s="200">
        <v>0</v>
      </c>
      <c r="X77" s="200">
        <v>0</v>
      </c>
      <c r="Y77" s="200">
        <v>0</v>
      </c>
      <c r="Z77" s="200">
        <v>0</v>
      </c>
      <c r="AA77" s="199">
        <v>5.1800000000000006</v>
      </c>
    </row>
    <row r="78" spans="7:27" ht="15" customHeight="1" x14ac:dyDescent="0.25">
      <c r="G78" s="191" t="s">
        <v>217</v>
      </c>
      <c r="H78" s="191" t="s">
        <v>217</v>
      </c>
      <c r="I78" s="194"/>
      <c r="J78" s="194"/>
      <c r="K78" s="194"/>
      <c r="M78" s="197" t="s">
        <v>518</v>
      </c>
      <c r="N78" s="198" t="s">
        <v>519</v>
      </c>
      <c r="O78" s="199">
        <v>2.8</v>
      </c>
      <c r="P78" s="199">
        <v>2.8</v>
      </c>
      <c r="Q78" s="199">
        <v>2.8</v>
      </c>
      <c r="R78" s="199">
        <v>3.01</v>
      </c>
      <c r="S78" s="199">
        <v>3.01</v>
      </c>
      <c r="T78" s="199">
        <v>3.01</v>
      </c>
      <c r="U78" s="199">
        <v>3.01</v>
      </c>
      <c r="V78" s="200">
        <v>0</v>
      </c>
      <c r="W78" s="200">
        <v>0</v>
      </c>
      <c r="X78" s="200">
        <v>0</v>
      </c>
      <c r="Y78" s="200">
        <v>0</v>
      </c>
      <c r="Z78" s="200">
        <v>0</v>
      </c>
      <c r="AA78" s="199">
        <v>20.439999999999998</v>
      </c>
    </row>
    <row r="79" spans="7:27" ht="15" customHeight="1" x14ac:dyDescent="0.25">
      <c r="G79" s="191" t="s">
        <v>217</v>
      </c>
      <c r="H79" s="191" t="s">
        <v>217</v>
      </c>
      <c r="I79" s="194"/>
      <c r="J79" s="194"/>
      <c r="K79" s="194"/>
      <c r="M79" s="197" t="s">
        <v>520</v>
      </c>
      <c r="N79" s="198" t="s">
        <v>521</v>
      </c>
      <c r="O79" s="199">
        <v>16.36</v>
      </c>
      <c r="P79" s="199">
        <v>16.36</v>
      </c>
      <c r="Q79" s="199">
        <v>16.36</v>
      </c>
      <c r="R79" s="199">
        <v>16.36</v>
      </c>
      <c r="S79" s="199">
        <v>16.36</v>
      </c>
      <c r="T79" s="199">
        <v>16.36</v>
      </c>
      <c r="U79" s="199">
        <v>16.36</v>
      </c>
      <c r="V79" s="200">
        <v>0</v>
      </c>
      <c r="W79" s="200">
        <v>0</v>
      </c>
      <c r="X79" s="200">
        <v>0</v>
      </c>
      <c r="Y79" s="200">
        <v>0</v>
      </c>
      <c r="Z79" s="200">
        <v>0</v>
      </c>
      <c r="AA79" s="199">
        <v>114.52</v>
      </c>
    </row>
    <row r="80" spans="7:27" ht="15" customHeight="1" x14ac:dyDescent="0.25">
      <c r="G80" s="191" t="s">
        <v>217</v>
      </c>
      <c r="H80" s="191" t="s">
        <v>217</v>
      </c>
      <c r="I80" s="194"/>
      <c r="J80" s="194"/>
      <c r="K80" s="194"/>
      <c r="M80" s="197" t="s">
        <v>522</v>
      </c>
      <c r="N80" s="198" t="s">
        <v>523</v>
      </c>
      <c r="O80" s="199">
        <v>0.4</v>
      </c>
      <c r="P80" s="199">
        <v>0.4</v>
      </c>
      <c r="Q80" s="199">
        <v>0.4</v>
      </c>
      <c r="R80" s="199">
        <v>0.4</v>
      </c>
      <c r="S80" s="199">
        <v>0.4</v>
      </c>
      <c r="T80" s="199">
        <v>0.4</v>
      </c>
      <c r="U80" s="199">
        <v>0.4</v>
      </c>
      <c r="V80" s="200">
        <v>0</v>
      </c>
      <c r="W80" s="200">
        <v>0</v>
      </c>
      <c r="X80" s="200">
        <v>0</v>
      </c>
      <c r="Y80" s="200">
        <v>0</v>
      </c>
      <c r="Z80" s="200">
        <v>0</v>
      </c>
      <c r="AA80" s="199">
        <v>2.8</v>
      </c>
    </row>
    <row r="81" spans="7:27" ht="15" customHeight="1" x14ac:dyDescent="0.25">
      <c r="G81" s="191" t="s">
        <v>217</v>
      </c>
      <c r="H81" s="191" t="s">
        <v>217</v>
      </c>
      <c r="I81" s="194"/>
      <c r="J81" s="194"/>
      <c r="K81" s="194"/>
      <c r="M81" s="197" t="s">
        <v>524</v>
      </c>
      <c r="N81" s="198" t="s">
        <v>525</v>
      </c>
      <c r="O81" s="199">
        <v>0</v>
      </c>
      <c r="P81" s="199">
        <v>0</v>
      </c>
      <c r="Q81" s="199">
        <v>0</v>
      </c>
      <c r="R81" s="199">
        <v>3.64</v>
      </c>
      <c r="S81" s="199">
        <v>3.64</v>
      </c>
      <c r="T81" s="199">
        <v>3.64</v>
      </c>
      <c r="U81" s="199">
        <v>3.64</v>
      </c>
      <c r="V81" s="200">
        <v>0</v>
      </c>
      <c r="W81" s="200">
        <v>0</v>
      </c>
      <c r="X81" s="200">
        <v>0</v>
      </c>
      <c r="Y81" s="200">
        <v>0</v>
      </c>
      <c r="Z81" s="200">
        <v>0</v>
      </c>
      <c r="AA81" s="199">
        <v>14.56</v>
      </c>
    </row>
    <row r="82" spans="7:27" ht="15" customHeight="1" x14ac:dyDescent="0.25">
      <c r="G82" s="191" t="s">
        <v>217</v>
      </c>
      <c r="H82" s="191" t="s">
        <v>217</v>
      </c>
      <c r="I82" s="194"/>
      <c r="J82" s="194"/>
      <c r="K82" s="194"/>
      <c r="M82" s="195" t="s">
        <v>281</v>
      </c>
      <c r="N82" s="196" t="s">
        <v>282</v>
      </c>
      <c r="O82" s="196">
        <v>6944203.5499999998</v>
      </c>
      <c r="P82" s="196">
        <v>5020180.74</v>
      </c>
      <c r="Q82" s="196">
        <v>6329395.2800000003</v>
      </c>
      <c r="R82" s="196">
        <v>6061611.9000000004</v>
      </c>
      <c r="S82" s="196">
        <v>6695082.8799999999</v>
      </c>
      <c r="T82" s="196">
        <v>6680734.4900000002</v>
      </c>
      <c r="U82" s="196">
        <v>6736169.75</v>
      </c>
      <c r="V82" s="196">
        <v>5103849.53</v>
      </c>
      <c r="W82" s="196">
        <v>5075887.3600000003</v>
      </c>
      <c r="X82" s="196">
        <v>5298389.9400000004</v>
      </c>
      <c r="Y82" s="196">
        <v>5213057.3600000003</v>
      </c>
      <c r="Z82" s="196">
        <v>5133365.55</v>
      </c>
      <c r="AA82" s="196">
        <v>70291928.329999998</v>
      </c>
    </row>
    <row r="83" spans="7:27" ht="15" customHeight="1" x14ac:dyDescent="0.25">
      <c r="G83" s="191" t="s">
        <v>217</v>
      </c>
      <c r="H83" s="191" t="s">
        <v>217</v>
      </c>
      <c r="I83" s="194"/>
      <c r="J83" s="194"/>
      <c r="K83" s="194"/>
      <c r="M83" s="197" t="s">
        <v>283</v>
      </c>
      <c r="N83" s="198" t="s">
        <v>284</v>
      </c>
      <c r="O83" s="199">
        <v>2611198.33</v>
      </c>
      <c r="P83" s="199">
        <v>2082431.9</v>
      </c>
      <c r="Q83" s="199">
        <v>2430538.44</v>
      </c>
      <c r="R83" s="199">
        <v>2170564.0099999998</v>
      </c>
      <c r="S83" s="199">
        <v>2379748.2599999998</v>
      </c>
      <c r="T83" s="199">
        <v>2419769.63</v>
      </c>
      <c r="U83" s="199">
        <v>2356329.5499999998</v>
      </c>
      <c r="V83" s="200">
        <v>2201230</v>
      </c>
      <c r="W83" s="200">
        <v>2256671</v>
      </c>
      <c r="X83" s="200">
        <v>2378746</v>
      </c>
      <c r="Y83" s="200">
        <v>2386322</v>
      </c>
      <c r="Z83" s="200">
        <v>2233111</v>
      </c>
      <c r="AA83" s="199">
        <v>27906660.120000001</v>
      </c>
    </row>
    <row r="84" spans="7:27" ht="15" customHeight="1" x14ac:dyDescent="0.25">
      <c r="G84" s="191" t="s">
        <v>217</v>
      </c>
      <c r="H84" s="191" t="s">
        <v>217</v>
      </c>
      <c r="I84" s="194"/>
      <c r="J84" s="194"/>
      <c r="K84" s="194"/>
      <c r="M84" s="197" t="s">
        <v>285</v>
      </c>
      <c r="N84" s="198" t="s">
        <v>286</v>
      </c>
      <c r="O84" s="199">
        <v>3897005.35</v>
      </c>
      <c r="P84" s="199">
        <v>2582450.16</v>
      </c>
      <c r="Q84" s="199">
        <v>3493862.93</v>
      </c>
      <c r="R84" s="199">
        <v>3485241.48</v>
      </c>
      <c r="S84" s="199">
        <v>3880027.93</v>
      </c>
      <c r="T84" s="199">
        <v>3823348.91</v>
      </c>
      <c r="U84" s="199">
        <v>3950015.68</v>
      </c>
      <c r="V84" s="200">
        <v>2629837</v>
      </c>
      <c r="W84" s="200">
        <v>2542525</v>
      </c>
      <c r="X84" s="200">
        <v>2631631</v>
      </c>
      <c r="Y84" s="200">
        <v>2539283</v>
      </c>
      <c r="Z84" s="200">
        <v>2625277</v>
      </c>
      <c r="AA84" s="199">
        <v>38080505.439999998</v>
      </c>
    </row>
    <row r="85" spans="7:27" ht="15" customHeight="1" x14ac:dyDescent="0.25">
      <c r="G85" s="191" t="s">
        <v>217</v>
      </c>
      <c r="H85" s="191" t="s">
        <v>217</v>
      </c>
      <c r="I85" s="194"/>
      <c r="J85" s="194"/>
      <c r="K85" s="194"/>
      <c r="M85" s="197" t="s">
        <v>287</v>
      </c>
      <c r="N85" s="198" t="s">
        <v>288</v>
      </c>
      <c r="O85" s="199">
        <v>-6892.7</v>
      </c>
      <c r="P85" s="199">
        <v>-6035.45</v>
      </c>
      <c r="Q85" s="199">
        <v>-6429.79</v>
      </c>
      <c r="R85" s="199">
        <v>-6204.06</v>
      </c>
      <c r="S85" s="199">
        <v>-6556.83</v>
      </c>
      <c r="T85" s="199">
        <v>-6718.61</v>
      </c>
      <c r="U85" s="199">
        <v>-6172.89</v>
      </c>
      <c r="V85" s="200">
        <v>-4664</v>
      </c>
      <c r="W85" s="200">
        <v>-4747</v>
      </c>
      <c r="X85" s="200">
        <v>-4982</v>
      </c>
      <c r="Y85" s="200">
        <v>-5030</v>
      </c>
      <c r="Z85" s="200">
        <v>-4622</v>
      </c>
      <c r="AA85" s="199">
        <v>-69055.33</v>
      </c>
    </row>
    <row r="86" spans="7:27" ht="15" customHeight="1" x14ac:dyDescent="0.25">
      <c r="G86" s="191" t="s">
        <v>217</v>
      </c>
      <c r="H86" s="191" t="s">
        <v>217</v>
      </c>
      <c r="I86" s="194"/>
      <c r="J86" s="194"/>
      <c r="K86" s="194"/>
      <c r="M86" s="197" t="s">
        <v>289</v>
      </c>
      <c r="N86" s="198" t="s">
        <v>290</v>
      </c>
      <c r="O86" s="199">
        <v>127142.67</v>
      </c>
      <c r="P86" s="199">
        <v>111355.64</v>
      </c>
      <c r="Q86" s="199">
        <v>118673.99</v>
      </c>
      <c r="R86" s="199">
        <v>114450.4</v>
      </c>
      <c r="S86" s="199">
        <v>120968.39</v>
      </c>
      <c r="T86" s="199">
        <v>123926.6</v>
      </c>
      <c r="U86" s="199">
        <v>113851.46</v>
      </c>
      <c r="V86" s="200">
        <v>86103</v>
      </c>
      <c r="W86" s="200">
        <v>87639</v>
      </c>
      <c r="X86" s="200">
        <v>91983</v>
      </c>
      <c r="Y86" s="200">
        <v>92858</v>
      </c>
      <c r="Z86" s="200">
        <v>85325</v>
      </c>
      <c r="AA86" s="199">
        <v>1274277.1499999999</v>
      </c>
    </row>
    <row r="87" spans="7:27" ht="15" customHeight="1" x14ac:dyDescent="0.25">
      <c r="G87" s="191" t="s">
        <v>217</v>
      </c>
      <c r="H87" s="191" t="s">
        <v>217</v>
      </c>
      <c r="I87" s="194"/>
      <c r="J87" s="194"/>
      <c r="K87" s="194"/>
      <c r="M87" s="197" t="s">
        <v>291</v>
      </c>
      <c r="N87" s="198" t="s">
        <v>292</v>
      </c>
      <c r="O87" s="199">
        <v>62229.67</v>
      </c>
      <c r="P87" s="199">
        <v>41249.33</v>
      </c>
      <c r="Q87" s="199">
        <v>55734.53</v>
      </c>
      <c r="R87" s="199">
        <v>51249.66</v>
      </c>
      <c r="S87" s="199">
        <v>57016.86</v>
      </c>
      <c r="T87" s="199">
        <v>56030.59</v>
      </c>
      <c r="U87" s="199">
        <v>58139.519999999997</v>
      </c>
      <c r="V87" s="200">
        <v>22409</v>
      </c>
      <c r="W87" s="200">
        <v>21687</v>
      </c>
      <c r="X87" s="200">
        <v>22409</v>
      </c>
      <c r="Y87" s="200">
        <v>21687</v>
      </c>
      <c r="Z87" s="200">
        <v>22409</v>
      </c>
      <c r="AA87" s="199">
        <v>492251.16000000003</v>
      </c>
    </row>
    <row r="88" spans="7:27" ht="15" customHeight="1" x14ac:dyDescent="0.25">
      <c r="G88" s="191" t="s">
        <v>217</v>
      </c>
      <c r="H88" s="191" t="s">
        <v>217</v>
      </c>
      <c r="I88" s="194"/>
      <c r="J88" s="194"/>
      <c r="K88" s="194"/>
      <c r="M88" s="197" t="s">
        <v>293</v>
      </c>
      <c r="N88" s="198" t="s">
        <v>294</v>
      </c>
      <c r="O88" s="199">
        <v>136592.06</v>
      </c>
      <c r="P88" s="199">
        <v>97203.68</v>
      </c>
      <c r="Q88" s="199">
        <v>124280.77</v>
      </c>
      <c r="R88" s="199">
        <v>119294.59</v>
      </c>
      <c r="S88" s="199">
        <v>132430.67000000001</v>
      </c>
      <c r="T88" s="199">
        <v>130887.02</v>
      </c>
      <c r="U88" s="199">
        <v>133779.98000000001</v>
      </c>
      <c r="V88" s="200">
        <v>115309.73</v>
      </c>
      <c r="W88" s="200">
        <v>114283.45</v>
      </c>
      <c r="X88" s="200">
        <v>119119.39</v>
      </c>
      <c r="Y88" s="200">
        <v>116940.19</v>
      </c>
      <c r="Z88" s="200">
        <v>115860.96</v>
      </c>
      <c r="AA88" s="199">
        <v>1455982.4899999998</v>
      </c>
    </row>
    <row r="89" spans="7:27" ht="15" customHeight="1" x14ac:dyDescent="0.25">
      <c r="G89" s="191" t="s">
        <v>217</v>
      </c>
      <c r="H89" s="191" t="s">
        <v>217</v>
      </c>
      <c r="I89" s="194"/>
      <c r="J89" s="194"/>
      <c r="K89" s="194"/>
      <c r="M89" s="197" t="s">
        <v>526</v>
      </c>
      <c r="N89" s="198" t="s">
        <v>527</v>
      </c>
      <c r="O89" s="199">
        <v>252.08</v>
      </c>
      <c r="P89" s="199">
        <v>0</v>
      </c>
      <c r="Q89" s="199">
        <v>0</v>
      </c>
      <c r="R89" s="199">
        <v>0</v>
      </c>
      <c r="S89" s="199">
        <v>0</v>
      </c>
      <c r="T89" s="199">
        <v>0</v>
      </c>
      <c r="U89" s="199">
        <v>0</v>
      </c>
      <c r="V89" s="200">
        <v>0</v>
      </c>
      <c r="W89" s="200">
        <v>0</v>
      </c>
      <c r="X89" s="200">
        <v>0</v>
      </c>
      <c r="Y89" s="200">
        <v>0</v>
      </c>
      <c r="Z89" s="200">
        <v>0</v>
      </c>
      <c r="AA89" s="199">
        <v>252.08</v>
      </c>
    </row>
    <row r="90" spans="7:27" ht="15" customHeight="1" x14ac:dyDescent="0.25">
      <c r="G90" s="191" t="s">
        <v>217</v>
      </c>
      <c r="H90" s="191" t="s">
        <v>217</v>
      </c>
      <c r="I90" s="194"/>
      <c r="J90" s="194"/>
      <c r="K90" s="194"/>
      <c r="M90" s="197" t="s">
        <v>295</v>
      </c>
      <c r="N90" s="198" t="s">
        <v>296</v>
      </c>
      <c r="O90" s="199">
        <v>15361.45</v>
      </c>
      <c r="P90" s="199">
        <v>15197.45</v>
      </c>
      <c r="Q90" s="199">
        <v>14962.51</v>
      </c>
      <c r="R90" s="199">
        <v>13868.81</v>
      </c>
      <c r="S90" s="199">
        <v>14133.8</v>
      </c>
      <c r="T90" s="199">
        <v>14497.49</v>
      </c>
      <c r="U90" s="199">
        <v>14242.24</v>
      </c>
      <c r="V90" s="200">
        <v>12235.28</v>
      </c>
      <c r="W90" s="200">
        <v>15389.95</v>
      </c>
      <c r="X90" s="200">
        <v>15849.01</v>
      </c>
      <c r="Y90" s="200">
        <v>17165.22</v>
      </c>
      <c r="Z90" s="200">
        <v>14753.03</v>
      </c>
      <c r="AA90" s="199">
        <v>177656.24000000002</v>
      </c>
    </row>
    <row r="91" spans="7:27" ht="15" customHeight="1" x14ac:dyDescent="0.25">
      <c r="G91" s="191" t="s">
        <v>217</v>
      </c>
      <c r="H91" s="191" t="s">
        <v>217</v>
      </c>
      <c r="I91" s="194"/>
      <c r="J91" s="194"/>
      <c r="K91" s="194"/>
      <c r="M91" s="197" t="s">
        <v>297</v>
      </c>
      <c r="N91" s="198" t="s">
        <v>298</v>
      </c>
      <c r="O91" s="199">
        <v>101314.64</v>
      </c>
      <c r="P91" s="199">
        <v>96328.03</v>
      </c>
      <c r="Q91" s="199">
        <v>97771.9</v>
      </c>
      <c r="R91" s="199">
        <v>93468.93</v>
      </c>
      <c r="S91" s="199">
        <v>95413.15</v>
      </c>
      <c r="T91" s="199">
        <v>97255.63</v>
      </c>
      <c r="U91" s="199">
        <v>93581.759999999995</v>
      </c>
      <c r="V91" s="200">
        <v>32348</v>
      </c>
      <c r="W91" s="200">
        <v>33689</v>
      </c>
      <c r="X91" s="200">
        <v>34593</v>
      </c>
      <c r="Y91" s="200">
        <v>35082</v>
      </c>
      <c r="Z91" s="200">
        <v>32210</v>
      </c>
      <c r="AA91" s="199">
        <v>843056.03999999992</v>
      </c>
    </row>
    <row r="92" spans="7:27" ht="15" customHeight="1" x14ac:dyDescent="0.25">
      <c r="G92" s="191" t="s">
        <v>217</v>
      </c>
      <c r="H92" s="191" t="s">
        <v>217</v>
      </c>
      <c r="I92" s="194"/>
      <c r="J92" s="194"/>
      <c r="K92" s="194"/>
      <c r="M92" s="197" t="s">
        <v>462</v>
      </c>
      <c r="N92" s="198" t="s">
        <v>463</v>
      </c>
      <c r="O92" s="199">
        <v>0</v>
      </c>
      <c r="P92" s="199">
        <v>0</v>
      </c>
      <c r="Q92" s="199">
        <v>0</v>
      </c>
      <c r="R92" s="199">
        <v>19678.080000000002</v>
      </c>
      <c r="S92" s="199">
        <v>21900.65</v>
      </c>
      <c r="T92" s="199">
        <v>21737.23</v>
      </c>
      <c r="U92" s="199">
        <v>22402.45</v>
      </c>
      <c r="V92" s="200">
        <v>9041.52</v>
      </c>
      <c r="W92" s="200">
        <v>8749.9599999999991</v>
      </c>
      <c r="X92" s="200">
        <v>9041.5400000000009</v>
      </c>
      <c r="Y92" s="200">
        <v>8749.9500000000007</v>
      </c>
      <c r="Z92" s="200">
        <v>9041.56</v>
      </c>
      <c r="AA92" s="199">
        <v>130342.94000000002</v>
      </c>
    </row>
    <row r="93" spans="7:27" ht="15" customHeight="1" x14ac:dyDescent="0.25">
      <c r="G93" s="191" t="s">
        <v>217</v>
      </c>
      <c r="H93" s="191" t="s">
        <v>217</v>
      </c>
      <c r="I93" s="194"/>
      <c r="J93" s="194"/>
      <c r="K93" s="194"/>
      <c r="M93" s="195" t="s">
        <v>299</v>
      </c>
      <c r="N93" s="196" t="s">
        <v>300</v>
      </c>
      <c r="O93" s="196">
        <v>7584543.6200000001</v>
      </c>
      <c r="P93" s="196">
        <v>10977046.93</v>
      </c>
      <c r="Q93" s="196">
        <v>9565506.8699999992</v>
      </c>
      <c r="R93" s="196">
        <v>10282488.039999999</v>
      </c>
      <c r="S93" s="196">
        <v>10711594.199999999</v>
      </c>
      <c r="T93" s="196">
        <v>9079805.4700000007</v>
      </c>
      <c r="U93" s="196">
        <v>12170456.07</v>
      </c>
      <c r="V93" s="196">
        <v>11637475.939999999</v>
      </c>
      <c r="W93" s="196">
        <v>11564734.960000001</v>
      </c>
      <c r="X93" s="196">
        <v>11339198.76</v>
      </c>
      <c r="Y93" s="196">
        <v>10790669.01</v>
      </c>
      <c r="Z93" s="196">
        <v>10637113.109999999</v>
      </c>
      <c r="AA93" s="196">
        <v>126340632.98</v>
      </c>
    </row>
    <row r="94" spans="7:27" ht="15" customHeight="1" x14ac:dyDescent="0.25">
      <c r="G94" s="191" t="s">
        <v>217</v>
      </c>
      <c r="H94" s="191" t="s">
        <v>217</v>
      </c>
      <c r="I94" s="194"/>
      <c r="J94" s="194"/>
      <c r="K94" s="194"/>
      <c r="M94" s="195" t="s">
        <v>528</v>
      </c>
      <c r="N94" s="196" t="s">
        <v>529</v>
      </c>
      <c r="O94" s="196">
        <v>213476.74</v>
      </c>
      <c r="P94" s="196">
        <v>210946.77</v>
      </c>
      <c r="Q94" s="196">
        <v>219027</v>
      </c>
      <c r="R94" s="196">
        <v>252041.99</v>
      </c>
      <c r="S94" s="196">
        <v>268380.28000000003</v>
      </c>
      <c r="T94" s="196">
        <v>280021.34000000003</v>
      </c>
      <c r="U94" s="196">
        <v>305377.63</v>
      </c>
      <c r="V94" s="196">
        <v>0</v>
      </c>
      <c r="W94" s="196">
        <v>0</v>
      </c>
      <c r="X94" s="196">
        <v>0</v>
      </c>
      <c r="Y94" s="196">
        <v>0</v>
      </c>
      <c r="Z94" s="196">
        <v>0</v>
      </c>
      <c r="AA94" s="196">
        <v>1749271.75</v>
      </c>
    </row>
    <row r="95" spans="7:27" ht="15" customHeight="1" x14ac:dyDescent="0.25">
      <c r="G95" s="191" t="s">
        <v>217</v>
      </c>
      <c r="H95" s="191" t="s">
        <v>217</v>
      </c>
      <c r="I95" s="194"/>
      <c r="J95" s="194"/>
      <c r="K95" s="194"/>
      <c r="M95" s="197" t="s">
        <v>530</v>
      </c>
      <c r="N95" s="198" t="s">
        <v>531</v>
      </c>
      <c r="O95" s="199">
        <v>136637.07999999999</v>
      </c>
      <c r="P95" s="199">
        <v>135557.66</v>
      </c>
      <c r="Q95" s="199">
        <v>139170.42000000001</v>
      </c>
      <c r="R95" s="199">
        <v>147278.84</v>
      </c>
      <c r="S95" s="199">
        <v>155263.6</v>
      </c>
      <c r="T95" s="199">
        <v>160410.13</v>
      </c>
      <c r="U95" s="199">
        <v>172747.15</v>
      </c>
      <c r="V95" s="200">
        <v>0</v>
      </c>
      <c r="W95" s="200">
        <v>0</v>
      </c>
      <c r="X95" s="200">
        <v>0</v>
      </c>
      <c r="Y95" s="200">
        <v>0</v>
      </c>
      <c r="Z95" s="200">
        <v>0</v>
      </c>
      <c r="AA95" s="199">
        <v>1047064.88</v>
      </c>
    </row>
    <row r="96" spans="7:27" ht="15" customHeight="1" x14ac:dyDescent="0.25">
      <c r="G96" s="191" t="s">
        <v>217</v>
      </c>
      <c r="H96" s="191" t="s">
        <v>217</v>
      </c>
      <c r="I96" s="194"/>
      <c r="J96" s="194"/>
      <c r="K96" s="194"/>
      <c r="M96" s="197" t="s">
        <v>532</v>
      </c>
      <c r="N96" s="198" t="s">
        <v>533</v>
      </c>
      <c r="O96" s="199">
        <v>53056.52</v>
      </c>
      <c r="P96" s="199">
        <v>52013.07</v>
      </c>
      <c r="Q96" s="199">
        <v>55162.13</v>
      </c>
      <c r="R96" s="199">
        <v>65051.65</v>
      </c>
      <c r="S96" s="199">
        <v>70276.600000000006</v>
      </c>
      <c r="T96" s="199">
        <v>74400.23</v>
      </c>
      <c r="U96" s="199">
        <v>82608.77</v>
      </c>
      <c r="V96" s="200">
        <v>0</v>
      </c>
      <c r="W96" s="200">
        <v>0</v>
      </c>
      <c r="X96" s="200">
        <v>0</v>
      </c>
      <c r="Y96" s="200">
        <v>0</v>
      </c>
      <c r="Z96" s="200">
        <v>0</v>
      </c>
      <c r="AA96" s="199">
        <v>452568.97</v>
      </c>
    </row>
    <row r="97" spans="7:27" ht="15" customHeight="1" x14ac:dyDescent="0.25">
      <c r="G97" s="191" t="s">
        <v>217</v>
      </c>
      <c r="H97" s="191" t="s">
        <v>217</v>
      </c>
      <c r="I97" s="194"/>
      <c r="J97" s="194"/>
      <c r="K97" s="194"/>
      <c r="M97" s="197" t="s">
        <v>534</v>
      </c>
      <c r="N97" s="198" t="s">
        <v>535</v>
      </c>
      <c r="O97" s="199">
        <v>-167.25</v>
      </c>
      <c r="P97" s="199">
        <v>-163.27000000000001</v>
      </c>
      <c r="Q97" s="199">
        <v>-174.5</v>
      </c>
      <c r="R97" s="199">
        <v>-191.66</v>
      </c>
      <c r="S97" s="199">
        <v>-194.04</v>
      </c>
      <c r="T97" s="199">
        <v>-222.52</v>
      </c>
      <c r="U97" s="199">
        <v>-245.39</v>
      </c>
      <c r="V97" s="200">
        <v>0</v>
      </c>
      <c r="W97" s="200">
        <v>0</v>
      </c>
      <c r="X97" s="200">
        <v>0</v>
      </c>
      <c r="Y97" s="200">
        <v>0</v>
      </c>
      <c r="Z97" s="200">
        <v>0</v>
      </c>
      <c r="AA97" s="199">
        <v>-1358.63</v>
      </c>
    </row>
    <row r="98" spans="7:27" ht="15" customHeight="1" x14ac:dyDescent="0.25">
      <c r="G98" s="191" t="s">
        <v>217</v>
      </c>
      <c r="H98" s="191" t="s">
        <v>217</v>
      </c>
      <c r="I98" s="194"/>
      <c r="J98" s="194"/>
      <c r="K98" s="194"/>
      <c r="M98" s="197" t="s">
        <v>536</v>
      </c>
      <c r="N98" s="198" t="s">
        <v>537</v>
      </c>
      <c r="O98" s="199">
        <v>2994</v>
      </c>
      <c r="P98" s="199">
        <v>2934.18</v>
      </c>
      <c r="Q98" s="199">
        <v>3113.78</v>
      </c>
      <c r="R98" s="199">
        <v>3388.83</v>
      </c>
      <c r="S98" s="199">
        <v>3663.25</v>
      </c>
      <c r="T98" s="199">
        <v>3880.82</v>
      </c>
      <c r="U98" s="199">
        <v>4311.58</v>
      </c>
      <c r="V98" s="200">
        <v>0</v>
      </c>
      <c r="W98" s="200">
        <v>0</v>
      </c>
      <c r="X98" s="200">
        <v>0</v>
      </c>
      <c r="Y98" s="200">
        <v>0</v>
      </c>
      <c r="Z98" s="200">
        <v>0</v>
      </c>
      <c r="AA98" s="199">
        <v>24286.440000000002</v>
      </c>
    </row>
    <row r="99" spans="7:27" ht="15" customHeight="1" x14ac:dyDescent="0.25">
      <c r="G99" s="191" t="s">
        <v>217</v>
      </c>
      <c r="H99" s="191" t="s">
        <v>217</v>
      </c>
      <c r="I99" s="194"/>
      <c r="J99" s="194"/>
      <c r="K99" s="194"/>
      <c r="M99" s="197" t="s">
        <v>538</v>
      </c>
      <c r="N99" s="198" t="s">
        <v>539</v>
      </c>
      <c r="O99" s="199">
        <v>956.29</v>
      </c>
      <c r="P99" s="199">
        <v>935.86</v>
      </c>
      <c r="Q99" s="199">
        <v>995.35</v>
      </c>
      <c r="R99" s="199">
        <v>1085.31</v>
      </c>
      <c r="S99" s="199">
        <v>1189.49</v>
      </c>
      <c r="T99" s="199">
        <v>1247.23</v>
      </c>
      <c r="U99" s="199">
        <v>1391.48</v>
      </c>
      <c r="V99" s="200">
        <v>0</v>
      </c>
      <c r="W99" s="200">
        <v>0</v>
      </c>
      <c r="X99" s="200">
        <v>0</v>
      </c>
      <c r="Y99" s="200">
        <v>0</v>
      </c>
      <c r="Z99" s="200">
        <v>0</v>
      </c>
      <c r="AA99" s="199">
        <v>7801.01</v>
      </c>
    </row>
    <row r="100" spans="7:27" ht="15" customHeight="1" x14ac:dyDescent="0.25">
      <c r="G100" s="191" t="s">
        <v>217</v>
      </c>
      <c r="H100" s="191" t="s">
        <v>217</v>
      </c>
      <c r="I100" s="194"/>
      <c r="J100" s="194"/>
      <c r="K100" s="194"/>
      <c r="M100" s="197" t="s">
        <v>540</v>
      </c>
      <c r="N100" s="198" t="s">
        <v>541</v>
      </c>
      <c r="O100" s="199">
        <v>5897.01</v>
      </c>
      <c r="P100" s="199">
        <v>5827.79</v>
      </c>
      <c r="Q100" s="199">
        <v>6176.35</v>
      </c>
      <c r="R100" s="199">
        <v>7060.44</v>
      </c>
      <c r="S100" s="199">
        <v>7726.54</v>
      </c>
      <c r="T100" s="199">
        <v>7880.67</v>
      </c>
      <c r="U100" s="199">
        <v>8623.1</v>
      </c>
      <c r="V100" s="200">
        <v>0</v>
      </c>
      <c r="W100" s="200">
        <v>0</v>
      </c>
      <c r="X100" s="200">
        <v>0</v>
      </c>
      <c r="Y100" s="200">
        <v>0</v>
      </c>
      <c r="Z100" s="200">
        <v>0</v>
      </c>
      <c r="AA100" s="199">
        <v>49191.9</v>
      </c>
    </row>
    <row r="101" spans="7:27" ht="15" customHeight="1" x14ac:dyDescent="0.25">
      <c r="G101" s="191" t="s">
        <v>217</v>
      </c>
      <c r="H101" s="191" t="s">
        <v>217</v>
      </c>
      <c r="I101" s="194"/>
      <c r="J101" s="194"/>
      <c r="K101" s="194"/>
      <c r="M101" s="197" t="s">
        <v>542</v>
      </c>
      <c r="N101" s="198" t="s">
        <v>543</v>
      </c>
      <c r="O101" s="199">
        <v>4056.67</v>
      </c>
      <c r="P101" s="199">
        <v>3952.53</v>
      </c>
      <c r="Q101" s="199">
        <v>4175.5600000000004</v>
      </c>
      <c r="R101" s="199">
        <v>4974.68</v>
      </c>
      <c r="S101" s="199">
        <v>5357.7</v>
      </c>
      <c r="T101" s="199">
        <v>5680.07</v>
      </c>
      <c r="U101" s="199">
        <v>6284.18</v>
      </c>
      <c r="V101" s="200">
        <v>0</v>
      </c>
      <c r="W101" s="200">
        <v>0</v>
      </c>
      <c r="X101" s="200">
        <v>0</v>
      </c>
      <c r="Y101" s="200">
        <v>0</v>
      </c>
      <c r="Z101" s="200">
        <v>0</v>
      </c>
      <c r="AA101" s="199">
        <v>34481.39</v>
      </c>
    </row>
    <row r="102" spans="7:27" ht="15" customHeight="1" x14ac:dyDescent="0.25">
      <c r="G102" s="191" t="s">
        <v>217</v>
      </c>
      <c r="H102" s="191" t="s">
        <v>217</v>
      </c>
      <c r="I102" s="194"/>
      <c r="J102" s="194"/>
      <c r="K102" s="194"/>
      <c r="M102" s="197" t="s">
        <v>544</v>
      </c>
      <c r="N102" s="198" t="s">
        <v>545</v>
      </c>
      <c r="O102" s="199">
        <v>5899.8</v>
      </c>
      <c r="P102" s="199">
        <v>5846.58</v>
      </c>
      <c r="Q102" s="199">
        <v>6075.54</v>
      </c>
      <c r="R102" s="199">
        <v>6476.69</v>
      </c>
      <c r="S102" s="199">
        <v>6892.52</v>
      </c>
      <c r="T102" s="199">
        <v>7142.35</v>
      </c>
      <c r="U102" s="199">
        <v>7788.91</v>
      </c>
      <c r="V102" s="200">
        <v>0</v>
      </c>
      <c r="W102" s="200">
        <v>0</v>
      </c>
      <c r="X102" s="200">
        <v>0</v>
      </c>
      <c r="Y102" s="200">
        <v>0</v>
      </c>
      <c r="Z102" s="200">
        <v>0</v>
      </c>
      <c r="AA102" s="199">
        <v>46122.39</v>
      </c>
    </row>
    <row r="103" spans="7:27" ht="15" customHeight="1" x14ac:dyDescent="0.25">
      <c r="G103" s="191" t="s">
        <v>217</v>
      </c>
      <c r="H103" s="191" t="s">
        <v>217</v>
      </c>
      <c r="I103" s="194"/>
      <c r="J103" s="194"/>
      <c r="K103" s="194"/>
      <c r="M103" s="197" t="s">
        <v>546</v>
      </c>
      <c r="N103" s="198" t="s">
        <v>547</v>
      </c>
      <c r="O103" s="199">
        <v>4146.62</v>
      </c>
      <c r="P103" s="199">
        <v>4042.37</v>
      </c>
      <c r="Q103" s="199">
        <v>4332.37</v>
      </c>
      <c r="R103" s="199">
        <v>4758.99</v>
      </c>
      <c r="S103" s="199">
        <v>5193.8</v>
      </c>
      <c r="T103" s="199">
        <v>5539.24</v>
      </c>
      <c r="U103" s="199">
        <v>6204.89</v>
      </c>
      <c r="V103" s="200">
        <v>0</v>
      </c>
      <c r="W103" s="200">
        <v>0</v>
      </c>
      <c r="X103" s="200">
        <v>0</v>
      </c>
      <c r="Y103" s="200">
        <v>0</v>
      </c>
      <c r="Z103" s="200">
        <v>0</v>
      </c>
      <c r="AA103" s="199">
        <v>34218.28</v>
      </c>
    </row>
    <row r="104" spans="7:27" ht="15" customHeight="1" x14ac:dyDescent="0.25">
      <c r="G104" s="191" t="s">
        <v>217</v>
      </c>
      <c r="H104" s="191" t="s">
        <v>217</v>
      </c>
      <c r="I104" s="194"/>
      <c r="J104" s="194"/>
      <c r="K104" s="194"/>
      <c r="M104" s="197" t="s">
        <v>548</v>
      </c>
      <c r="N104" s="198" t="s">
        <v>549</v>
      </c>
      <c r="O104" s="199">
        <v>0</v>
      </c>
      <c r="P104" s="199">
        <v>0</v>
      </c>
      <c r="Q104" s="199">
        <v>0</v>
      </c>
      <c r="R104" s="199">
        <v>12158.22</v>
      </c>
      <c r="S104" s="199">
        <v>13010.82</v>
      </c>
      <c r="T104" s="199">
        <v>14063.12</v>
      </c>
      <c r="U104" s="199">
        <v>15662.96</v>
      </c>
      <c r="V104" s="200">
        <v>0</v>
      </c>
      <c r="W104" s="200">
        <v>0</v>
      </c>
      <c r="X104" s="200">
        <v>0</v>
      </c>
      <c r="Y104" s="200">
        <v>0</v>
      </c>
      <c r="Z104" s="200">
        <v>0</v>
      </c>
      <c r="AA104" s="199">
        <v>54895.12</v>
      </c>
    </row>
    <row r="105" spans="7:27" ht="15" customHeight="1" x14ac:dyDescent="0.25">
      <c r="G105" s="191" t="s">
        <v>217</v>
      </c>
      <c r="H105" s="191" t="s">
        <v>217</v>
      </c>
      <c r="I105" s="194"/>
      <c r="J105" s="194"/>
      <c r="K105" s="194"/>
      <c r="M105" s="195" t="s">
        <v>301</v>
      </c>
      <c r="N105" s="196" t="s">
        <v>302</v>
      </c>
      <c r="O105" s="196">
        <v>7371066.8799999999</v>
      </c>
      <c r="P105" s="196">
        <v>10766100.16</v>
      </c>
      <c r="Q105" s="196">
        <v>9346479.8699999992</v>
      </c>
      <c r="R105" s="196">
        <v>10030446.050000001</v>
      </c>
      <c r="S105" s="196">
        <v>10443213.92</v>
      </c>
      <c r="T105" s="196">
        <v>8799784.1300000008</v>
      </c>
      <c r="U105" s="196">
        <v>11865078.439999999</v>
      </c>
      <c r="V105" s="196">
        <v>11637475.939999999</v>
      </c>
      <c r="W105" s="196">
        <v>11564734.960000001</v>
      </c>
      <c r="X105" s="196">
        <v>11339198.76</v>
      </c>
      <c r="Y105" s="196">
        <v>10790669.01</v>
      </c>
      <c r="Z105" s="196">
        <v>10637113.109999999</v>
      </c>
      <c r="AA105" s="196">
        <v>124591361.23</v>
      </c>
    </row>
    <row r="106" spans="7:27" ht="15" customHeight="1" x14ac:dyDescent="0.25">
      <c r="G106" s="191" t="s">
        <v>217</v>
      </c>
      <c r="H106" s="191" t="s">
        <v>217</v>
      </c>
      <c r="I106" s="194"/>
      <c r="J106" s="194"/>
      <c r="K106" s="194"/>
      <c r="M106" s="197" t="s">
        <v>303</v>
      </c>
      <c r="N106" s="198" t="s">
        <v>304</v>
      </c>
      <c r="O106" s="199">
        <v>2924719.71</v>
      </c>
      <c r="P106" s="199">
        <v>4202036.47</v>
      </c>
      <c r="Q106" s="199">
        <v>3665478.62</v>
      </c>
      <c r="R106" s="199">
        <v>3699037.03</v>
      </c>
      <c r="S106" s="199">
        <v>3797514.67</v>
      </c>
      <c r="T106" s="199">
        <v>3287876.26</v>
      </c>
      <c r="U106" s="199">
        <v>4237802.6100000003</v>
      </c>
      <c r="V106" s="200">
        <v>4461103</v>
      </c>
      <c r="W106" s="200">
        <v>4420982</v>
      </c>
      <c r="X106" s="200">
        <v>4413748</v>
      </c>
      <c r="Y106" s="200">
        <v>4213100</v>
      </c>
      <c r="Z106" s="200">
        <v>4118791</v>
      </c>
      <c r="AA106" s="199">
        <v>47442189.369999997</v>
      </c>
    </row>
    <row r="107" spans="7:27" ht="15" customHeight="1" x14ac:dyDescent="0.25">
      <c r="G107" s="191" t="s">
        <v>217</v>
      </c>
      <c r="H107" s="191" t="s">
        <v>217</v>
      </c>
      <c r="I107" s="194"/>
      <c r="J107" s="194"/>
      <c r="K107" s="194"/>
      <c r="M107" s="197" t="s">
        <v>305</v>
      </c>
      <c r="N107" s="198" t="s">
        <v>306</v>
      </c>
      <c r="O107" s="199">
        <v>3527411.41</v>
      </c>
      <c r="P107" s="199">
        <v>5231582.26</v>
      </c>
      <c r="Q107" s="199">
        <v>4532147.46</v>
      </c>
      <c r="R107" s="199">
        <v>4948167.3499999996</v>
      </c>
      <c r="S107" s="199">
        <v>5203238.6100000003</v>
      </c>
      <c r="T107" s="199">
        <v>4321653.01</v>
      </c>
      <c r="U107" s="199">
        <v>5971972.5</v>
      </c>
      <c r="V107" s="200">
        <v>5571547</v>
      </c>
      <c r="W107" s="200">
        <v>5545850</v>
      </c>
      <c r="X107" s="200">
        <v>5362084</v>
      </c>
      <c r="Y107" s="200">
        <v>5108378</v>
      </c>
      <c r="Z107" s="200">
        <v>5047168</v>
      </c>
      <c r="AA107" s="199">
        <v>60371199.599999994</v>
      </c>
    </row>
    <row r="108" spans="7:27" ht="15" customHeight="1" x14ac:dyDescent="0.25">
      <c r="G108" s="191" t="s">
        <v>217</v>
      </c>
      <c r="H108" s="191" t="s">
        <v>217</v>
      </c>
      <c r="I108" s="194"/>
      <c r="J108" s="194"/>
      <c r="K108" s="194"/>
      <c r="M108" s="197" t="s">
        <v>307</v>
      </c>
      <c r="N108" s="198" t="s">
        <v>308</v>
      </c>
      <c r="O108" s="199">
        <v>-14294.32</v>
      </c>
      <c r="P108" s="199">
        <v>-8523.76</v>
      </c>
      <c r="Q108" s="199">
        <v>-11645.81</v>
      </c>
      <c r="R108" s="199">
        <v>-11796.55</v>
      </c>
      <c r="S108" s="199">
        <v>-11954.78</v>
      </c>
      <c r="T108" s="199">
        <v>-10278.36</v>
      </c>
      <c r="U108" s="199">
        <v>-13398.97</v>
      </c>
      <c r="V108" s="200">
        <v>-13385</v>
      </c>
      <c r="W108" s="200">
        <v>-13313</v>
      </c>
      <c r="X108" s="200">
        <v>-13209</v>
      </c>
      <c r="Y108" s="200">
        <v>-12196</v>
      </c>
      <c r="Z108" s="200">
        <v>-12393</v>
      </c>
      <c r="AA108" s="199">
        <v>-146388.54999999999</v>
      </c>
    </row>
    <row r="109" spans="7:27" ht="15" customHeight="1" x14ac:dyDescent="0.25">
      <c r="G109" s="191" t="s">
        <v>217</v>
      </c>
      <c r="H109" s="191" t="s">
        <v>217</v>
      </c>
      <c r="I109" s="194"/>
      <c r="J109" s="194"/>
      <c r="K109" s="194"/>
      <c r="M109" s="197" t="s">
        <v>309</v>
      </c>
      <c r="N109" s="198" t="s">
        <v>310</v>
      </c>
      <c r="O109" s="199">
        <v>143323.28</v>
      </c>
      <c r="P109" s="199">
        <v>203626.36</v>
      </c>
      <c r="Q109" s="199">
        <v>177134.63</v>
      </c>
      <c r="R109" s="199">
        <v>179363.28</v>
      </c>
      <c r="S109" s="199">
        <v>181499.32</v>
      </c>
      <c r="T109" s="199">
        <v>156864.85</v>
      </c>
      <c r="U109" s="199">
        <v>202837.22</v>
      </c>
      <c r="V109" s="200">
        <v>204465</v>
      </c>
      <c r="W109" s="200">
        <v>203025</v>
      </c>
      <c r="X109" s="200">
        <v>201802</v>
      </c>
      <c r="Y109" s="200">
        <v>186183</v>
      </c>
      <c r="Z109" s="200">
        <v>189336</v>
      </c>
      <c r="AA109" s="199">
        <v>2229459.9400000004</v>
      </c>
    </row>
    <row r="110" spans="7:27" ht="15" customHeight="1" x14ac:dyDescent="0.25">
      <c r="G110" s="191" t="s">
        <v>217</v>
      </c>
      <c r="H110" s="191" t="s">
        <v>217</v>
      </c>
      <c r="I110" s="194"/>
      <c r="J110" s="194"/>
      <c r="K110" s="194"/>
      <c r="M110" s="197" t="s">
        <v>311</v>
      </c>
      <c r="N110" s="198" t="s">
        <v>312</v>
      </c>
      <c r="O110" s="199">
        <v>52042.34</v>
      </c>
      <c r="P110" s="199">
        <v>96930.26</v>
      </c>
      <c r="Q110" s="199">
        <v>77047.81</v>
      </c>
      <c r="R110" s="199">
        <v>77645.98</v>
      </c>
      <c r="S110" s="199">
        <v>81538.11</v>
      </c>
      <c r="T110" s="199">
        <v>67477.14</v>
      </c>
      <c r="U110" s="199">
        <v>93959.84</v>
      </c>
      <c r="V110" s="200">
        <v>86748</v>
      </c>
      <c r="W110" s="200">
        <v>86464</v>
      </c>
      <c r="X110" s="200">
        <v>83380</v>
      </c>
      <c r="Y110" s="200">
        <v>79599</v>
      </c>
      <c r="Z110" s="200">
        <v>79250</v>
      </c>
      <c r="AA110" s="199">
        <v>962082.48</v>
      </c>
    </row>
    <row r="111" spans="7:27" ht="15" customHeight="1" x14ac:dyDescent="0.25">
      <c r="G111" s="191" t="s">
        <v>217</v>
      </c>
      <c r="H111" s="191" t="s">
        <v>217</v>
      </c>
      <c r="I111" s="194"/>
      <c r="J111" s="194"/>
      <c r="K111" s="194"/>
      <c r="M111" s="197" t="s">
        <v>313</v>
      </c>
      <c r="N111" s="198" t="s">
        <v>314</v>
      </c>
      <c r="O111" s="199">
        <v>287999.19</v>
      </c>
      <c r="P111" s="199">
        <v>420724.97</v>
      </c>
      <c r="Q111" s="199">
        <v>357941.98</v>
      </c>
      <c r="R111" s="199">
        <v>378908.15999999997</v>
      </c>
      <c r="S111" s="199">
        <v>408725.07</v>
      </c>
      <c r="T111" s="199">
        <v>317473.5</v>
      </c>
      <c r="U111" s="199">
        <v>482448.09</v>
      </c>
      <c r="V111" s="200">
        <v>445200.66</v>
      </c>
      <c r="W111" s="200">
        <v>441446.68</v>
      </c>
      <c r="X111" s="200">
        <v>432260.83</v>
      </c>
      <c r="Y111" s="200">
        <v>408317.82</v>
      </c>
      <c r="Z111" s="200">
        <v>407150.54</v>
      </c>
      <c r="AA111" s="199">
        <v>4788597.49</v>
      </c>
    </row>
    <row r="112" spans="7:27" ht="15" customHeight="1" x14ac:dyDescent="0.25">
      <c r="G112" s="191" t="s">
        <v>217</v>
      </c>
      <c r="H112" s="191" t="s">
        <v>217</v>
      </c>
      <c r="I112" s="194"/>
      <c r="J112" s="194"/>
      <c r="K112" s="194"/>
      <c r="M112" s="197" t="s">
        <v>315</v>
      </c>
      <c r="N112" s="198" t="s">
        <v>316</v>
      </c>
      <c r="O112" s="199">
        <v>177212.91</v>
      </c>
      <c r="P112" s="199">
        <v>236308.81</v>
      </c>
      <c r="Q112" s="199">
        <v>213140.64</v>
      </c>
      <c r="R112" s="199">
        <v>229573.16</v>
      </c>
      <c r="S112" s="199">
        <v>238792.42</v>
      </c>
      <c r="T112" s="199">
        <v>202181.42</v>
      </c>
      <c r="U112" s="199">
        <v>270713.14</v>
      </c>
      <c r="V112" s="200">
        <v>275350.28000000003</v>
      </c>
      <c r="W112" s="200">
        <v>273028.5</v>
      </c>
      <c r="X112" s="200">
        <v>267347.18</v>
      </c>
      <c r="Y112" s="200">
        <v>252538.76</v>
      </c>
      <c r="Z112" s="200">
        <v>251816.82</v>
      </c>
      <c r="AA112" s="199">
        <v>2888004.0400000005</v>
      </c>
    </row>
    <row r="113" spans="7:27" ht="15" customHeight="1" x14ac:dyDescent="0.25">
      <c r="G113" s="191" t="s">
        <v>217</v>
      </c>
      <c r="H113" s="191" t="s">
        <v>217</v>
      </c>
      <c r="I113" s="194"/>
      <c r="J113" s="194"/>
      <c r="K113" s="194"/>
      <c r="M113" s="197" t="s">
        <v>550</v>
      </c>
      <c r="N113" s="198" t="s">
        <v>551</v>
      </c>
      <c r="O113" s="199">
        <v>-2840.74</v>
      </c>
      <c r="P113" s="199">
        <v>2945.62</v>
      </c>
      <c r="Q113" s="199">
        <v>0</v>
      </c>
      <c r="R113" s="199">
        <v>0</v>
      </c>
      <c r="S113" s="199">
        <v>0</v>
      </c>
      <c r="T113" s="199">
        <v>0</v>
      </c>
      <c r="U113" s="199">
        <v>0</v>
      </c>
      <c r="V113" s="200">
        <v>0</v>
      </c>
      <c r="W113" s="200">
        <v>0</v>
      </c>
      <c r="X113" s="200">
        <v>0</v>
      </c>
      <c r="Y113" s="200">
        <v>0</v>
      </c>
      <c r="Z113" s="200">
        <v>0</v>
      </c>
      <c r="AA113" s="199">
        <v>104.88000000000011</v>
      </c>
    </row>
    <row r="114" spans="7:27" ht="15" customHeight="1" x14ac:dyDescent="0.25">
      <c r="G114" s="191" t="s">
        <v>217</v>
      </c>
      <c r="H114" s="191" t="s">
        <v>217</v>
      </c>
      <c r="I114" s="194"/>
      <c r="J114" s="194"/>
      <c r="K114" s="194"/>
      <c r="M114" s="197" t="s">
        <v>317</v>
      </c>
      <c r="N114" s="198" t="s">
        <v>318</v>
      </c>
      <c r="O114" s="199">
        <v>96930.8</v>
      </c>
      <c r="P114" s="199">
        <v>135546.92000000001</v>
      </c>
      <c r="Q114" s="199">
        <v>118959.48</v>
      </c>
      <c r="R114" s="199">
        <v>120402.7</v>
      </c>
      <c r="S114" s="199">
        <v>121548.19</v>
      </c>
      <c r="T114" s="199">
        <v>103937.62</v>
      </c>
      <c r="U114" s="199">
        <v>136162.70000000001</v>
      </c>
      <c r="V114" s="200">
        <v>140153.97</v>
      </c>
      <c r="W114" s="200">
        <v>140760.62</v>
      </c>
      <c r="X114" s="200">
        <v>138543.59</v>
      </c>
      <c r="Y114" s="200">
        <v>128600.13</v>
      </c>
      <c r="Z114" s="200">
        <v>131249.60000000001</v>
      </c>
      <c r="AA114" s="199">
        <v>1512796.3200000003</v>
      </c>
    </row>
    <row r="115" spans="7:27" ht="15" customHeight="1" x14ac:dyDescent="0.25">
      <c r="G115" s="191"/>
      <c r="H115" s="191"/>
      <c r="I115" s="194"/>
      <c r="J115" s="194"/>
      <c r="K115" s="194"/>
      <c r="M115" s="197" t="s">
        <v>319</v>
      </c>
      <c r="N115" s="198" t="s">
        <v>320</v>
      </c>
      <c r="O115" s="199">
        <v>178562.3</v>
      </c>
      <c r="P115" s="199">
        <v>244922.25</v>
      </c>
      <c r="Q115" s="199">
        <v>216275.06</v>
      </c>
      <c r="R115" s="199">
        <v>218962.38</v>
      </c>
      <c r="S115" s="199">
        <v>221640.88</v>
      </c>
      <c r="T115" s="199">
        <v>190215.79</v>
      </c>
      <c r="U115" s="199">
        <v>248197.65</v>
      </c>
      <c r="V115" s="200">
        <v>241634</v>
      </c>
      <c r="W115" s="200">
        <v>241517</v>
      </c>
      <c r="X115" s="200">
        <v>238307</v>
      </c>
      <c r="Y115" s="200">
        <v>220544</v>
      </c>
      <c r="Z115" s="200">
        <v>224143</v>
      </c>
      <c r="AA115" s="199">
        <v>2684921.31</v>
      </c>
    </row>
    <row r="116" spans="7:27" ht="15" customHeight="1" x14ac:dyDescent="0.25">
      <c r="G116" s="191"/>
      <c r="H116" s="191"/>
      <c r="I116" s="194"/>
      <c r="J116" s="194"/>
      <c r="K116" s="194"/>
      <c r="M116" s="197" t="s">
        <v>464</v>
      </c>
      <c r="N116" s="198" t="s">
        <v>465</v>
      </c>
      <c r="O116" s="199">
        <v>0</v>
      </c>
      <c r="P116" s="199">
        <v>0</v>
      </c>
      <c r="Q116" s="199">
        <v>0</v>
      </c>
      <c r="R116" s="199">
        <v>190182.56</v>
      </c>
      <c r="S116" s="199">
        <v>200671.43</v>
      </c>
      <c r="T116" s="199">
        <v>162382.9</v>
      </c>
      <c r="U116" s="199">
        <v>234383.66</v>
      </c>
      <c r="V116" s="200">
        <v>224659.03</v>
      </c>
      <c r="W116" s="200">
        <v>224974.16</v>
      </c>
      <c r="X116" s="200">
        <v>214935.16</v>
      </c>
      <c r="Y116" s="200">
        <v>205604.3</v>
      </c>
      <c r="Z116" s="200">
        <v>200601.15</v>
      </c>
      <c r="AA116" s="199">
        <v>1858394.3499999999</v>
      </c>
    </row>
    <row r="117" spans="7:27" ht="15" customHeight="1" x14ac:dyDescent="0.25">
      <c r="M117" s="195" t="s">
        <v>552</v>
      </c>
      <c r="N117" s="196" t="s">
        <v>553</v>
      </c>
      <c r="O117" s="196">
        <v>3338233.86</v>
      </c>
      <c r="P117" s="196">
        <v>3358317.5</v>
      </c>
      <c r="Q117" s="196">
        <v>3322801.69</v>
      </c>
      <c r="R117" s="196">
        <v>3389262.46</v>
      </c>
      <c r="S117" s="196">
        <v>3372625.47</v>
      </c>
      <c r="T117" s="196">
        <v>3361749.52</v>
      </c>
      <c r="U117" s="196">
        <v>3371776.57</v>
      </c>
      <c r="V117" s="196">
        <v>0</v>
      </c>
      <c r="W117" s="196">
        <v>0</v>
      </c>
      <c r="X117" s="196">
        <v>0</v>
      </c>
      <c r="Y117" s="196">
        <v>0</v>
      </c>
      <c r="Z117" s="196">
        <v>0</v>
      </c>
      <c r="AA117" s="196">
        <v>23514767.069999997</v>
      </c>
    </row>
    <row r="118" spans="7:27" ht="15" customHeight="1" x14ac:dyDescent="0.25">
      <c r="M118" s="195" t="s">
        <v>554</v>
      </c>
      <c r="N118" s="196" t="s">
        <v>553</v>
      </c>
      <c r="O118" s="196">
        <v>3338233.86</v>
      </c>
      <c r="P118" s="196">
        <v>3358317.5</v>
      </c>
      <c r="Q118" s="196">
        <v>3322801.69</v>
      </c>
      <c r="R118" s="196">
        <v>3389262.46</v>
      </c>
      <c r="S118" s="196">
        <v>3372625.47</v>
      </c>
      <c r="T118" s="196">
        <v>3361749.52</v>
      </c>
      <c r="U118" s="196">
        <v>3371776.57</v>
      </c>
      <c r="V118" s="196">
        <v>0</v>
      </c>
      <c r="W118" s="196">
        <v>0</v>
      </c>
      <c r="X118" s="196">
        <v>0</v>
      </c>
      <c r="Y118" s="196">
        <v>0</v>
      </c>
      <c r="Z118" s="196">
        <v>0</v>
      </c>
      <c r="AA118" s="196">
        <v>23514767.069999997</v>
      </c>
    </row>
    <row r="119" spans="7:27" ht="15" customHeight="1" x14ac:dyDescent="0.25">
      <c r="M119" s="197" t="s">
        <v>555</v>
      </c>
      <c r="N119" s="198" t="s">
        <v>556</v>
      </c>
      <c r="O119" s="199">
        <v>2940906.46</v>
      </c>
      <c r="P119" s="199">
        <v>2965328.77</v>
      </c>
      <c r="Q119" s="199">
        <v>2938103.44</v>
      </c>
      <c r="R119" s="199">
        <v>2972553.35</v>
      </c>
      <c r="S119" s="199">
        <v>2962063.91</v>
      </c>
      <c r="T119" s="199">
        <v>2960617.74</v>
      </c>
      <c r="U119" s="199">
        <v>2969310.74</v>
      </c>
      <c r="V119" s="200">
        <v>0</v>
      </c>
      <c r="W119" s="200">
        <v>0</v>
      </c>
      <c r="X119" s="200">
        <v>0</v>
      </c>
      <c r="Y119" s="200">
        <v>0</v>
      </c>
      <c r="Z119" s="200">
        <v>0</v>
      </c>
      <c r="AA119" s="199">
        <v>20708884.410000004</v>
      </c>
    </row>
    <row r="120" spans="7:27" ht="15" customHeight="1" x14ac:dyDescent="0.25">
      <c r="G120" s="191" t="s">
        <v>217</v>
      </c>
      <c r="H120" s="191" t="s">
        <v>217</v>
      </c>
      <c r="I120" s="194"/>
      <c r="J120" s="194"/>
      <c r="K120" s="194"/>
      <c r="M120" s="197" t="s">
        <v>557</v>
      </c>
      <c r="N120" s="198" t="s">
        <v>558</v>
      </c>
      <c r="O120" s="199">
        <v>217627.01</v>
      </c>
      <c r="P120" s="199">
        <v>213256.08</v>
      </c>
      <c r="Q120" s="199">
        <v>208916.78</v>
      </c>
      <c r="R120" s="199">
        <v>224242.52</v>
      </c>
      <c r="S120" s="199">
        <v>220566.13</v>
      </c>
      <c r="T120" s="199">
        <v>220289.13</v>
      </c>
      <c r="U120" s="199">
        <v>216027.97</v>
      </c>
      <c r="V120" s="200">
        <v>0</v>
      </c>
      <c r="W120" s="200">
        <v>0</v>
      </c>
      <c r="X120" s="200">
        <v>0</v>
      </c>
      <c r="Y120" s="200">
        <v>0</v>
      </c>
      <c r="Z120" s="200">
        <v>0</v>
      </c>
      <c r="AA120" s="199">
        <v>1520925.6199999999</v>
      </c>
    </row>
    <row r="121" spans="7:27" ht="15" customHeight="1" x14ac:dyDescent="0.25">
      <c r="G121" s="191" t="s">
        <v>217</v>
      </c>
      <c r="H121" s="191" t="s">
        <v>217</v>
      </c>
      <c r="I121" s="194"/>
      <c r="J121" s="194"/>
      <c r="K121" s="194"/>
      <c r="M121" s="197" t="s">
        <v>559</v>
      </c>
      <c r="N121" s="198" t="s">
        <v>560</v>
      </c>
      <c r="O121" s="199">
        <v>-138.06</v>
      </c>
      <c r="P121" s="199">
        <v>-131.97</v>
      </c>
      <c r="Q121" s="199">
        <v>-132.59</v>
      </c>
      <c r="R121" s="199">
        <v>-130</v>
      </c>
      <c r="S121" s="199">
        <v>-129.91999999999999</v>
      </c>
      <c r="T121" s="199">
        <v>-128.83000000000001</v>
      </c>
      <c r="U121" s="199">
        <v>-126.39</v>
      </c>
      <c r="V121" s="200">
        <v>0</v>
      </c>
      <c r="W121" s="200">
        <v>0</v>
      </c>
      <c r="X121" s="200">
        <v>0</v>
      </c>
      <c r="Y121" s="200">
        <v>0</v>
      </c>
      <c r="Z121" s="200">
        <v>0</v>
      </c>
      <c r="AA121" s="199">
        <v>-917.76</v>
      </c>
    </row>
    <row r="122" spans="7:27" ht="15" customHeight="1" x14ac:dyDescent="0.25">
      <c r="G122" s="191" t="s">
        <v>217</v>
      </c>
      <c r="H122" s="191" t="s">
        <v>217</v>
      </c>
      <c r="I122" s="194"/>
      <c r="J122" s="194"/>
      <c r="K122" s="194"/>
      <c r="M122" s="197" t="s">
        <v>561</v>
      </c>
      <c r="N122" s="198" t="s">
        <v>562</v>
      </c>
      <c r="O122" s="199">
        <v>11550.57</v>
      </c>
      <c r="P122" s="199">
        <v>11282.65</v>
      </c>
      <c r="Q122" s="199">
        <v>11088.75</v>
      </c>
      <c r="R122" s="199">
        <v>10966.98</v>
      </c>
      <c r="S122" s="199">
        <v>10803.82</v>
      </c>
      <c r="T122" s="199">
        <v>10782.96</v>
      </c>
      <c r="U122" s="199">
        <v>10573.94</v>
      </c>
      <c r="V122" s="200">
        <v>0</v>
      </c>
      <c r="W122" s="200">
        <v>0</v>
      </c>
      <c r="X122" s="200">
        <v>0</v>
      </c>
      <c r="Y122" s="200">
        <v>0</v>
      </c>
      <c r="Z122" s="200">
        <v>0</v>
      </c>
      <c r="AA122" s="199">
        <v>77049.67</v>
      </c>
    </row>
    <row r="123" spans="7:27" ht="15" customHeight="1" x14ac:dyDescent="0.25">
      <c r="G123" s="191" t="s">
        <v>217</v>
      </c>
      <c r="H123" s="191" t="s">
        <v>217</v>
      </c>
      <c r="I123" s="194"/>
      <c r="J123" s="194"/>
      <c r="K123" s="194"/>
      <c r="M123" s="197" t="s">
        <v>563</v>
      </c>
      <c r="N123" s="198" t="s">
        <v>564</v>
      </c>
      <c r="O123" s="199">
        <v>3014.27</v>
      </c>
      <c r="P123" s="199">
        <v>3002.28</v>
      </c>
      <c r="Q123" s="199">
        <v>2893.48</v>
      </c>
      <c r="R123" s="199">
        <v>2880.52</v>
      </c>
      <c r="S123" s="199">
        <v>2804.92</v>
      </c>
      <c r="T123" s="199">
        <v>2813.56</v>
      </c>
      <c r="U123" s="199">
        <v>2759.45</v>
      </c>
      <c r="V123" s="200">
        <v>0</v>
      </c>
      <c r="W123" s="200">
        <v>0</v>
      </c>
      <c r="X123" s="200">
        <v>0</v>
      </c>
      <c r="Y123" s="200">
        <v>0</v>
      </c>
      <c r="Z123" s="200">
        <v>0</v>
      </c>
      <c r="AA123" s="199">
        <v>20168.480000000003</v>
      </c>
    </row>
    <row r="124" spans="7:27" ht="15" customHeight="1" x14ac:dyDescent="0.25">
      <c r="G124" s="191" t="s">
        <v>217</v>
      </c>
      <c r="H124" s="191" t="s">
        <v>217</v>
      </c>
      <c r="I124" s="194"/>
      <c r="J124" s="194"/>
      <c r="K124" s="194"/>
      <c r="M124" s="197" t="s">
        <v>565</v>
      </c>
      <c r="N124" s="198" t="s">
        <v>566</v>
      </c>
      <c r="O124" s="199">
        <v>85146.03</v>
      </c>
      <c r="P124" s="199">
        <v>87180.54</v>
      </c>
      <c r="Q124" s="199">
        <v>85012.39</v>
      </c>
      <c r="R124" s="199">
        <v>87709.56</v>
      </c>
      <c r="S124" s="199">
        <v>86869.24</v>
      </c>
      <c r="T124" s="199">
        <v>77880.47</v>
      </c>
      <c r="U124" s="199">
        <v>85467.48</v>
      </c>
      <c r="V124" s="200">
        <v>0</v>
      </c>
      <c r="W124" s="200">
        <v>0</v>
      </c>
      <c r="X124" s="200">
        <v>0</v>
      </c>
      <c r="Y124" s="200">
        <v>0</v>
      </c>
      <c r="Z124" s="200">
        <v>0</v>
      </c>
      <c r="AA124" s="199">
        <v>595265.71</v>
      </c>
    </row>
    <row r="125" spans="7:27" ht="15" customHeight="1" x14ac:dyDescent="0.25">
      <c r="G125" s="191" t="s">
        <v>217</v>
      </c>
      <c r="H125" s="191" t="s">
        <v>217</v>
      </c>
      <c r="I125" s="194"/>
      <c r="J125" s="194"/>
      <c r="K125" s="194"/>
      <c r="M125" s="197" t="s">
        <v>567</v>
      </c>
      <c r="N125" s="198" t="s">
        <v>568</v>
      </c>
      <c r="O125" s="199">
        <v>11557.55</v>
      </c>
      <c r="P125" s="199">
        <v>11363.86</v>
      </c>
      <c r="Q125" s="199">
        <v>11093.23</v>
      </c>
      <c r="R125" s="199">
        <v>11817.47</v>
      </c>
      <c r="S125" s="199">
        <v>11590.65</v>
      </c>
      <c r="T125" s="199">
        <v>11590.04</v>
      </c>
      <c r="U125" s="199">
        <v>11367.33</v>
      </c>
      <c r="V125" s="200">
        <v>0</v>
      </c>
      <c r="W125" s="200">
        <v>0</v>
      </c>
      <c r="X125" s="200">
        <v>0</v>
      </c>
      <c r="Y125" s="200">
        <v>0</v>
      </c>
      <c r="Z125" s="200">
        <v>0</v>
      </c>
      <c r="AA125" s="199">
        <v>80380.13</v>
      </c>
    </row>
    <row r="126" spans="7:27" ht="15" customHeight="1" x14ac:dyDescent="0.25">
      <c r="G126" s="191" t="s">
        <v>217</v>
      </c>
      <c r="H126" s="191" t="s">
        <v>217</v>
      </c>
      <c r="I126" s="194"/>
      <c r="J126" s="194"/>
      <c r="K126" s="194"/>
      <c r="M126" s="197" t="s">
        <v>569</v>
      </c>
      <c r="N126" s="198" t="s">
        <v>570</v>
      </c>
      <c r="O126" s="199">
        <v>66926.210000000006</v>
      </c>
      <c r="P126" s="199">
        <v>65428.35</v>
      </c>
      <c r="Q126" s="199">
        <v>64248.15</v>
      </c>
      <c r="R126" s="199">
        <v>63564.44</v>
      </c>
      <c r="S126" s="199">
        <v>62584.05</v>
      </c>
      <c r="T126" s="199">
        <v>62476.74</v>
      </c>
      <c r="U126" s="199">
        <v>61267.5</v>
      </c>
      <c r="V126" s="200">
        <v>0</v>
      </c>
      <c r="W126" s="200">
        <v>0</v>
      </c>
      <c r="X126" s="200">
        <v>0</v>
      </c>
      <c r="Y126" s="200">
        <v>0</v>
      </c>
      <c r="Z126" s="200">
        <v>0</v>
      </c>
      <c r="AA126" s="199">
        <v>446495.44</v>
      </c>
    </row>
    <row r="127" spans="7:27" ht="15" customHeight="1" x14ac:dyDescent="0.25">
      <c r="G127" s="191" t="s">
        <v>217</v>
      </c>
      <c r="H127" s="191" t="s">
        <v>217</v>
      </c>
      <c r="I127" s="194"/>
      <c r="J127" s="194"/>
      <c r="K127" s="194"/>
      <c r="M127" s="197" t="s">
        <v>571</v>
      </c>
      <c r="N127" s="198" t="s">
        <v>572</v>
      </c>
      <c r="O127" s="199">
        <v>1643.82</v>
      </c>
      <c r="P127" s="199">
        <v>1606.94</v>
      </c>
      <c r="Q127" s="199">
        <v>1578.06</v>
      </c>
      <c r="R127" s="199">
        <v>1561.43</v>
      </c>
      <c r="S127" s="199">
        <v>1537.04</v>
      </c>
      <c r="T127" s="199">
        <v>1534.54</v>
      </c>
      <c r="U127" s="199">
        <v>1504.78</v>
      </c>
      <c r="V127" s="200">
        <v>0</v>
      </c>
      <c r="W127" s="200">
        <v>0</v>
      </c>
      <c r="X127" s="200">
        <v>0</v>
      </c>
      <c r="Y127" s="200">
        <v>0</v>
      </c>
      <c r="Z127" s="200">
        <v>0</v>
      </c>
      <c r="AA127" s="199">
        <v>10966.61</v>
      </c>
    </row>
    <row r="128" spans="7:27" ht="15" customHeight="1" x14ac:dyDescent="0.25">
      <c r="G128" s="191" t="s">
        <v>217</v>
      </c>
      <c r="H128" s="191" t="s">
        <v>217</v>
      </c>
      <c r="I128" s="194"/>
      <c r="J128" s="194"/>
      <c r="K128" s="194"/>
      <c r="M128" s="197" t="s">
        <v>573</v>
      </c>
      <c r="N128" s="198" t="s">
        <v>574</v>
      </c>
      <c r="O128" s="199">
        <v>0</v>
      </c>
      <c r="P128" s="199">
        <v>0</v>
      </c>
      <c r="Q128" s="199">
        <v>0</v>
      </c>
      <c r="R128" s="199">
        <v>14096.19</v>
      </c>
      <c r="S128" s="199">
        <v>13935.63</v>
      </c>
      <c r="T128" s="199">
        <v>13893.17</v>
      </c>
      <c r="U128" s="199">
        <v>13623.77</v>
      </c>
      <c r="V128" s="200">
        <v>0</v>
      </c>
      <c r="W128" s="200">
        <v>0</v>
      </c>
      <c r="X128" s="200">
        <v>0</v>
      </c>
      <c r="Y128" s="200">
        <v>0</v>
      </c>
      <c r="Z128" s="200">
        <v>0</v>
      </c>
      <c r="AA128" s="199">
        <v>55548.759999999995</v>
      </c>
    </row>
    <row r="129" spans="7:27" ht="15" customHeight="1" x14ac:dyDescent="0.25">
      <c r="G129" s="191" t="s">
        <v>217</v>
      </c>
      <c r="H129" s="191" t="s">
        <v>217</v>
      </c>
      <c r="I129" s="194"/>
      <c r="J129" s="194"/>
      <c r="K129" s="194"/>
      <c r="M129" s="195" t="s">
        <v>321</v>
      </c>
      <c r="N129" s="196" t="s">
        <v>322</v>
      </c>
      <c r="O129" s="196">
        <v>16212666.439999999</v>
      </c>
      <c r="P129" s="196">
        <v>15037188.800000001</v>
      </c>
      <c r="Q129" s="196">
        <v>15315637.65</v>
      </c>
      <c r="R129" s="196">
        <v>16569335.369999999</v>
      </c>
      <c r="S129" s="196">
        <v>16420564.08</v>
      </c>
      <c r="T129" s="196">
        <v>17281965.219999999</v>
      </c>
      <c r="U129" s="196">
        <v>18196948.289999999</v>
      </c>
      <c r="V129" s="196">
        <v>22126980.879999999</v>
      </c>
      <c r="W129" s="196">
        <v>24075203.850000001</v>
      </c>
      <c r="X129" s="196">
        <v>22647583.960000001</v>
      </c>
      <c r="Y129" s="196">
        <v>20893075.25</v>
      </c>
      <c r="Z129" s="196">
        <v>20038097.399999999</v>
      </c>
      <c r="AA129" s="196">
        <v>224815247.19</v>
      </c>
    </row>
    <row r="130" spans="7:27" ht="15" customHeight="1" x14ac:dyDescent="0.25">
      <c r="G130" s="191" t="s">
        <v>217</v>
      </c>
      <c r="H130" s="191" t="s">
        <v>217</v>
      </c>
      <c r="I130" s="194"/>
      <c r="J130" s="194"/>
      <c r="K130" s="194"/>
      <c r="M130" s="197" t="s">
        <v>323</v>
      </c>
      <c r="N130" s="198" t="s">
        <v>324</v>
      </c>
      <c r="O130" s="199">
        <v>6872106</v>
      </c>
      <c r="P130" s="199">
        <v>6583526.7300000004</v>
      </c>
      <c r="Q130" s="199">
        <v>6666335.3200000003</v>
      </c>
      <c r="R130" s="199">
        <v>6706309.8700000001</v>
      </c>
      <c r="S130" s="199">
        <v>6628699.6699999999</v>
      </c>
      <c r="T130" s="199">
        <v>6998569.0899999999</v>
      </c>
      <c r="U130" s="199">
        <v>7143997.2300000004</v>
      </c>
      <c r="V130" s="200">
        <v>10479481</v>
      </c>
      <c r="W130" s="200">
        <v>11089580</v>
      </c>
      <c r="X130" s="200">
        <v>10778193</v>
      </c>
      <c r="Y130" s="200">
        <v>10225117</v>
      </c>
      <c r="Z130" s="200">
        <v>9850891</v>
      </c>
      <c r="AA130" s="199">
        <v>100022805.91000001</v>
      </c>
    </row>
    <row r="131" spans="7:27" ht="15" customHeight="1" x14ac:dyDescent="0.25">
      <c r="G131" s="191" t="s">
        <v>217</v>
      </c>
      <c r="H131" s="191" t="s">
        <v>217</v>
      </c>
      <c r="I131" s="194"/>
      <c r="J131" s="194"/>
      <c r="K131" s="194"/>
      <c r="M131" s="197" t="s">
        <v>325</v>
      </c>
      <c r="N131" s="198" t="s">
        <v>326</v>
      </c>
      <c r="O131" s="199">
        <v>7483412.04</v>
      </c>
      <c r="P131" s="199">
        <v>6706261.5300000003</v>
      </c>
      <c r="Q131" s="199">
        <v>6873277.9900000002</v>
      </c>
      <c r="R131" s="199">
        <v>7672988.9699999997</v>
      </c>
      <c r="S131" s="199">
        <v>7607204.2599999998</v>
      </c>
      <c r="T131" s="199">
        <v>8006522.9199999999</v>
      </c>
      <c r="U131" s="199">
        <v>8676105.5399999991</v>
      </c>
      <c r="V131" s="200">
        <v>9099146</v>
      </c>
      <c r="W131" s="200">
        <v>10234560</v>
      </c>
      <c r="X131" s="200">
        <v>9263952</v>
      </c>
      <c r="Y131" s="200">
        <v>8317315</v>
      </c>
      <c r="Z131" s="200">
        <v>7887758</v>
      </c>
      <c r="AA131" s="199">
        <v>97828504.25</v>
      </c>
    </row>
    <row r="132" spans="7:27" ht="15" customHeight="1" x14ac:dyDescent="0.25">
      <c r="G132" s="191" t="s">
        <v>217</v>
      </c>
      <c r="H132" s="191" t="s">
        <v>217</v>
      </c>
      <c r="I132" s="194"/>
      <c r="J132" s="194"/>
      <c r="K132" s="194"/>
      <c r="M132" s="197" t="s">
        <v>327</v>
      </c>
      <c r="N132" s="198" t="s">
        <v>328</v>
      </c>
      <c r="O132" s="199">
        <v>-21027.15</v>
      </c>
      <c r="P132" s="199">
        <v>-20429.88</v>
      </c>
      <c r="Q132" s="199">
        <v>-20471.84</v>
      </c>
      <c r="R132" s="199">
        <v>-20275.349999999999</v>
      </c>
      <c r="S132" s="199">
        <v>-21054.28</v>
      </c>
      <c r="T132" s="199">
        <v>-21070.32</v>
      </c>
      <c r="U132" s="199">
        <v>-21421.1</v>
      </c>
      <c r="V132" s="200">
        <v>-22122</v>
      </c>
      <c r="W132" s="200">
        <v>-23128</v>
      </c>
      <c r="X132" s="200">
        <v>-22786</v>
      </c>
      <c r="Y132" s="200">
        <v>-20526</v>
      </c>
      <c r="Z132" s="200">
        <v>-20602</v>
      </c>
      <c r="AA132" s="199">
        <v>-254913.92000000001</v>
      </c>
    </row>
    <row r="133" spans="7:27" ht="15" customHeight="1" x14ac:dyDescent="0.25">
      <c r="G133" s="191" t="s">
        <v>217</v>
      </c>
      <c r="H133" s="191" t="s">
        <v>217</v>
      </c>
      <c r="I133" s="194"/>
      <c r="J133" s="194"/>
      <c r="K133" s="194"/>
      <c r="M133" s="197" t="s">
        <v>329</v>
      </c>
      <c r="N133" s="198" t="s">
        <v>330</v>
      </c>
      <c r="O133" s="199">
        <v>318261.84000000003</v>
      </c>
      <c r="P133" s="199">
        <v>309152.09000000003</v>
      </c>
      <c r="Q133" s="199">
        <v>312923.26</v>
      </c>
      <c r="R133" s="199">
        <v>310096.39</v>
      </c>
      <c r="S133" s="199">
        <v>304770.5</v>
      </c>
      <c r="T133" s="199">
        <v>322346.36</v>
      </c>
      <c r="U133" s="199">
        <v>326169.53000000003</v>
      </c>
      <c r="V133" s="200">
        <v>347555</v>
      </c>
      <c r="W133" s="200">
        <v>362605</v>
      </c>
      <c r="X133" s="200">
        <v>357268</v>
      </c>
      <c r="Y133" s="200">
        <v>323014</v>
      </c>
      <c r="Z133" s="200">
        <v>324184</v>
      </c>
      <c r="AA133" s="199">
        <v>3918345.9699999997</v>
      </c>
    </row>
    <row r="134" spans="7:27" ht="15" customHeight="1" x14ac:dyDescent="0.25">
      <c r="G134" s="191" t="s">
        <v>217</v>
      </c>
      <c r="H134" s="191" t="s">
        <v>217</v>
      </c>
      <c r="I134" s="194"/>
      <c r="J134" s="194"/>
      <c r="K134" s="194"/>
      <c r="M134" s="197" t="s">
        <v>331</v>
      </c>
      <c r="N134" s="198" t="s">
        <v>332</v>
      </c>
      <c r="O134" s="199">
        <v>126439.21</v>
      </c>
      <c r="P134" s="199">
        <v>113449.02</v>
      </c>
      <c r="Q134" s="199">
        <v>116453.99</v>
      </c>
      <c r="R134" s="199">
        <v>120118.81</v>
      </c>
      <c r="S134" s="199">
        <v>117734.39</v>
      </c>
      <c r="T134" s="199">
        <v>125465.04</v>
      </c>
      <c r="U134" s="199">
        <v>135581.97</v>
      </c>
      <c r="V134" s="200">
        <v>141787</v>
      </c>
      <c r="W134" s="200">
        <v>159745</v>
      </c>
      <c r="X134" s="200">
        <v>144451</v>
      </c>
      <c r="Y134" s="200">
        <v>129636</v>
      </c>
      <c r="Z134" s="200">
        <v>122897</v>
      </c>
      <c r="AA134" s="199">
        <v>1553758.4300000002</v>
      </c>
    </row>
    <row r="135" spans="7:27" ht="15" customHeight="1" x14ac:dyDescent="0.25">
      <c r="G135" s="191" t="s">
        <v>217</v>
      </c>
      <c r="H135" s="191" t="s">
        <v>217</v>
      </c>
      <c r="I135" s="194"/>
      <c r="J135" s="194"/>
      <c r="K135" s="194"/>
      <c r="M135" s="197" t="s">
        <v>333</v>
      </c>
      <c r="N135" s="198" t="s">
        <v>334</v>
      </c>
      <c r="O135" s="199">
        <v>422866.9</v>
      </c>
      <c r="P135" s="199">
        <v>379955.59</v>
      </c>
      <c r="Q135" s="199">
        <v>389696.86</v>
      </c>
      <c r="R135" s="199">
        <v>436928.13</v>
      </c>
      <c r="S135" s="199">
        <v>445330.3</v>
      </c>
      <c r="T135" s="199">
        <v>445779.69</v>
      </c>
      <c r="U135" s="199">
        <v>477287.69</v>
      </c>
      <c r="V135" s="200">
        <v>561745.6</v>
      </c>
      <c r="W135" s="200">
        <v>609846.87</v>
      </c>
      <c r="X135" s="200">
        <v>572819.43000000005</v>
      </c>
      <c r="Y135" s="200">
        <v>524041.75</v>
      </c>
      <c r="Z135" s="200">
        <v>509835.38</v>
      </c>
      <c r="AA135" s="199">
        <v>5776134.1900000004</v>
      </c>
    </row>
    <row r="136" spans="7:27" ht="15" customHeight="1" x14ac:dyDescent="0.25">
      <c r="G136" s="191" t="s">
        <v>217</v>
      </c>
      <c r="H136" s="191" t="s">
        <v>217</v>
      </c>
      <c r="I136" s="194"/>
      <c r="J136" s="194"/>
      <c r="K136" s="194"/>
      <c r="M136" s="197" t="s">
        <v>335</v>
      </c>
      <c r="N136" s="198" t="s">
        <v>336</v>
      </c>
      <c r="O136" s="199">
        <v>392517.91</v>
      </c>
      <c r="P136" s="199">
        <v>364204.53</v>
      </c>
      <c r="Q136" s="199">
        <v>370607.53</v>
      </c>
      <c r="R136" s="199">
        <v>400968.89</v>
      </c>
      <c r="S136" s="199">
        <v>397028.72</v>
      </c>
      <c r="T136" s="199">
        <v>418552.01</v>
      </c>
      <c r="U136" s="199">
        <v>440650.4</v>
      </c>
      <c r="V136" s="200">
        <v>373230.25</v>
      </c>
      <c r="W136" s="200">
        <v>418822.34</v>
      </c>
      <c r="X136" s="200">
        <v>383298.71</v>
      </c>
      <c r="Y136" s="200">
        <v>336578.36</v>
      </c>
      <c r="Z136" s="200">
        <v>322805.51</v>
      </c>
      <c r="AA136" s="199">
        <v>4619265.1599999992</v>
      </c>
    </row>
    <row r="137" spans="7:27" ht="15" customHeight="1" x14ac:dyDescent="0.25">
      <c r="G137" s="191" t="s">
        <v>217</v>
      </c>
      <c r="H137" s="191" t="s">
        <v>217</v>
      </c>
      <c r="I137" s="194"/>
      <c r="J137" s="194"/>
      <c r="K137" s="194"/>
      <c r="M137" s="197" t="s">
        <v>337</v>
      </c>
      <c r="N137" s="198" t="s">
        <v>338</v>
      </c>
      <c r="O137" s="199">
        <v>226614.71</v>
      </c>
      <c r="P137" s="199">
        <v>220061.35</v>
      </c>
      <c r="Q137" s="199">
        <v>222369.02</v>
      </c>
      <c r="R137" s="199">
        <v>221215.6</v>
      </c>
      <c r="S137" s="199">
        <v>217600.85</v>
      </c>
      <c r="T137" s="199">
        <v>230614.13</v>
      </c>
      <c r="U137" s="199">
        <v>232982.32</v>
      </c>
      <c r="V137" s="200">
        <v>306505.13</v>
      </c>
      <c r="W137" s="200">
        <v>317412.5</v>
      </c>
      <c r="X137" s="200">
        <v>313127.52</v>
      </c>
      <c r="Y137" s="200">
        <v>288314.46999999997</v>
      </c>
      <c r="Z137" s="200">
        <v>289842.34999999998</v>
      </c>
      <c r="AA137" s="199">
        <v>3086659.9500000007</v>
      </c>
    </row>
    <row r="138" spans="7:27" ht="15" customHeight="1" x14ac:dyDescent="0.25">
      <c r="G138" s="191" t="s">
        <v>217</v>
      </c>
      <c r="H138" s="191" t="s">
        <v>217</v>
      </c>
      <c r="I138" s="194"/>
      <c r="J138" s="194"/>
      <c r="K138" s="194"/>
      <c r="M138" s="197" t="s">
        <v>339</v>
      </c>
      <c r="N138" s="198" t="s">
        <v>340</v>
      </c>
      <c r="O138" s="199">
        <v>391474.98</v>
      </c>
      <c r="P138" s="199">
        <v>381007.84</v>
      </c>
      <c r="Q138" s="199">
        <v>384445.52</v>
      </c>
      <c r="R138" s="199">
        <v>382702.81</v>
      </c>
      <c r="S138" s="199">
        <v>375660.77</v>
      </c>
      <c r="T138" s="199">
        <v>398664.48</v>
      </c>
      <c r="U138" s="199">
        <v>401920.45</v>
      </c>
      <c r="V138" s="200">
        <v>413628</v>
      </c>
      <c r="W138" s="200">
        <v>432582</v>
      </c>
      <c r="X138" s="200">
        <v>425569</v>
      </c>
      <c r="Y138" s="200">
        <v>383273</v>
      </c>
      <c r="Z138" s="200">
        <v>384558</v>
      </c>
      <c r="AA138" s="199">
        <v>4755486.8500000006</v>
      </c>
    </row>
    <row r="139" spans="7:27" ht="15" customHeight="1" x14ac:dyDescent="0.25">
      <c r="G139" s="191" t="s">
        <v>217</v>
      </c>
      <c r="H139" s="191" t="s">
        <v>217</v>
      </c>
      <c r="I139" s="194"/>
      <c r="J139" s="194"/>
      <c r="K139" s="194"/>
      <c r="M139" s="197" t="s">
        <v>466</v>
      </c>
      <c r="N139" s="198" t="s">
        <v>467</v>
      </c>
      <c r="O139" s="199">
        <v>0</v>
      </c>
      <c r="P139" s="199">
        <v>0</v>
      </c>
      <c r="Q139" s="199">
        <v>0</v>
      </c>
      <c r="R139" s="199">
        <v>338281.25</v>
      </c>
      <c r="S139" s="199">
        <v>347588.9</v>
      </c>
      <c r="T139" s="199">
        <v>356521.82</v>
      </c>
      <c r="U139" s="199">
        <v>383674.26</v>
      </c>
      <c r="V139" s="200">
        <v>426024.9</v>
      </c>
      <c r="W139" s="200">
        <v>473178.14</v>
      </c>
      <c r="X139" s="200">
        <v>431691.3</v>
      </c>
      <c r="Y139" s="200">
        <v>386311.67</v>
      </c>
      <c r="Z139" s="200">
        <v>365928.16</v>
      </c>
      <c r="AA139" s="199">
        <v>3509200.4</v>
      </c>
    </row>
    <row r="140" spans="7:27" ht="15" customHeight="1" x14ac:dyDescent="0.25">
      <c r="G140" s="191" t="s">
        <v>217</v>
      </c>
      <c r="H140" s="191" t="s">
        <v>217</v>
      </c>
      <c r="I140" s="194"/>
      <c r="J140" s="194"/>
      <c r="K140" s="194"/>
      <c r="M140" s="195" t="s">
        <v>341</v>
      </c>
      <c r="N140" s="196" t="s">
        <v>342</v>
      </c>
      <c r="O140" s="196">
        <v>-16387198.09</v>
      </c>
      <c r="P140" s="196">
        <v>-23313327</v>
      </c>
      <c r="Q140" s="196">
        <v>-23157162</v>
      </c>
      <c r="R140" s="196">
        <v>-29122048</v>
      </c>
      <c r="S140" s="196">
        <v>-29263517</v>
      </c>
      <c r="T140" s="196">
        <v>-39022131</v>
      </c>
      <c r="U140" s="196">
        <v>-43674632</v>
      </c>
      <c r="V140" s="196">
        <v>-34515198.502311297</v>
      </c>
      <c r="W140" s="196">
        <v>-36670014.775259003</v>
      </c>
      <c r="X140" s="196">
        <v>-35087902.011659503</v>
      </c>
      <c r="Y140" s="196">
        <v>-24629340.401750199</v>
      </c>
      <c r="Z140" s="196">
        <v>-17811450.813183401</v>
      </c>
      <c r="AA140" s="196">
        <v>-352653921.59416342</v>
      </c>
    </row>
    <row r="141" spans="7:27" ht="15" customHeight="1" x14ac:dyDescent="0.25">
      <c r="G141" s="191" t="s">
        <v>217</v>
      </c>
      <c r="H141" s="191" t="s">
        <v>217</v>
      </c>
      <c r="I141" s="194"/>
      <c r="J141" s="194"/>
      <c r="K141" s="194"/>
      <c r="M141" s="195" t="s">
        <v>343</v>
      </c>
      <c r="N141" s="196" t="s">
        <v>344</v>
      </c>
      <c r="O141" s="196">
        <v>-16387198.09</v>
      </c>
      <c r="P141" s="196">
        <v>-23313327</v>
      </c>
      <c r="Q141" s="196">
        <v>-23157162</v>
      </c>
      <c r="R141" s="196">
        <v>-29122048</v>
      </c>
      <c r="S141" s="196">
        <v>-29263517</v>
      </c>
      <c r="T141" s="196">
        <v>-39022131</v>
      </c>
      <c r="U141" s="196">
        <v>-43674632</v>
      </c>
      <c r="V141" s="196">
        <v>-34515198.502311297</v>
      </c>
      <c r="W141" s="196">
        <v>-36670014.775259003</v>
      </c>
      <c r="X141" s="196">
        <v>-35087902.011659503</v>
      </c>
      <c r="Y141" s="196">
        <v>-24629340.401750199</v>
      </c>
      <c r="Z141" s="196">
        <v>-17811450.813183401</v>
      </c>
      <c r="AA141" s="196">
        <v>-352653921.59416342</v>
      </c>
    </row>
    <row r="142" spans="7:27" ht="15" customHeight="1" x14ac:dyDescent="0.25">
      <c r="G142" s="191" t="s">
        <v>217</v>
      </c>
      <c r="H142" s="191" t="s">
        <v>217</v>
      </c>
      <c r="I142" s="194"/>
      <c r="J142" s="194"/>
      <c r="K142" s="194"/>
      <c r="M142" s="197" t="s">
        <v>345</v>
      </c>
      <c r="N142" s="198" t="s">
        <v>346</v>
      </c>
      <c r="O142" s="199">
        <v>-16522067</v>
      </c>
      <c r="P142" s="199">
        <v>-24851605</v>
      </c>
      <c r="Q142" s="199">
        <v>-24114644</v>
      </c>
      <c r="R142" s="199">
        <v>-29758188</v>
      </c>
      <c r="S142" s="199">
        <v>-30191575</v>
      </c>
      <c r="T142" s="199">
        <v>-39423064</v>
      </c>
      <c r="U142" s="199">
        <v>-42424642</v>
      </c>
      <c r="V142" s="200">
        <v>-34382000.910313502</v>
      </c>
      <c r="W142" s="200">
        <v>-35946321.537302002</v>
      </c>
      <c r="X142" s="200">
        <v>-35068318.924063601</v>
      </c>
      <c r="Y142" s="200">
        <v>-25509918.245671999</v>
      </c>
      <c r="Z142" s="200">
        <v>-18967909.982021801</v>
      </c>
      <c r="AA142" s="199">
        <v>-357160254.59937292</v>
      </c>
    </row>
    <row r="143" spans="7:27" ht="15" customHeight="1" x14ac:dyDescent="0.25">
      <c r="G143" s="191" t="s">
        <v>217</v>
      </c>
      <c r="H143" s="191" t="s">
        <v>217</v>
      </c>
      <c r="I143" s="194"/>
      <c r="J143" s="194"/>
      <c r="K143" s="194"/>
      <c r="M143" s="197" t="s">
        <v>347</v>
      </c>
      <c r="N143" s="198" t="s">
        <v>348</v>
      </c>
      <c r="O143" s="199">
        <v>-401656</v>
      </c>
      <c r="P143" s="199">
        <v>-401656</v>
      </c>
      <c r="Q143" s="199">
        <v>-401660</v>
      </c>
      <c r="R143" s="199">
        <v>-401656</v>
      </c>
      <c r="S143" s="199">
        <v>-401656</v>
      </c>
      <c r="T143" s="199">
        <v>-401656</v>
      </c>
      <c r="U143" s="199">
        <v>-401656</v>
      </c>
      <c r="V143" s="200">
        <v>-401656</v>
      </c>
      <c r="W143" s="200">
        <v>-401656</v>
      </c>
      <c r="X143" s="200">
        <v>-401656</v>
      </c>
      <c r="Y143" s="200">
        <v>-401656</v>
      </c>
      <c r="Z143" s="200">
        <v>-401650</v>
      </c>
      <c r="AA143" s="199">
        <v>-4819870</v>
      </c>
    </row>
    <row r="144" spans="7:27" ht="15" customHeight="1" x14ac:dyDescent="0.25">
      <c r="G144" s="191" t="s">
        <v>217</v>
      </c>
      <c r="H144" s="191" t="s">
        <v>217</v>
      </c>
      <c r="I144" s="194"/>
      <c r="J144" s="194"/>
      <c r="K144" s="194"/>
      <c r="M144" s="197" t="s">
        <v>349</v>
      </c>
      <c r="N144" s="198" t="s">
        <v>350</v>
      </c>
      <c r="O144" s="199">
        <v>0</v>
      </c>
      <c r="P144" s="199">
        <v>0</v>
      </c>
      <c r="Q144" s="199">
        <v>0</v>
      </c>
      <c r="R144" s="199">
        <v>0</v>
      </c>
      <c r="S144" s="199">
        <v>0</v>
      </c>
      <c r="T144" s="199">
        <v>0</v>
      </c>
      <c r="U144" s="199">
        <v>-158822</v>
      </c>
      <c r="V144" s="200">
        <v>-64571.694471100003</v>
      </c>
      <c r="W144" s="200">
        <v>-59400.417790300002</v>
      </c>
      <c r="X144" s="200">
        <v>-80154.474869199999</v>
      </c>
      <c r="Y144" s="200">
        <v>-128615.5828715</v>
      </c>
      <c r="Z144" s="200">
        <v>-141970.96699489999</v>
      </c>
      <c r="AA144" s="199">
        <v>-633535.13699699997</v>
      </c>
    </row>
    <row r="145" spans="7:27" ht="15" customHeight="1" x14ac:dyDescent="0.25">
      <c r="G145" s="191" t="s">
        <v>217</v>
      </c>
      <c r="H145" s="191" t="s">
        <v>217</v>
      </c>
      <c r="I145" s="194"/>
      <c r="J145" s="194"/>
      <c r="K145" s="194"/>
      <c r="M145" s="197" t="s">
        <v>351</v>
      </c>
      <c r="N145" s="198" t="s">
        <v>352</v>
      </c>
      <c r="O145" s="199">
        <v>-369611</v>
      </c>
      <c r="P145" s="199">
        <v>1716</v>
      </c>
      <c r="Q145" s="199">
        <v>0</v>
      </c>
      <c r="R145" s="199">
        <v>-42498</v>
      </c>
      <c r="S145" s="199">
        <v>-5625</v>
      </c>
      <c r="T145" s="199">
        <v>-440887</v>
      </c>
      <c r="U145" s="199">
        <v>-1009913</v>
      </c>
      <c r="V145" s="200">
        <v>-766638.03336</v>
      </c>
      <c r="W145" s="200">
        <v>-704449.95600000001</v>
      </c>
      <c r="X145" s="200">
        <v>-809296.74855999998</v>
      </c>
      <c r="Y145" s="200">
        <v>-161306.70903999999</v>
      </c>
      <c r="Z145" s="200">
        <v>0</v>
      </c>
      <c r="AA145" s="199">
        <v>-4308509.4469600003</v>
      </c>
    </row>
    <row r="146" spans="7:27" ht="15" customHeight="1" x14ac:dyDescent="0.25">
      <c r="G146" s="191" t="s">
        <v>217</v>
      </c>
      <c r="H146" s="191" t="s">
        <v>217</v>
      </c>
      <c r="I146" s="194"/>
      <c r="J146" s="194"/>
      <c r="K146" s="194"/>
      <c r="M146" s="197" t="s">
        <v>353</v>
      </c>
      <c r="N146" s="198" t="s">
        <v>354</v>
      </c>
      <c r="O146" s="199">
        <v>-135620</v>
      </c>
      <c r="P146" s="199">
        <v>-13032</v>
      </c>
      <c r="Q146" s="199">
        <v>-141599</v>
      </c>
      <c r="R146" s="199">
        <v>-221002</v>
      </c>
      <c r="S146" s="199">
        <v>-257588</v>
      </c>
      <c r="T146" s="199">
        <v>-441445</v>
      </c>
      <c r="U146" s="199">
        <v>-588939</v>
      </c>
      <c r="V146" s="200">
        <v>-425090</v>
      </c>
      <c r="W146" s="200">
        <v>-739387</v>
      </c>
      <c r="X146" s="200">
        <v>-574703</v>
      </c>
      <c r="Y146" s="200">
        <v>-258756</v>
      </c>
      <c r="Z146" s="200">
        <v>-126498</v>
      </c>
      <c r="AA146" s="199">
        <v>-3923659</v>
      </c>
    </row>
    <row r="147" spans="7:27" ht="15" customHeight="1" x14ac:dyDescent="0.25">
      <c r="G147" s="191" t="s">
        <v>217</v>
      </c>
      <c r="H147" s="191" t="s">
        <v>217</v>
      </c>
      <c r="I147" s="194"/>
      <c r="J147" s="194"/>
      <c r="K147" s="194"/>
      <c r="M147" s="197" t="s">
        <v>355</v>
      </c>
      <c r="N147" s="198" t="s">
        <v>356</v>
      </c>
      <c r="O147" s="199">
        <v>-583818</v>
      </c>
      <c r="P147" s="199">
        <v>139738</v>
      </c>
      <c r="Q147" s="199">
        <v>0</v>
      </c>
      <c r="R147" s="199">
        <v>54574</v>
      </c>
      <c r="S147" s="199">
        <v>0</v>
      </c>
      <c r="T147" s="199">
        <v>-219673</v>
      </c>
      <c r="U147" s="199">
        <v>-423978</v>
      </c>
      <c r="V147" s="200">
        <v>-326675</v>
      </c>
      <c r="W147" s="200">
        <v>-671911</v>
      </c>
      <c r="X147" s="200">
        <v>0</v>
      </c>
      <c r="Y147" s="200">
        <v>0</v>
      </c>
      <c r="Z147" s="200">
        <v>0</v>
      </c>
      <c r="AA147" s="199">
        <v>-2031743</v>
      </c>
    </row>
    <row r="148" spans="7:27" ht="15" customHeight="1" x14ac:dyDescent="0.25">
      <c r="G148" s="191" t="s">
        <v>217</v>
      </c>
      <c r="H148" s="191" t="s">
        <v>217</v>
      </c>
      <c r="I148" s="194"/>
      <c r="J148" s="194"/>
      <c r="K148" s="194"/>
      <c r="M148" s="197" t="s">
        <v>357</v>
      </c>
      <c r="N148" s="198" t="s">
        <v>358</v>
      </c>
      <c r="O148" s="199">
        <v>-133158.09</v>
      </c>
      <c r="P148" s="199">
        <v>52780</v>
      </c>
      <c r="Q148" s="199">
        <v>-257991</v>
      </c>
      <c r="R148" s="199">
        <v>-512010</v>
      </c>
      <c r="S148" s="199">
        <v>-165805</v>
      </c>
      <c r="T148" s="199">
        <v>145862</v>
      </c>
      <c r="U148" s="199">
        <v>-425414</v>
      </c>
      <c r="V148" s="200">
        <v>92701</v>
      </c>
      <c r="W148" s="200">
        <v>94379</v>
      </c>
      <c r="X148" s="200">
        <v>87495</v>
      </c>
      <c r="Y148" s="200">
        <v>72180</v>
      </c>
      <c r="Z148" s="200">
        <v>67850</v>
      </c>
      <c r="AA148" s="199">
        <v>-881131.08999999985</v>
      </c>
    </row>
    <row r="149" spans="7:27" ht="15" customHeight="1" x14ac:dyDescent="0.25">
      <c r="G149" s="191" t="s">
        <v>217</v>
      </c>
      <c r="H149" s="191" t="s">
        <v>217</v>
      </c>
      <c r="I149" s="194"/>
      <c r="J149" s="194"/>
      <c r="K149" s="194"/>
      <c r="M149" s="197" t="s">
        <v>575</v>
      </c>
      <c r="N149" s="198" t="s">
        <v>576</v>
      </c>
      <c r="O149" s="199">
        <v>330652</v>
      </c>
      <c r="P149" s="199">
        <v>330652</v>
      </c>
      <c r="Q149" s="199">
        <v>330652</v>
      </c>
      <c r="R149" s="199">
        <v>330652</v>
      </c>
      <c r="S149" s="199">
        <v>330652</v>
      </c>
      <c r="T149" s="199">
        <v>330652</v>
      </c>
      <c r="U149" s="199">
        <v>330652</v>
      </c>
      <c r="V149" s="200">
        <v>330652.13583330001</v>
      </c>
      <c r="W149" s="200">
        <v>330652.13583330001</v>
      </c>
      <c r="X149" s="200">
        <v>330652.13583330001</v>
      </c>
      <c r="Y149" s="200">
        <v>330652.13583330001</v>
      </c>
      <c r="Z149" s="200">
        <v>330652.13583330001</v>
      </c>
      <c r="AA149" s="199">
        <v>3967824.6791665009</v>
      </c>
    </row>
    <row r="150" spans="7:27" ht="15" customHeight="1" x14ac:dyDescent="0.25">
      <c r="G150" s="191" t="s">
        <v>217</v>
      </c>
      <c r="H150" s="191" t="s">
        <v>217</v>
      </c>
      <c r="I150" s="194"/>
      <c r="J150" s="194"/>
      <c r="K150" s="194"/>
      <c r="M150" s="197" t="s">
        <v>359</v>
      </c>
      <c r="N150" s="198" t="s">
        <v>360</v>
      </c>
      <c r="O150" s="199">
        <v>30160</v>
      </c>
      <c r="P150" s="199">
        <v>30160</v>
      </c>
      <c r="Q150" s="199">
        <v>30160</v>
      </c>
      <c r="R150" s="199">
        <v>30160</v>
      </c>
      <c r="S150" s="199">
        <v>30160</v>
      </c>
      <c r="T150" s="199">
        <v>30160</v>
      </c>
      <c r="U150" s="199">
        <v>30160</v>
      </c>
      <c r="V150" s="200">
        <v>30160</v>
      </c>
      <c r="W150" s="200">
        <v>30160</v>
      </c>
      <c r="X150" s="200">
        <v>30160</v>
      </c>
      <c r="Y150" s="200">
        <v>30160</v>
      </c>
      <c r="Z150" s="200">
        <v>30163</v>
      </c>
      <c r="AA150" s="199">
        <v>361923</v>
      </c>
    </row>
    <row r="151" spans="7:27" ht="15" customHeight="1" x14ac:dyDescent="0.25">
      <c r="G151" s="191" t="s">
        <v>217</v>
      </c>
      <c r="H151" s="191" t="s">
        <v>217</v>
      </c>
      <c r="I151" s="194"/>
      <c r="J151" s="194"/>
      <c r="K151" s="194"/>
      <c r="M151" s="197" t="s">
        <v>361</v>
      </c>
      <c r="N151" s="198" t="s">
        <v>362</v>
      </c>
      <c r="O151" s="199">
        <v>547547</v>
      </c>
      <c r="P151" s="199">
        <v>547547</v>
      </c>
      <c r="Q151" s="199">
        <v>547547</v>
      </c>
      <c r="R151" s="199">
        <v>547547</v>
      </c>
      <c r="S151" s="199">
        <v>547547</v>
      </c>
      <c r="T151" s="199">
        <v>547547</v>
      </c>
      <c r="U151" s="199">
        <v>547547</v>
      </c>
      <c r="V151" s="200">
        <v>547547</v>
      </c>
      <c r="W151" s="200">
        <v>547547</v>
      </c>
      <c r="X151" s="200">
        <v>547547</v>
      </c>
      <c r="Y151" s="200">
        <v>547547</v>
      </c>
      <c r="Z151" s="200">
        <v>547541</v>
      </c>
      <c r="AA151" s="199">
        <v>6570558</v>
      </c>
    </row>
    <row r="152" spans="7:27" ht="15" customHeight="1" x14ac:dyDescent="0.25">
      <c r="G152" s="191" t="s">
        <v>217</v>
      </c>
      <c r="H152" s="191" t="s">
        <v>217</v>
      </c>
      <c r="I152" s="194"/>
      <c r="J152" s="194"/>
      <c r="K152" s="194"/>
      <c r="M152" s="197" t="s">
        <v>577</v>
      </c>
      <c r="N152" s="198" t="s">
        <v>578</v>
      </c>
      <c r="O152" s="199">
        <v>850373</v>
      </c>
      <c r="P152" s="199">
        <v>850373</v>
      </c>
      <c r="Q152" s="199">
        <v>850373</v>
      </c>
      <c r="R152" s="199">
        <v>850373</v>
      </c>
      <c r="S152" s="199">
        <v>850373</v>
      </c>
      <c r="T152" s="199">
        <v>850373</v>
      </c>
      <c r="U152" s="199">
        <v>850373</v>
      </c>
      <c r="V152" s="200">
        <v>850373</v>
      </c>
      <c r="W152" s="200">
        <v>850373</v>
      </c>
      <c r="X152" s="200">
        <v>850373</v>
      </c>
      <c r="Y152" s="200">
        <v>850373</v>
      </c>
      <c r="Z152" s="200">
        <v>850372</v>
      </c>
      <c r="AA152" s="199">
        <v>10204475</v>
      </c>
    </row>
    <row r="153" spans="7:27" ht="15" customHeight="1" x14ac:dyDescent="0.25">
      <c r="G153" s="191" t="s">
        <v>217</v>
      </c>
      <c r="H153" s="191" t="s">
        <v>217</v>
      </c>
      <c r="I153" s="194"/>
      <c r="J153" s="194"/>
      <c r="K153" s="194"/>
      <c r="M153" s="195" t="s">
        <v>363</v>
      </c>
      <c r="N153" s="196" t="s">
        <v>364</v>
      </c>
      <c r="O153" s="196">
        <v>2276057.7999999998</v>
      </c>
      <c r="P153" s="196">
        <v>1666554.75</v>
      </c>
      <c r="Q153" s="196">
        <v>12363550.74</v>
      </c>
      <c r="R153" s="196">
        <v>5989453.4199999999</v>
      </c>
      <c r="S153" s="196">
        <v>11482981.83</v>
      </c>
      <c r="T153" s="196">
        <v>15944499.24</v>
      </c>
      <c r="U153" s="196">
        <v>6858396.8899999997</v>
      </c>
      <c r="V153" s="196">
        <v>6586357.5354314996</v>
      </c>
      <c r="W153" s="196">
        <v>-3392047.1991996998</v>
      </c>
      <c r="X153" s="196">
        <v>-1434138.6180741</v>
      </c>
      <c r="Y153" s="196">
        <v>-13841215.8313953</v>
      </c>
      <c r="Z153" s="196">
        <v>4804032.6879992001</v>
      </c>
      <c r="AA153" s="196">
        <v>49304483.244761601</v>
      </c>
    </row>
    <row r="154" spans="7:27" ht="15" customHeight="1" x14ac:dyDescent="0.25">
      <c r="G154" s="191" t="s">
        <v>217</v>
      </c>
      <c r="H154" s="191" t="s">
        <v>217</v>
      </c>
      <c r="I154" s="194"/>
      <c r="J154" s="194"/>
      <c r="K154" s="194"/>
      <c r="M154" s="195" t="s">
        <v>365</v>
      </c>
      <c r="N154" s="196" t="s">
        <v>366</v>
      </c>
      <c r="O154" s="196">
        <v>-2256827</v>
      </c>
      <c r="P154" s="196">
        <v>-3449709</v>
      </c>
      <c r="Q154" s="196">
        <v>8184181</v>
      </c>
      <c r="R154" s="196">
        <v>1675112</v>
      </c>
      <c r="S154" s="196">
        <v>7596114</v>
      </c>
      <c r="T154" s="196">
        <v>12098681</v>
      </c>
      <c r="U154" s="196">
        <v>2043726</v>
      </c>
      <c r="V154" s="196">
        <v>2950000</v>
      </c>
      <c r="W154" s="196">
        <v>-6950000</v>
      </c>
      <c r="X154" s="196">
        <v>-5300000</v>
      </c>
      <c r="Y154" s="196">
        <v>-17400000</v>
      </c>
      <c r="Z154" s="196">
        <v>1100000</v>
      </c>
      <c r="AA154" s="196">
        <v>291278</v>
      </c>
    </row>
    <row r="155" spans="7:27" ht="15" customHeight="1" x14ac:dyDescent="0.25">
      <c r="G155" s="191" t="s">
        <v>217</v>
      </c>
      <c r="H155" s="191" t="s">
        <v>217</v>
      </c>
      <c r="I155" s="194"/>
      <c r="J155" s="194"/>
      <c r="K155" s="194"/>
      <c r="M155" s="197" t="s">
        <v>367</v>
      </c>
      <c r="N155" s="198" t="s">
        <v>368</v>
      </c>
      <c r="O155" s="199">
        <v>-2256827</v>
      </c>
      <c r="P155" s="199">
        <v>-3449709</v>
      </c>
      <c r="Q155" s="199">
        <v>8184181</v>
      </c>
      <c r="R155" s="199">
        <v>1675112</v>
      </c>
      <c r="S155" s="199">
        <v>7596114</v>
      </c>
      <c r="T155" s="199">
        <v>12098681</v>
      </c>
      <c r="U155" s="199">
        <v>2043726</v>
      </c>
      <c r="V155" s="200">
        <v>2950000</v>
      </c>
      <c r="W155" s="200">
        <v>-6950000</v>
      </c>
      <c r="X155" s="200">
        <v>-5300000</v>
      </c>
      <c r="Y155" s="200">
        <v>-17400000</v>
      </c>
      <c r="Z155" s="200">
        <v>1100000</v>
      </c>
      <c r="AA155" s="199">
        <v>291278</v>
      </c>
    </row>
    <row r="156" spans="7:27" ht="15" customHeight="1" x14ac:dyDescent="0.25">
      <c r="G156" s="191" t="s">
        <v>217</v>
      </c>
      <c r="H156" s="191" t="s">
        <v>217</v>
      </c>
      <c r="I156" s="194"/>
      <c r="J156" s="194"/>
      <c r="K156" s="194"/>
      <c r="M156" s="195" t="s">
        <v>369</v>
      </c>
      <c r="N156" s="196" t="s">
        <v>370</v>
      </c>
      <c r="O156" s="196">
        <v>535871.04</v>
      </c>
      <c r="P156" s="196">
        <v>696274.09</v>
      </c>
      <c r="Q156" s="196">
        <v>437272.12</v>
      </c>
      <c r="R156" s="196">
        <v>932885.48</v>
      </c>
      <c r="S156" s="196">
        <v>77694.460000000006</v>
      </c>
      <c r="T156" s="196">
        <v>105419.26</v>
      </c>
      <c r="U156" s="196">
        <v>1021618.13</v>
      </c>
      <c r="V156" s="196">
        <v>117739.9999997</v>
      </c>
      <c r="W156" s="196">
        <v>146052.9999997</v>
      </c>
      <c r="X156" s="196">
        <v>119681.60000000001</v>
      </c>
      <c r="Y156" s="196">
        <v>154326</v>
      </c>
      <c r="Z156" s="196">
        <v>136664</v>
      </c>
      <c r="AA156" s="196">
        <v>4481499.1799993999</v>
      </c>
    </row>
    <row r="157" spans="7:27" ht="15" customHeight="1" x14ac:dyDescent="0.25">
      <c r="G157" s="191" t="s">
        <v>217</v>
      </c>
      <c r="H157" s="191" t="s">
        <v>217</v>
      </c>
      <c r="I157" s="194"/>
      <c r="J157" s="194"/>
      <c r="K157" s="194"/>
      <c r="M157" s="197" t="s">
        <v>371</v>
      </c>
      <c r="N157" s="198" t="s">
        <v>372</v>
      </c>
      <c r="O157" s="199">
        <v>394538.25</v>
      </c>
      <c r="P157" s="199">
        <v>470296.32000000001</v>
      </c>
      <c r="Q157" s="199">
        <v>302690.93</v>
      </c>
      <c r="R157" s="199">
        <v>163305.98000000001</v>
      </c>
      <c r="S157" s="199">
        <v>73464.800000000003</v>
      </c>
      <c r="T157" s="199">
        <v>78886.649999999994</v>
      </c>
      <c r="U157" s="199">
        <v>667463.93000000005</v>
      </c>
      <c r="V157" s="200">
        <v>115878.9999997</v>
      </c>
      <c r="W157" s="200">
        <v>144146.9999997</v>
      </c>
      <c r="X157" s="200">
        <v>118017.60000000001</v>
      </c>
      <c r="Y157" s="200">
        <v>151547</v>
      </c>
      <c r="Z157" s="200">
        <v>133935</v>
      </c>
      <c r="AA157" s="199">
        <v>2814172.4599994002</v>
      </c>
    </row>
    <row r="158" spans="7:27" ht="15" customHeight="1" x14ac:dyDescent="0.25">
      <c r="G158" s="191" t="s">
        <v>217</v>
      </c>
      <c r="H158" s="191" t="s">
        <v>217</v>
      </c>
      <c r="I158" s="194"/>
      <c r="J158" s="194"/>
      <c r="K158" s="194"/>
      <c r="M158" s="197" t="s">
        <v>579</v>
      </c>
      <c r="N158" s="198" t="s">
        <v>580</v>
      </c>
      <c r="O158" s="199">
        <v>17258.63</v>
      </c>
      <c r="P158" s="199">
        <v>44587.14</v>
      </c>
      <c r="Q158" s="199">
        <v>22717.42</v>
      </c>
      <c r="R158" s="199">
        <v>68027.08</v>
      </c>
      <c r="S158" s="199">
        <v>4229.66</v>
      </c>
      <c r="T158" s="199">
        <v>4016.21</v>
      </c>
      <c r="U158" s="199">
        <v>32989.75</v>
      </c>
      <c r="V158" s="200">
        <v>0</v>
      </c>
      <c r="W158" s="200">
        <v>0</v>
      </c>
      <c r="X158" s="200">
        <v>0</v>
      </c>
      <c r="Y158" s="200">
        <v>0</v>
      </c>
      <c r="Z158" s="200">
        <v>0</v>
      </c>
      <c r="AA158" s="199">
        <v>193825.89</v>
      </c>
    </row>
    <row r="159" spans="7:27" ht="15" customHeight="1" x14ac:dyDescent="0.25">
      <c r="G159" s="191" t="s">
        <v>217</v>
      </c>
      <c r="H159" s="191" t="s">
        <v>217</v>
      </c>
      <c r="I159" s="194"/>
      <c r="J159" s="194"/>
      <c r="K159" s="194"/>
      <c r="M159" s="197" t="s">
        <v>373</v>
      </c>
      <c r="N159" s="198" t="s">
        <v>374</v>
      </c>
      <c r="O159" s="199">
        <v>124074.16</v>
      </c>
      <c r="P159" s="199">
        <v>181390.63</v>
      </c>
      <c r="Q159" s="199">
        <v>111863.77</v>
      </c>
      <c r="R159" s="199">
        <v>701552.42</v>
      </c>
      <c r="S159" s="199">
        <v>0</v>
      </c>
      <c r="T159" s="199">
        <v>22516.400000000001</v>
      </c>
      <c r="U159" s="199">
        <v>321164.45</v>
      </c>
      <c r="V159" s="200">
        <v>1861</v>
      </c>
      <c r="W159" s="200">
        <v>1906</v>
      </c>
      <c r="X159" s="200">
        <v>1664</v>
      </c>
      <c r="Y159" s="200">
        <v>2779</v>
      </c>
      <c r="Z159" s="200">
        <v>2729</v>
      </c>
      <c r="AA159" s="199">
        <v>1473500.8299999998</v>
      </c>
    </row>
    <row r="160" spans="7:27" ht="15" customHeight="1" x14ac:dyDescent="0.25">
      <c r="G160" s="191" t="s">
        <v>217</v>
      </c>
      <c r="H160" s="191" t="s">
        <v>217</v>
      </c>
      <c r="I160" s="194"/>
      <c r="J160" s="194"/>
      <c r="K160" s="194"/>
      <c r="M160" s="195" t="s">
        <v>375</v>
      </c>
      <c r="N160" s="196" t="s">
        <v>376</v>
      </c>
      <c r="O160" s="196">
        <v>1715825.84</v>
      </c>
      <c r="P160" s="196">
        <v>1604099.15</v>
      </c>
      <c r="Q160" s="196">
        <v>1621857.39</v>
      </c>
      <c r="R160" s="196">
        <v>1158858.3999999999</v>
      </c>
      <c r="S160" s="196">
        <v>1605854.81</v>
      </c>
      <c r="T160" s="196">
        <v>1721124.42</v>
      </c>
      <c r="U160" s="196">
        <v>1701640.16</v>
      </c>
      <c r="V160" s="196">
        <v>1550173.1882031001</v>
      </c>
      <c r="W160" s="196">
        <v>1559832.1882031001</v>
      </c>
      <c r="X160" s="196">
        <v>1559891.1882031001</v>
      </c>
      <c r="Y160" s="196">
        <v>1560255.1882031001</v>
      </c>
      <c r="Z160" s="196">
        <v>1560621.1882031001</v>
      </c>
      <c r="AA160" s="196">
        <v>18920033.111015502</v>
      </c>
    </row>
    <row r="161" spans="7:27" ht="15" customHeight="1" x14ac:dyDescent="0.25">
      <c r="G161" s="191" t="s">
        <v>217</v>
      </c>
      <c r="H161" s="191" t="s">
        <v>217</v>
      </c>
      <c r="I161" s="194"/>
      <c r="J161" s="194"/>
      <c r="K161" s="194"/>
      <c r="M161" s="197" t="s">
        <v>377</v>
      </c>
      <c r="N161" s="198" t="s">
        <v>378</v>
      </c>
      <c r="O161" s="199">
        <v>8300.99</v>
      </c>
      <c r="P161" s="199">
        <v>7137.87</v>
      </c>
      <c r="Q161" s="199">
        <v>8632.0499999999993</v>
      </c>
      <c r="R161" s="199">
        <v>8412.5400000000009</v>
      </c>
      <c r="S161" s="199">
        <v>8581.39</v>
      </c>
      <c r="T161" s="199">
        <v>7806.96</v>
      </c>
      <c r="U161" s="199">
        <v>8574.36</v>
      </c>
      <c r="V161" s="200">
        <v>8577</v>
      </c>
      <c r="W161" s="200">
        <v>8664</v>
      </c>
      <c r="X161" s="200">
        <v>8750</v>
      </c>
      <c r="Y161" s="200">
        <v>8837</v>
      </c>
      <c r="Z161" s="200">
        <v>8926</v>
      </c>
      <c r="AA161" s="199">
        <v>101200.16</v>
      </c>
    </row>
    <row r="162" spans="7:27" ht="15" customHeight="1" x14ac:dyDescent="0.25">
      <c r="G162" s="191" t="s">
        <v>217</v>
      </c>
      <c r="H162" s="191" t="s">
        <v>217</v>
      </c>
      <c r="I162" s="194"/>
      <c r="J162" s="194"/>
      <c r="K162" s="194"/>
      <c r="M162" s="197" t="s">
        <v>379</v>
      </c>
      <c r="N162" s="198" t="s">
        <v>380</v>
      </c>
      <c r="O162" s="199">
        <v>34800</v>
      </c>
      <c r="P162" s="199">
        <v>33270</v>
      </c>
      <c r="Q162" s="199">
        <v>39130</v>
      </c>
      <c r="R162" s="199">
        <v>34180</v>
      </c>
      <c r="S162" s="199">
        <v>43405</v>
      </c>
      <c r="T162" s="199">
        <v>52020</v>
      </c>
      <c r="U162" s="199">
        <v>47560</v>
      </c>
      <c r="V162" s="200">
        <v>45600</v>
      </c>
      <c r="W162" s="200">
        <v>54872</v>
      </c>
      <c r="X162" s="200">
        <v>55145</v>
      </c>
      <c r="Y162" s="200">
        <v>55422</v>
      </c>
      <c r="Z162" s="200">
        <v>55699</v>
      </c>
      <c r="AA162" s="199">
        <v>551103</v>
      </c>
    </row>
    <row r="163" spans="7:27" ht="15" customHeight="1" x14ac:dyDescent="0.25">
      <c r="G163" s="191" t="s">
        <v>217</v>
      </c>
      <c r="H163" s="191" t="s">
        <v>217</v>
      </c>
      <c r="I163" s="194"/>
      <c r="J163" s="194"/>
      <c r="K163" s="194"/>
      <c r="M163" s="197" t="s">
        <v>381</v>
      </c>
      <c r="N163" s="198" t="s">
        <v>382</v>
      </c>
      <c r="O163" s="199">
        <v>3860</v>
      </c>
      <c r="P163" s="199">
        <v>4630</v>
      </c>
      <c r="Q163" s="199">
        <v>4260</v>
      </c>
      <c r="R163" s="199">
        <v>10360</v>
      </c>
      <c r="S163" s="199">
        <v>5740</v>
      </c>
      <c r="T163" s="199">
        <v>6810</v>
      </c>
      <c r="U163" s="199">
        <v>13250</v>
      </c>
      <c r="V163" s="200">
        <v>0</v>
      </c>
      <c r="W163" s="200">
        <v>300</v>
      </c>
      <c r="X163" s="200">
        <v>0</v>
      </c>
      <c r="Y163" s="200">
        <v>0</v>
      </c>
      <c r="Z163" s="200">
        <v>0</v>
      </c>
      <c r="AA163" s="199">
        <v>49210</v>
      </c>
    </row>
    <row r="164" spans="7:27" ht="15" customHeight="1" x14ac:dyDescent="0.25">
      <c r="G164" s="191" t="s">
        <v>217</v>
      </c>
      <c r="H164" s="191" t="s">
        <v>217</v>
      </c>
      <c r="I164" s="194"/>
      <c r="J164" s="194"/>
      <c r="K164" s="194"/>
      <c r="M164" s="197" t="s">
        <v>383</v>
      </c>
      <c r="N164" s="198" t="s">
        <v>384</v>
      </c>
      <c r="O164" s="199">
        <v>0</v>
      </c>
      <c r="P164" s="199">
        <v>185</v>
      </c>
      <c r="Q164" s="199">
        <v>925</v>
      </c>
      <c r="R164" s="199">
        <v>370</v>
      </c>
      <c r="S164" s="199">
        <v>370</v>
      </c>
      <c r="T164" s="199">
        <v>370</v>
      </c>
      <c r="U164" s="199">
        <v>925</v>
      </c>
      <c r="V164" s="200">
        <v>555</v>
      </c>
      <c r="W164" s="200">
        <v>555</v>
      </c>
      <c r="X164" s="200">
        <v>555</v>
      </c>
      <c r="Y164" s="200">
        <v>555</v>
      </c>
      <c r="Z164" s="200">
        <v>555</v>
      </c>
      <c r="AA164" s="199">
        <v>5920</v>
      </c>
    </row>
    <row r="165" spans="7:27" ht="15" customHeight="1" x14ac:dyDescent="0.25">
      <c r="G165" s="191" t="s">
        <v>217</v>
      </c>
      <c r="H165" s="191" t="s">
        <v>217</v>
      </c>
      <c r="I165" s="194"/>
      <c r="J165" s="194"/>
      <c r="K165" s="194"/>
      <c r="M165" s="197" t="s">
        <v>385</v>
      </c>
      <c r="N165" s="198" t="s">
        <v>386</v>
      </c>
      <c r="O165" s="199">
        <v>97216</v>
      </c>
      <c r="P165" s="199">
        <v>100348.52</v>
      </c>
      <c r="Q165" s="199">
        <v>122292</v>
      </c>
      <c r="R165" s="199">
        <v>98798</v>
      </c>
      <c r="S165" s="199">
        <v>118492</v>
      </c>
      <c r="T165" s="199">
        <v>126874</v>
      </c>
      <c r="U165" s="199">
        <v>114904</v>
      </c>
      <c r="V165" s="200">
        <v>124074</v>
      </c>
      <c r="W165" s="200">
        <v>124074</v>
      </c>
      <c r="X165" s="200">
        <v>124074</v>
      </c>
      <c r="Y165" s="200">
        <v>124074</v>
      </c>
      <c r="Z165" s="200">
        <v>124074</v>
      </c>
      <c r="AA165" s="199">
        <v>1399294.52</v>
      </c>
    </row>
    <row r="166" spans="7:27" ht="15" customHeight="1" x14ac:dyDescent="0.25">
      <c r="G166" s="191" t="s">
        <v>217</v>
      </c>
      <c r="H166" s="191" t="s">
        <v>217</v>
      </c>
      <c r="I166" s="194"/>
      <c r="J166" s="194"/>
      <c r="K166" s="194"/>
      <c r="M166" s="197" t="s">
        <v>387</v>
      </c>
      <c r="N166" s="198" t="s">
        <v>388</v>
      </c>
      <c r="O166" s="199">
        <v>150744</v>
      </c>
      <c r="P166" s="199">
        <v>153984</v>
      </c>
      <c r="Q166" s="199">
        <v>200328</v>
      </c>
      <c r="R166" s="199">
        <v>157512</v>
      </c>
      <c r="S166" s="199">
        <v>183456</v>
      </c>
      <c r="T166" s="199">
        <v>187152</v>
      </c>
      <c r="U166" s="199">
        <v>125916</v>
      </c>
      <c r="V166" s="200">
        <v>125000</v>
      </c>
      <c r="W166" s="200">
        <v>125000</v>
      </c>
      <c r="X166" s="200">
        <v>125000</v>
      </c>
      <c r="Y166" s="200">
        <v>125000</v>
      </c>
      <c r="Z166" s="200">
        <v>125000</v>
      </c>
      <c r="AA166" s="199">
        <v>1784092</v>
      </c>
    </row>
    <row r="167" spans="7:27" ht="15" customHeight="1" x14ac:dyDescent="0.25">
      <c r="G167" s="191" t="s">
        <v>217</v>
      </c>
      <c r="H167" s="191" t="s">
        <v>217</v>
      </c>
      <c r="I167" s="194"/>
      <c r="J167" s="194"/>
      <c r="K167" s="194"/>
      <c r="M167" s="197" t="s">
        <v>389</v>
      </c>
      <c r="N167" s="198" t="s">
        <v>390</v>
      </c>
      <c r="O167" s="199">
        <v>1100451.23</v>
      </c>
      <c r="P167" s="199">
        <v>987898.03</v>
      </c>
      <c r="Q167" s="199">
        <v>905185.82</v>
      </c>
      <c r="R167" s="199">
        <v>915133.21</v>
      </c>
      <c r="S167" s="199">
        <v>936618.12</v>
      </c>
      <c r="T167" s="199">
        <v>1010341.08</v>
      </c>
      <c r="U167" s="199">
        <v>1055983.07</v>
      </c>
      <c r="V167" s="200">
        <v>961178.31802610005</v>
      </c>
      <c r="W167" s="200">
        <v>961178.31802610005</v>
      </c>
      <c r="X167" s="200">
        <v>961178.31802610005</v>
      </c>
      <c r="Y167" s="200">
        <v>961178.31802610005</v>
      </c>
      <c r="Z167" s="200">
        <v>961178.31802610005</v>
      </c>
      <c r="AA167" s="199">
        <v>11717502.150130499</v>
      </c>
    </row>
    <row r="168" spans="7:27" ht="15" customHeight="1" x14ac:dyDescent="0.25">
      <c r="G168" s="191" t="s">
        <v>217</v>
      </c>
      <c r="H168" s="191" t="s">
        <v>217</v>
      </c>
      <c r="I168" s="194"/>
      <c r="J168" s="194"/>
      <c r="K168" s="194"/>
      <c r="M168" s="197" t="s">
        <v>391</v>
      </c>
      <c r="N168" s="198" t="s">
        <v>392</v>
      </c>
      <c r="O168" s="199">
        <v>142352</v>
      </c>
      <c r="P168" s="199">
        <v>132943</v>
      </c>
      <c r="Q168" s="199">
        <v>152552</v>
      </c>
      <c r="R168" s="199">
        <v>98448</v>
      </c>
      <c r="S168" s="199">
        <v>127792</v>
      </c>
      <c r="T168" s="199">
        <v>108501</v>
      </c>
      <c r="U168" s="199">
        <v>137088</v>
      </c>
      <c r="V168" s="200">
        <v>170674</v>
      </c>
      <c r="W168" s="200">
        <v>170674</v>
      </c>
      <c r="X168" s="200">
        <v>170674</v>
      </c>
      <c r="Y168" s="200">
        <v>170674</v>
      </c>
      <c r="Z168" s="200">
        <v>170674</v>
      </c>
      <c r="AA168" s="199">
        <v>1753046</v>
      </c>
    </row>
    <row r="169" spans="7:27" ht="15" customHeight="1" x14ac:dyDescent="0.25">
      <c r="G169" s="191" t="s">
        <v>217</v>
      </c>
      <c r="H169" s="191" t="s">
        <v>217</v>
      </c>
      <c r="I169" s="194"/>
      <c r="J169" s="194"/>
      <c r="K169" s="194"/>
      <c r="M169" s="197" t="s">
        <v>393</v>
      </c>
      <c r="N169" s="198" t="s">
        <v>394</v>
      </c>
      <c r="O169" s="199">
        <v>32350</v>
      </c>
      <c r="P169" s="199">
        <v>32000</v>
      </c>
      <c r="Q169" s="199">
        <v>41280</v>
      </c>
      <c r="R169" s="199">
        <v>30400</v>
      </c>
      <c r="S169" s="199">
        <v>37120</v>
      </c>
      <c r="T169" s="199">
        <v>35840</v>
      </c>
      <c r="U169" s="199">
        <v>24320</v>
      </c>
      <c r="V169" s="200">
        <v>25000</v>
      </c>
      <c r="W169" s="200">
        <v>25000</v>
      </c>
      <c r="X169" s="200">
        <v>25000</v>
      </c>
      <c r="Y169" s="200">
        <v>25000</v>
      </c>
      <c r="Z169" s="200">
        <v>25000</v>
      </c>
      <c r="AA169" s="199">
        <v>358310</v>
      </c>
    </row>
    <row r="170" spans="7:27" ht="15" customHeight="1" x14ac:dyDescent="0.25">
      <c r="G170" s="191" t="s">
        <v>217</v>
      </c>
      <c r="H170" s="191" t="s">
        <v>217</v>
      </c>
      <c r="I170" s="194"/>
      <c r="J170" s="194"/>
      <c r="K170" s="194"/>
      <c r="M170" s="197" t="s">
        <v>395</v>
      </c>
      <c r="N170" s="198" t="s">
        <v>396</v>
      </c>
      <c r="O170" s="199">
        <v>400</v>
      </c>
      <c r="P170" s="199">
        <v>962</v>
      </c>
      <c r="Q170" s="199">
        <v>1150</v>
      </c>
      <c r="R170" s="199">
        <v>505</v>
      </c>
      <c r="S170" s="199">
        <v>600</v>
      </c>
      <c r="T170" s="199">
        <v>1100</v>
      </c>
      <c r="U170" s="199">
        <v>1450</v>
      </c>
      <c r="V170" s="200">
        <v>941.74199999999996</v>
      </c>
      <c r="W170" s="200">
        <v>941.74199999999996</v>
      </c>
      <c r="X170" s="200">
        <v>941.74199999999996</v>
      </c>
      <c r="Y170" s="200">
        <v>941.74199999999996</v>
      </c>
      <c r="Z170" s="200">
        <v>941.74199999999996</v>
      </c>
      <c r="AA170" s="199">
        <v>10875.710000000001</v>
      </c>
    </row>
    <row r="171" spans="7:27" ht="15" customHeight="1" x14ac:dyDescent="0.25">
      <c r="G171" s="191" t="s">
        <v>217</v>
      </c>
      <c r="H171" s="191" t="s">
        <v>217</v>
      </c>
      <c r="I171" s="194"/>
      <c r="J171" s="194"/>
      <c r="K171" s="194"/>
      <c r="M171" s="197" t="s">
        <v>397</v>
      </c>
      <c r="N171" s="198" t="s">
        <v>398</v>
      </c>
      <c r="O171" s="199">
        <v>138583.39000000001</v>
      </c>
      <c r="P171" s="199">
        <v>121870.52</v>
      </c>
      <c r="Q171" s="199">
        <v>136613.26</v>
      </c>
      <c r="R171" s="199">
        <v>122836.57</v>
      </c>
      <c r="S171" s="199">
        <v>140334.01999999999</v>
      </c>
      <c r="T171" s="199">
        <v>176691.98</v>
      </c>
      <c r="U171" s="199">
        <v>169756.78</v>
      </c>
      <c r="V171" s="200">
        <v>85753.128177000006</v>
      </c>
      <c r="W171" s="200">
        <v>85753.128177000006</v>
      </c>
      <c r="X171" s="200">
        <v>85753.128177000006</v>
      </c>
      <c r="Y171" s="200">
        <v>85753.128177000006</v>
      </c>
      <c r="Z171" s="200">
        <v>85753.128177000006</v>
      </c>
      <c r="AA171" s="199">
        <v>1435452.1608849999</v>
      </c>
    </row>
    <row r="172" spans="7:27" ht="15" customHeight="1" x14ac:dyDescent="0.25">
      <c r="G172" s="191" t="s">
        <v>217</v>
      </c>
      <c r="H172" s="191" t="s">
        <v>217</v>
      </c>
      <c r="I172" s="194"/>
      <c r="J172" s="194"/>
      <c r="K172" s="194"/>
      <c r="M172" s="197" t="s">
        <v>399</v>
      </c>
      <c r="N172" s="198" t="s">
        <v>400</v>
      </c>
      <c r="O172" s="199">
        <v>7550</v>
      </c>
      <c r="P172" s="199">
        <v>5625</v>
      </c>
      <c r="Q172" s="199">
        <v>4975</v>
      </c>
      <c r="R172" s="199">
        <v>1500</v>
      </c>
      <c r="S172" s="199">
        <v>1150</v>
      </c>
      <c r="T172" s="199">
        <v>3000</v>
      </c>
      <c r="U172" s="199">
        <v>2750</v>
      </c>
      <c r="V172" s="200">
        <v>2820</v>
      </c>
      <c r="W172" s="200">
        <v>2820</v>
      </c>
      <c r="X172" s="200">
        <v>2820</v>
      </c>
      <c r="Y172" s="200">
        <v>2820</v>
      </c>
      <c r="Z172" s="200">
        <v>2820</v>
      </c>
      <c r="AA172" s="199">
        <v>40650</v>
      </c>
    </row>
    <row r="173" spans="7:27" ht="15" customHeight="1" x14ac:dyDescent="0.25">
      <c r="G173" s="191" t="s">
        <v>217</v>
      </c>
      <c r="H173" s="191" t="s">
        <v>217</v>
      </c>
      <c r="I173" s="194"/>
      <c r="J173" s="194"/>
      <c r="K173" s="194"/>
      <c r="M173" s="197" t="s">
        <v>581</v>
      </c>
      <c r="N173" s="198" t="s">
        <v>582</v>
      </c>
      <c r="O173" s="199">
        <v>-781.77</v>
      </c>
      <c r="P173" s="199">
        <v>23245.21</v>
      </c>
      <c r="Q173" s="199">
        <v>4534.26</v>
      </c>
      <c r="R173" s="199">
        <v>-319596.92</v>
      </c>
      <c r="S173" s="199">
        <v>2196.2800000000002</v>
      </c>
      <c r="T173" s="199">
        <v>4617.3999999999996</v>
      </c>
      <c r="U173" s="199">
        <v>-837.05</v>
      </c>
      <c r="V173" s="200">
        <v>0</v>
      </c>
      <c r="W173" s="200">
        <v>0</v>
      </c>
      <c r="X173" s="200">
        <v>0</v>
      </c>
      <c r="Y173" s="200">
        <v>0</v>
      </c>
      <c r="Z173" s="200">
        <v>0</v>
      </c>
      <c r="AA173" s="199">
        <v>-286622.58999999991</v>
      </c>
    </row>
    <row r="174" spans="7:27" ht="15" customHeight="1" x14ac:dyDescent="0.25">
      <c r="G174" s="191" t="s">
        <v>217</v>
      </c>
      <c r="H174" s="191" t="s">
        <v>217</v>
      </c>
      <c r="I174" s="194"/>
      <c r="J174" s="194"/>
      <c r="K174" s="194"/>
      <c r="M174" s="195" t="s">
        <v>401</v>
      </c>
      <c r="N174" s="196" t="s">
        <v>402</v>
      </c>
      <c r="O174" s="196">
        <v>1112300.6399999999</v>
      </c>
      <c r="P174" s="196">
        <v>1567837.17</v>
      </c>
      <c r="Q174" s="196">
        <v>1169298.29</v>
      </c>
      <c r="R174" s="196">
        <v>1199256.56</v>
      </c>
      <c r="S174" s="196">
        <v>932452.15</v>
      </c>
      <c r="T174" s="196">
        <v>1274322.3899999999</v>
      </c>
      <c r="U174" s="196">
        <v>1173248.8400000001</v>
      </c>
      <c r="V174" s="196">
        <v>728817.66879999998</v>
      </c>
      <c r="W174" s="196">
        <v>643388.96880000003</v>
      </c>
      <c r="X174" s="196">
        <v>718242.37879999995</v>
      </c>
      <c r="Y174" s="196">
        <v>620425.32880000002</v>
      </c>
      <c r="Z174" s="196">
        <v>659761.72880000004</v>
      </c>
      <c r="AA174" s="196">
        <v>11799352.114000002</v>
      </c>
    </row>
    <row r="175" spans="7:27" ht="15" customHeight="1" x14ac:dyDescent="0.25">
      <c r="G175" s="191" t="s">
        <v>217</v>
      </c>
      <c r="H175" s="191" t="s">
        <v>217</v>
      </c>
      <c r="I175" s="194"/>
      <c r="J175" s="194"/>
      <c r="K175" s="194"/>
      <c r="M175" s="197" t="s">
        <v>403</v>
      </c>
      <c r="N175" s="198" t="s">
        <v>404</v>
      </c>
      <c r="O175" s="199">
        <v>27257.360000000001</v>
      </c>
      <c r="P175" s="199">
        <v>429504.7</v>
      </c>
      <c r="Q175" s="199">
        <v>19919.16</v>
      </c>
      <c r="R175" s="199">
        <v>33116.81</v>
      </c>
      <c r="S175" s="199">
        <v>242.32</v>
      </c>
      <c r="T175" s="199">
        <v>3546.98</v>
      </c>
      <c r="U175" s="199">
        <v>8249.41</v>
      </c>
      <c r="V175" s="200">
        <v>83768.539999999994</v>
      </c>
      <c r="W175" s="200">
        <v>18681.419999999998</v>
      </c>
      <c r="X175" s="200">
        <v>31949.83</v>
      </c>
      <c r="Y175" s="200">
        <v>23912.78</v>
      </c>
      <c r="Z175" s="200">
        <v>30360.18</v>
      </c>
      <c r="AA175" s="199">
        <v>710509.49</v>
      </c>
    </row>
    <row r="176" spans="7:27" ht="15" customHeight="1" x14ac:dyDescent="0.25">
      <c r="G176" s="191" t="s">
        <v>217</v>
      </c>
      <c r="H176" s="191" t="s">
        <v>217</v>
      </c>
      <c r="I176" s="194"/>
      <c r="J176" s="194"/>
      <c r="K176" s="194"/>
      <c r="M176" s="197" t="s">
        <v>405</v>
      </c>
      <c r="N176" s="198" t="s">
        <v>406</v>
      </c>
      <c r="O176" s="199">
        <v>3923</v>
      </c>
      <c r="P176" s="199">
        <v>360</v>
      </c>
      <c r="Q176" s="199">
        <v>368</v>
      </c>
      <c r="R176" s="199">
        <v>6521.8</v>
      </c>
      <c r="S176" s="199">
        <v>2125</v>
      </c>
      <c r="T176" s="199">
        <v>0</v>
      </c>
      <c r="U176" s="199">
        <v>0</v>
      </c>
      <c r="V176" s="200">
        <v>4511.58</v>
      </c>
      <c r="W176" s="200">
        <v>2180</v>
      </c>
      <c r="X176" s="200">
        <v>6170</v>
      </c>
      <c r="Y176" s="200">
        <v>530</v>
      </c>
      <c r="Z176" s="200">
        <v>100</v>
      </c>
      <c r="AA176" s="199">
        <v>26789.379999999997</v>
      </c>
    </row>
    <row r="177" spans="7:27" ht="15" customHeight="1" x14ac:dyDescent="0.25">
      <c r="G177" s="191" t="s">
        <v>217</v>
      </c>
      <c r="H177" s="191" t="s">
        <v>217</v>
      </c>
      <c r="I177" s="194"/>
      <c r="J177" s="194"/>
      <c r="K177" s="194"/>
      <c r="M177" s="197" t="s">
        <v>407</v>
      </c>
      <c r="N177" s="198" t="s">
        <v>408</v>
      </c>
      <c r="O177" s="199">
        <v>9913.81</v>
      </c>
      <c r="P177" s="199">
        <v>9913.81</v>
      </c>
      <c r="Q177" s="199">
        <v>9913.81</v>
      </c>
      <c r="R177" s="199">
        <v>9913.81</v>
      </c>
      <c r="S177" s="199">
        <v>9913.81</v>
      </c>
      <c r="T177" s="199">
        <v>9277.61</v>
      </c>
      <c r="U177" s="199">
        <v>10550.01</v>
      </c>
      <c r="V177" s="200">
        <v>9281.5488000000005</v>
      </c>
      <c r="W177" s="200">
        <v>9281.5488000000005</v>
      </c>
      <c r="X177" s="200">
        <v>9281.5488000000005</v>
      </c>
      <c r="Y177" s="200">
        <v>9281.5488000000005</v>
      </c>
      <c r="Z177" s="200">
        <v>9281.5488000000005</v>
      </c>
      <c r="AA177" s="199">
        <v>115804.41400000002</v>
      </c>
    </row>
    <row r="178" spans="7:27" ht="15" customHeight="1" x14ac:dyDescent="0.25">
      <c r="G178" s="191" t="s">
        <v>217</v>
      </c>
      <c r="H178" s="191" t="s">
        <v>217</v>
      </c>
      <c r="I178" s="194"/>
      <c r="J178" s="194"/>
      <c r="K178" s="194"/>
      <c r="M178" s="197" t="s">
        <v>409</v>
      </c>
      <c r="N178" s="198" t="s">
        <v>410</v>
      </c>
      <c r="O178" s="199">
        <v>389553.84</v>
      </c>
      <c r="P178" s="199">
        <v>389567.59</v>
      </c>
      <c r="Q178" s="199">
        <v>394005.8</v>
      </c>
      <c r="R178" s="199">
        <v>394005.8</v>
      </c>
      <c r="S178" s="199">
        <v>393098.83</v>
      </c>
      <c r="T178" s="199">
        <v>394912.76</v>
      </c>
      <c r="U178" s="199">
        <v>400817.32</v>
      </c>
      <c r="V178" s="200">
        <v>394056</v>
      </c>
      <c r="W178" s="200">
        <v>394056</v>
      </c>
      <c r="X178" s="200">
        <v>394056</v>
      </c>
      <c r="Y178" s="200">
        <v>394056</v>
      </c>
      <c r="Z178" s="200">
        <v>394056</v>
      </c>
      <c r="AA178" s="199">
        <v>4726241.9399999995</v>
      </c>
    </row>
    <row r="179" spans="7:27" ht="15" customHeight="1" x14ac:dyDescent="0.25">
      <c r="G179" s="191" t="s">
        <v>217</v>
      </c>
      <c r="H179" s="191" t="s">
        <v>217</v>
      </c>
      <c r="I179" s="194"/>
      <c r="J179" s="194"/>
      <c r="K179" s="194"/>
      <c r="M179" s="197" t="s">
        <v>411</v>
      </c>
      <c r="N179" s="198" t="s">
        <v>412</v>
      </c>
      <c r="O179" s="199">
        <v>16184.38</v>
      </c>
      <c r="P179" s="199">
        <v>16184.38</v>
      </c>
      <c r="Q179" s="199">
        <v>16184.38</v>
      </c>
      <c r="R179" s="199">
        <v>16184.38</v>
      </c>
      <c r="S179" s="199">
        <v>16184.38</v>
      </c>
      <c r="T179" s="199">
        <v>16184.38</v>
      </c>
      <c r="U179" s="199">
        <v>11763.99</v>
      </c>
      <c r="V179" s="200">
        <v>15660</v>
      </c>
      <c r="W179" s="200">
        <v>15660</v>
      </c>
      <c r="X179" s="200">
        <v>15660</v>
      </c>
      <c r="Y179" s="200">
        <v>15660</v>
      </c>
      <c r="Z179" s="200">
        <v>15660</v>
      </c>
      <c r="AA179" s="199">
        <v>187170.27000000002</v>
      </c>
    </row>
    <row r="180" spans="7:27" ht="15" customHeight="1" x14ac:dyDescent="0.25">
      <c r="G180" s="191" t="s">
        <v>217</v>
      </c>
      <c r="H180" s="191" t="s">
        <v>217</v>
      </c>
      <c r="I180" s="194"/>
      <c r="J180" s="194"/>
      <c r="K180" s="194"/>
      <c r="M180" s="197" t="s">
        <v>583</v>
      </c>
      <c r="N180" s="198" t="s">
        <v>584</v>
      </c>
      <c r="O180" s="199">
        <v>1464.47</v>
      </c>
      <c r="P180" s="199">
        <v>1464.47</v>
      </c>
      <c r="Q180" s="199">
        <v>1464.47</v>
      </c>
      <c r="R180" s="199">
        <v>1464.47</v>
      </c>
      <c r="S180" s="199">
        <v>1464.47</v>
      </c>
      <c r="T180" s="199">
        <v>1464.47</v>
      </c>
      <c r="U180" s="199">
        <v>1464.47</v>
      </c>
      <c r="V180" s="199">
        <v>0</v>
      </c>
      <c r="W180" s="199">
        <v>0</v>
      </c>
      <c r="X180" s="199">
        <v>0</v>
      </c>
      <c r="Y180" s="199">
        <v>0</v>
      </c>
      <c r="Z180" s="199">
        <v>0</v>
      </c>
      <c r="AA180" s="199">
        <v>10251.289999999999</v>
      </c>
    </row>
    <row r="181" spans="7:27" ht="15" customHeight="1" x14ac:dyDescent="0.25">
      <c r="G181" s="191" t="s">
        <v>217</v>
      </c>
      <c r="H181" s="191" t="s">
        <v>217</v>
      </c>
      <c r="I181" s="194"/>
      <c r="J181" s="194"/>
      <c r="K181" s="194"/>
      <c r="M181" s="197" t="s">
        <v>585</v>
      </c>
      <c r="N181" s="198" t="s">
        <v>586</v>
      </c>
      <c r="O181" s="199">
        <v>137316.88</v>
      </c>
      <c r="P181" s="199">
        <v>151762.60999999999</v>
      </c>
      <c r="Q181" s="199">
        <v>151320.97</v>
      </c>
      <c r="R181" s="199">
        <v>151456.71</v>
      </c>
      <c r="S181" s="199">
        <v>152460.14000000001</v>
      </c>
      <c r="T181" s="199">
        <v>152079.63</v>
      </c>
      <c r="U181" s="199">
        <v>152079.63</v>
      </c>
      <c r="V181" s="199">
        <v>0</v>
      </c>
      <c r="W181" s="199">
        <v>0</v>
      </c>
      <c r="X181" s="199">
        <v>0</v>
      </c>
      <c r="Y181" s="199">
        <v>0</v>
      </c>
      <c r="Z181" s="199">
        <v>0</v>
      </c>
      <c r="AA181" s="199">
        <v>1048476.57</v>
      </c>
    </row>
    <row r="182" spans="7:27" ht="15" customHeight="1" x14ac:dyDescent="0.25">
      <c r="G182" s="191" t="s">
        <v>217</v>
      </c>
      <c r="H182" s="191" t="s">
        <v>217</v>
      </c>
      <c r="I182" s="194"/>
      <c r="J182" s="194"/>
      <c r="K182" s="194"/>
      <c r="M182" s="197" t="s">
        <v>413</v>
      </c>
      <c r="N182" s="198" t="s">
        <v>414</v>
      </c>
      <c r="O182" s="199">
        <v>201457.93</v>
      </c>
      <c r="P182" s="199">
        <v>220264.3</v>
      </c>
      <c r="Q182" s="199">
        <v>227192.7</v>
      </c>
      <c r="R182" s="199">
        <v>237562.31</v>
      </c>
      <c r="S182" s="199">
        <v>6937.61</v>
      </c>
      <c r="T182" s="199">
        <v>346720.58</v>
      </c>
      <c r="U182" s="199">
        <v>238188.03</v>
      </c>
      <c r="V182" s="200">
        <v>221540</v>
      </c>
      <c r="W182" s="200">
        <v>203530</v>
      </c>
      <c r="X182" s="200">
        <v>261125</v>
      </c>
      <c r="Y182" s="200">
        <v>176985</v>
      </c>
      <c r="Z182" s="200">
        <v>210304</v>
      </c>
      <c r="AA182" s="199">
        <v>2551807.46</v>
      </c>
    </row>
    <row r="183" spans="7:27" ht="15" customHeight="1" x14ac:dyDescent="0.25">
      <c r="G183" s="191" t="s">
        <v>217</v>
      </c>
      <c r="H183" s="191" t="s">
        <v>217</v>
      </c>
      <c r="I183" s="194"/>
      <c r="J183" s="194"/>
      <c r="K183" s="194"/>
      <c r="M183" s="197" t="s">
        <v>587</v>
      </c>
      <c r="N183" s="198" t="s">
        <v>588</v>
      </c>
      <c r="O183" s="199">
        <v>45742</v>
      </c>
      <c r="P183" s="199">
        <v>45742</v>
      </c>
      <c r="Q183" s="199">
        <v>45742</v>
      </c>
      <c r="R183" s="199">
        <v>45742</v>
      </c>
      <c r="S183" s="199">
        <v>45742</v>
      </c>
      <c r="T183" s="199">
        <v>45742</v>
      </c>
      <c r="U183" s="199">
        <v>45742</v>
      </c>
      <c r="V183" s="199">
        <v>0</v>
      </c>
      <c r="W183" s="199">
        <v>0</v>
      </c>
      <c r="X183" s="199">
        <v>0</v>
      </c>
      <c r="Y183" s="199">
        <v>0</v>
      </c>
      <c r="Z183" s="199">
        <v>0</v>
      </c>
      <c r="AA183" s="199">
        <v>320194</v>
      </c>
    </row>
    <row r="184" spans="7:27" ht="15" customHeight="1" x14ac:dyDescent="0.25">
      <c r="G184" s="191" t="s">
        <v>217</v>
      </c>
      <c r="H184" s="191" t="s">
        <v>217</v>
      </c>
      <c r="I184" s="194"/>
      <c r="J184" s="194"/>
      <c r="K184" s="194"/>
      <c r="M184" s="197" t="s">
        <v>589</v>
      </c>
      <c r="N184" s="198" t="s">
        <v>590</v>
      </c>
      <c r="O184" s="199">
        <v>279486.96999999997</v>
      </c>
      <c r="P184" s="199">
        <v>303073.31</v>
      </c>
      <c r="Q184" s="199">
        <v>303187</v>
      </c>
      <c r="R184" s="199">
        <v>303288.46999999997</v>
      </c>
      <c r="S184" s="199">
        <v>304283.59000000003</v>
      </c>
      <c r="T184" s="199">
        <v>304393.98</v>
      </c>
      <c r="U184" s="199">
        <v>304393.98</v>
      </c>
      <c r="V184" s="199">
        <v>0</v>
      </c>
      <c r="W184" s="199">
        <v>0</v>
      </c>
      <c r="X184" s="199">
        <v>0</v>
      </c>
      <c r="Y184" s="199">
        <v>0</v>
      </c>
      <c r="Z184" s="199">
        <v>0</v>
      </c>
      <c r="AA184" s="199">
        <v>2102107.2999999998</v>
      </c>
    </row>
    <row r="185" spans="7:27" ht="15" customHeight="1" x14ac:dyDescent="0.25">
      <c r="G185" s="191" t="s">
        <v>217</v>
      </c>
      <c r="H185" s="191" t="s">
        <v>217</v>
      </c>
      <c r="I185" s="194"/>
      <c r="J185" s="194"/>
      <c r="K185" s="194"/>
      <c r="M185" s="195" t="s">
        <v>415</v>
      </c>
      <c r="N185" s="196" t="s">
        <v>416</v>
      </c>
      <c r="O185" s="196">
        <v>1168887.28</v>
      </c>
      <c r="P185" s="196">
        <v>1248053.3400000001</v>
      </c>
      <c r="Q185" s="196">
        <v>950941.94</v>
      </c>
      <c r="R185" s="196">
        <v>1023340.98</v>
      </c>
      <c r="S185" s="196">
        <v>1270813.01</v>
      </c>
      <c r="T185" s="196">
        <v>744952.17</v>
      </c>
      <c r="U185" s="196">
        <v>918163.76</v>
      </c>
      <c r="V185" s="196">
        <v>936186.67842869996</v>
      </c>
      <c r="W185" s="196">
        <v>915026.64379749994</v>
      </c>
      <c r="X185" s="196">
        <v>1164606.2149228</v>
      </c>
      <c r="Y185" s="196">
        <v>930125.6516016</v>
      </c>
      <c r="Z185" s="196">
        <v>1043545.7709961</v>
      </c>
      <c r="AA185" s="196">
        <v>12314643.439746698</v>
      </c>
    </row>
    <row r="186" spans="7:27" ht="15" customHeight="1" x14ac:dyDescent="0.25">
      <c r="G186" s="191" t="s">
        <v>217</v>
      </c>
      <c r="H186" s="191" t="s">
        <v>217</v>
      </c>
      <c r="I186" s="194"/>
      <c r="J186" s="194"/>
      <c r="K186" s="194"/>
      <c r="M186" s="197" t="s">
        <v>417</v>
      </c>
      <c r="N186" s="198" t="s">
        <v>418</v>
      </c>
      <c r="O186" s="199">
        <v>90288.02</v>
      </c>
      <c r="P186" s="199">
        <v>103664.79</v>
      </c>
      <c r="Q186" s="199">
        <v>22177.14</v>
      </c>
      <c r="R186" s="199">
        <v>88385.64</v>
      </c>
      <c r="S186" s="199">
        <v>435596.98</v>
      </c>
      <c r="T186" s="199">
        <v>-137467.29999999999</v>
      </c>
      <c r="U186" s="199">
        <v>0</v>
      </c>
      <c r="V186" s="200">
        <v>200000</v>
      </c>
      <c r="W186" s="200">
        <v>0</v>
      </c>
      <c r="X186" s="200">
        <v>200000</v>
      </c>
      <c r="Y186" s="200">
        <v>0</v>
      </c>
      <c r="Z186" s="200">
        <v>206047.19</v>
      </c>
      <c r="AA186" s="199">
        <v>1208692.46</v>
      </c>
    </row>
    <row r="187" spans="7:27" ht="15" customHeight="1" x14ac:dyDescent="0.25">
      <c r="G187" s="191" t="s">
        <v>217</v>
      </c>
      <c r="H187" s="191" t="s">
        <v>217</v>
      </c>
      <c r="I187" s="194"/>
      <c r="J187" s="194"/>
      <c r="K187" s="194"/>
      <c r="M187" s="197" t="s">
        <v>419</v>
      </c>
      <c r="N187" s="198" t="s">
        <v>420</v>
      </c>
      <c r="O187" s="199">
        <v>6769.99</v>
      </c>
      <c r="P187" s="199">
        <v>7700.01</v>
      </c>
      <c r="Q187" s="199">
        <v>6464.21</v>
      </c>
      <c r="R187" s="199">
        <v>6791.17</v>
      </c>
      <c r="S187" s="199">
        <v>8138.23</v>
      </c>
      <c r="T187" s="199">
        <v>8343.6</v>
      </c>
      <c r="U187" s="199">
        <v>9529.18</v>
      </c>
      <c r="V187" s="200">
        <v>8500</v>
      </c>
      <c r="W187" s="200">
        <v>8000</v>
      </c>
      <c r="X187" s="200">
        <v>8000</v>
      </c>
      <c r="Y187" s="200">
        <v>7000</v>
      </c>
      <c r="Z187" s="200">
        <v>7000</v>
      </c>
      <c r="AA187" s="199">
        <v>92236.39</v>
      </c>
    </row>
    <row r="188" spans="7:27" ht="15" customHeight="1" x14ac:dyDescent="0.25">
      <c r="G188" s="191" t="s">
        <v>217</v>
      </c>
      <c r="H188" s="191" t="s">
        <v>217</v>
      </c>
      <c r="I188" s="194"/>
      <c r="J188" s="194"/>
      <c r="K188" s="194"/>
      <c r="M188" s="197" t="s">
        <v>591</v>
      </c>
      <c r="N188" s="198" t="s">
        <v>592</v>
      </c>
      <c r="O188" s="199">
        <v>0</v>
      </c>
      <c r="P188" s="199">
        <v>0</v>
      </c>
      <c r="Q188" s="199">
        <v>0</v>
      </c>
      <c r="R188" s="199">
        <v>26.2</v>
      </c>
      <c r="S188" s="199">
        <v>12.48</v>
      </c>
      <c r="T188" s="199">
        <v>0</v>
      </c>
      <c r="U188" s="199">
        <v>0</v>
      </c>
      <c r="V188" s="200">
        <v>0</v>
      </c>
      <c r="W188" s="200">
        <v>0</v>
      </c>
      <c r="X188" s="200">
        <v>0</v>
      </c>
      <c r="Y188" s="200">
        <v>0</v>
      </c>
      <c r="Z188" s="200">
        <v>0</v>
      </c>
      <c r="AA188" s="199">
        <v>38.68</v>
      </c>
    </row>
    <row r="189" spans="7:27" ht="15" customHeight="1" x14ac:dyDescent="0.25">
      <c r="G189" s="191" t="s">
        <v>217</v>
      </c>
      <c r="H189" s="191" t="s">
        <v>217</v>
      </c>
      <c r="I189" s="194"/>
      <c r="J189" s="194"/>
      <c r="K189" s="194"/>
      <c r="M189" s="197" t="s">
        <v>421</v>
      </c>
      <c r="N189" s="198" t="s">
        <v>422</v>
      </c>
      <c r="O189" s="199">
        <v>10164.23</v>
      </c>
      <c r="P189" s="199">
        <v>10164.23</v>
      </c>
      <c r="Q189" s="199">
        <v>10164.23</v>
      </c>
      <c r="R189" s="199">
        <v>10164.23</v>
      </c>
      <c r="S189" s="199">
        <v>10164.23</v>
      </c>
      <c r="T189" s="199">
        <v>10164.23</v>
      </c>
      <c r="U189" s="199">
        <v>10164.23</v>
      </c>
      <c r="V189" s="200">
        <v>10164.23</v>
      </c>
      <c r="W189" s="200">
        <v>10164.23</v>
      </c>
      <c r="X189" s="200">
        <v>10164.23</v>
      </c>
      <c r="Y189" s="200">
        <v>10164.23</v>
      </c>
      <c r="Z189" s="200">
        <v>10164.23</v>
      </c>
      <c r="AA189" s="199">
        <v>121970.75999999997</v>
      </c>
    </row>
    <row r="190" spans="7:27" ht="15" customHeight="1" x14ac:dyDescent="0.25">
      <c r="G190" s="191" t="s">
        <v>217</v>
      </c>
      <c r="H190" s="191" t="s">
        <v>217</v>
      </c>
      <c r="I190" s="194"/>
      <c r="J190" s="194"/>
      <c r="K190" s="194"/>
      <c r="M190" s="197" t="s">
        <v>423</v>
      </c>
      <c r="N190" s="198" t="s">
        <v>424</v>
      </c>
      <c r="O190" s="199">
        <v>678.32</v>
      </c>
      <c r="P190" s="199">
        <v>11261.1</v>
      </c>
      <c r="Q190" s="199">
        <v>208.71</v>
      </c>
      <c r="R190" s="199">
        <v>-60.98</v>
      </c>
      <c r="S190" s="199">
        <v>0</v>
      </c>
      <c r="T190" s="199">
        <v>0</v>
      </c>
      <c r="U190" s="199">
        <v>641.73</v>
      </c>
      <c r="V190" s="200">
        <v>1496.0584286999999</v>
      </c>
      <c r="W190" s="200">
        <v>1430.9837975</v>
      </c>
      <c r="X190" s="200">
        <v>1451.5749228</v>
      </c>
      <c r="Y190" s="200">
        <v>11540.571601600001</v>
      </c>
      <c r="Z190" s="200">
        <v>1453.7509961000001</v>
      </c>
      <c r="AA190" s="199">
        <v>30101.819746699999</v>
      </c>
    </row>
    <row r="191" spans="7:27" ht="15" customHeight="1" x14ac:dyDescent="0.25">
      <c r="G191" s="191" t="s">
        <v>217</v>
      </c>
      <c r="H191" s="191" t="s">
        <v>217</v>
      </c>
      <c r="I191" s="194"/>
      <c r="J191" s="194"/>
      <c r="K191" s="194"/>
      <c r="M191" s="197" t="s">
        <v>433</v>
      </c>
      <c r="N191" s="198" t="s">
        <v>434</v>
      </c>
      <c r="O191" s="199">
        <v>0</v>
      </c>
      <c r="P191" s="199">
        <v>0</v>
      </c>
      <c r="Q191" s="199">
        <v>0</v>
      </c>
      <c r="R191" s="199">
        <v>0</v>
      </c>
      <c r="S191" s="199">
        <v>0</v>
      </c>
      <c r="T191" s="199">
        <v>0</v>
      </c>
      <c r="U191" s="199">
        <v>0</v>
      </c>
      <c r="V191" s="200">
        <v>0</v>
      </c>
      <c r="W191" s="200">
        <v>137236.20000000001</v>
      </c>
      <c r="X191" s="200">
        <v>160110</v>
      </c>
      <c r="Y191" s="200">
        <v>162510</v>
      </c>
      <c r="Z191" s="200">
        <v>72510</v>
      </c>
      <c r="AA191" s="199">
        <v>532366.19999999995</v>
      </c>
    </row>
    <row r="192" spans="7:27" ht="15" customHeight="1" x14ac:dyDescent="0.25">
      <c r="G192" s="191" t="s">
        <v>217</v>
      </c>
      <c r="H192" s="191" t="s">
        <v>217</v>
      </c>
      <c r="I192" s="194"/>
      <c r="J192" s="194"/>
      <c r="K192" s="194"/>
      <c r="M192" s="197" t="s">
        <v>435</v>
      </c>
      <c r="N192" s="198" t="s">
        <v>436</v>
      </c>
      <c r="O192" s="199">
        <v>0</v>
      </c>
      <c r="P192" s="199">
        <v>0</v>
      </c>
      <c r="Q192" s="199">
        <v>0</v>
      </c>
      <c r="R192" s="199">
        <v>0</v>
      </c>
      <c r="S192" s="199">
        <v>0</v>
      </c>
      <c r="T192" s="199">
        <v>0</v>
      </c>
      <c r="U192" s="199">
        <v>14089.95</v>
      </c>
      <c r="V192" s="200">
        <v>8000</v>
      </c>
      <c r="W192" s="200">
        <v>29000</v>
      </c>
      <c r="X192" s="200">
        <v>10000</v>
      </c>
      <c r="Y192" s="200">
        <v>11000</v>
      </c>
      <c r="Z192" s="200">
        <v>12000</v>
      </c>
      <c r="AA192" s="199">
        <v>84089.95</v>
      </c>
    </row>
    <row r="193" spans="7:27" ht="15" customHeight="1" x14ac:dyDescent="0.25">
      <c r="G193" s="191" t="s">
        <v>217</v>
      </c>
      <c r="H193" s="191" t="s">
        <v>217</v>
      </c>
      <c r="I193" s="194"/>
      <c r="J193" s="194"/>
      <c r="K193" s="194"/>
      <c r="M193" s="197" t="s">
        <v>425</v>
      </c>
      <c r="N193" s="198" t="s">
        <v>426</v>
      </c>
      <c r="O193" s="199">
        <v>866809.68</v>
      </c>
      <c r="P193" s="199">
        <v>917101.5</v>
      </c>
      <c r="Q193" s="199">
        <v>688825.88</v>
      </c>
      <c r="R193" s="199">
        <v>679902.68</v>
      </c>
      <c r="S193" s="199">
        <v>751111.69</v>
      </c>
      <c r="T193" s="199">
        <v>789429.6</v>
      </c>
      <c r="U193" s="199">
        <v>706727.55</v>
      </c>
      <c r="V193" s="200">
        <v>648486</v>
      </c>
      <c r="W193" s="200">
        <v>648486</v>
      </c>
      <c r="X193" s="200">
        <v>683305</v>
      </c>
      <c r="Y193" s="200">
        <v>683305</v>
      </c>
      <c r="Z193" s="200">
        <v>683305</v>
      </c>
      <c r="AA193" s="199">
        <v>8746795.5800000001</v>
      </c>
    </row>
    <row r="194" spans="7:27" ht="15" customHeight="1" x14ac:dyDescent="0.25">
      <c r="G194" s="191" t="s">
        <v>217</v>
      </c>
      <c r="H194" s="191" t="s">
        <v>217</v>
      </c>
      <c r="I194" s="194"/>
      <c r="J194" s="194"/>
      <c r="K194" s="194"/>
      <c r="M194" s="197" t="s">
        <v>427</v>
      </c>
      <c r="N194" s="198" t="s">
        <v>428</v>
      </c>
      <c r="O194" s="199">
        <v>19334.689999999999</v>
      </c>
      <c r="P194" s="199">
        <v>19337.43</v>
      </c>
      <c r="Q194" s="199">
        <v>16616.939999999999</v>
      </c>
      <c r="R194" s="199">
        <v>16501.25</v>
      </c>
      <c r="S194" s="199">
        <v>17554.07</v>
      </c>
      <c r="T194" s="199">
        <v>18005.09</v>
      </c>
      <c r="U194" s="199">
        <v>17260.27</v>
      </c>
      <c r="V194" s="200">
        <v>16424</v>
      </c>
      <c r="W194" s="200">
        <v>16424</v>
      </c>
      <c r="X194" s="200">
        <v>17012</v>
      </c>
      <c r="Y194" s="200">
        <v>17012</v>
      </c>
      <c r="Z194" s="200">
        <v>17012</v>
      </c>
      <c r="AA194" s="199">
        <v>208493.74</v>
      </c>
    </row>
    <row r="195" spans="7:27" ht="15" customHeight="1" x14ac:dyDescent="0.25">
      <c r="G195" s="191" t="s">
        <v>217</v>
      </c>
      <c r="H195" s="191" t="s">
        <v>217</v>
      </c>
      <c r="I195" s="194"/>
      <c r="J195" s="194"/>
      <c r="K195" s="194"/>
      <c r="M195" s="197" t="s">
        <v>593</v>
      </c>
      <c r="N195" s="198" t="s">
        <v>594</v>
      </c>
      <c r="O195" s="199">
        <v>7372.44</v>
      </c>
      <c r="P195" s="199">
        <v>2433.52</v>
      </c>
      <c r="Q195" s="199">
        <v>56.58</v>
      </c>
      <c r="R195" s="199">
        <v>0</v>
      </c>
      <c r="S195" s="199">
        <v>0</v>
      </c>
      <c r="T195" s="199">
        <v>8642.49</v>
      </c>
      <c r="U195" s="199">
        <v>0</v>
      </c>
      <c r="V195" s="200">
        <v>0</v>
      </c>
      <c r="W195" s="200">
        <v>0</v>
      </c>
      <c r="X195" s="200">
        <v>0</v>
      </c>
      <c r="Y195" s="200">
        <v>0</v>
      </c>
      <c r="Z195" s="200">
        <v>0</v>
      </c>
      <c r="AA195" s="199">
        <v>18505.03</v>
      </c>
    </row>
    <row r="196" spans="7:27" ht="15" customHeight="1" x14ac:dyDescent="0.25">
      <c r="G196" s="191" t="s">
        <v>217</v>
      </c>
      <c r="H196" s="191" t="s">
        <v>217</v>
      </c>
      <c r="I196" s="194"/>
      <c r="J196" s="194"/>
      <c r="K196" s="194"/>
      <c r="M196" s="197" t="s">
        <v>595</v>
      </c>
      <c r="N196" s="198" t="s">
        <v>596</v>
      </c>
      <c r="O196" s="199">
        <v>70957.37</v>
      </c>
      <c r="P196" s="199">
        <v>108977.12</v>
      </c>
      <c r="Q196" s="199">
        <v>71366.880000000005</v>
      </c>
      <c r="R196" s="199">
        <v>134718.04</v>
      </c>
      <c r="S196" s="199">
        <v>0</v>
      </c>
      <c r="T196" s="199">
        <v>4015.32</v>
      </c>
      <c r="U196" s="199">
        <v>108485.4</v>
      </c>
      <c r="V196" s="200">
        <v>0</v>
      </c>
      <c r="W196" s="200">
        <v>0</v>
      </c>
      <c r="X196" s="200">
        <v>0</v>
      </c>
      <c r="Y196" s="200">
        <v>0</v>
      </c>
      <c r="Z196" s="200">
        <v>0</v>
      </c>
      <c r="AA196" s="199">
        <v>498520.13</v>
      </c>
    </row>
    <row r="197" spans="7:27" ht="15" customHeight="1" x14ac:dyDescent="0.25">
      <c r="G197" s="191" t="s">
        <v>217</v>
      </c>
      <c r="H197" s="191" t="s">
        <v>217</v>
      </c>
      <c r="I197" s="194"/>
      <c r="J197" s="194"/>
      <c r="K197" s="194"/>
      <c r="M197" s="197" t="s">
        <v>597</v>
      </c>
      <c r="N197" s="198" t="s">
        <v>598</v>
      </c>
      <c r="O197" s="199">
        <v>1517.43</v>
      </c>
      <c r="P197" s="199">
        <v>1583.01</v>
      </c>
      <c r="Q197" s="199">
        <v>1437.43</v>
      </c>
      <c r="R197" s="199">
        <v>2326.09</v>
      </c>
      <c r="S197" s="199">
        <v>0</v>
      </c>
      <c r="T197" s="199">
        <v>60.14</v>
      </c>
      <c r="U197" s="199">
        <v>2810.92</v>
      </c>
      <c r="V197" s="200">
        <v>0</v>
      </c>
      <c r="W197" s="200">
        <v>0</v>
      </c>
      <c r="X197" s="200">
        <v>0</v>
      </c>
      <c r="Y197" s="200">
        <v>0</v>
      </c>
      <c r="Z197" s="200">
        <v>0</v>
      </c>
      <c r="AA197" s="199">
        <v>9735.02</v>
      </c>
    </row>
    <row r="198" spans="7:27" ht="15" customHeight="1" x14ac:dyDescent="0.25">
      <c r="G198" s="191" t="s">
        <v>217</v>
      </c>
      <c r="H198" s="191" t="s">
        <v>217</v>
      </c>
      <c r="I198" s="194"/>
      <c r="J198" s="194"/>
      <c r="K198" s="194"/>
      <c r="M198" s="197" t="s">
        <v>429</v>
      </c>
      <c r="N198" s="198" t="s">
        <v>430</v>
      </c>
      <c r="O198" s="199">
        <v>16412.45</v>
      </c>
      <c r="P198" s="199">
        <v>1372.77</v>
      </c>
      <c r="Q198" s="199">
        <v>66563.179999999993</v>
      </c>
      <c r="R198" s="199">
        <v>19929.009999999998</v>
      </c>
      <c r="S198" s="199">
        <v>-3267.38</v>
      </c>
      <c r="T198" s="199">
        <v>0</v>
      </c>
      <c r="U198" s="199">
        <v>0</v>
      </c>
      <c r="V198" s="200">
        <v>42366.39</v>
      </c>
      <c r="W198" s="200">
        <v>63535.23</v>
      </c>
      <c r="X198" s="200">
        <v>73813.41</v>
      </c>
      <c r="Y198" s="200">
        <v>26843.85</v>
      </c>
      <c r="Z198" s="200">
        <v>33303.599999999999</v>
      </c>
      <c r="AA198" s="199">
        <v>340872.50999999995</v>
      </c>
    </row>
    <row r="199" spans="7:27" ht="15" customHeight="1" x14ac:dyDescent="0.25">
      <c r="G199" s="191"/>
      <c r="H199" s="191"/>
      <c r="I199" s="194"/>
      <c r="J199" s="194"/>
      <c r="K199" s="194"/>
      <c r="M199" s="197" t="s">
        <v>431</v>
      </c>
      <c r="N199" s="198" t="s">
        <v>432</v>
      </c>
      <c r="O199" s="199">
        <v>78582.66</v>
      </c>
      <c r="P199" s="199">
        <v>64457.86</v>
      </c>
      <c r="Q199" s="199">
        <v>67060.759999999995</v>
      </c>
      <c r="R199" s="199">
        <v>64657.65</v>
      </c>
      <c r="S199" s="199">
        <v>51502.71</v>
      </c>
      <c r="T199" s="199">
        <v>43759</v>
      </c>
      <c r="U199" s="199">
        <v>48454.53</v>
      </c>
      <c r="V199" s="200">
        <v>750</v>
      </c>
      <c r="W199" s="200">
        <v>750</v>
      </c>
      <c r="X199" s="200">
        <v>750</v>
      </c>
      <c r="Y199" s="200">
        <v>750</v>
      </c>
      <c r="Z199" s="200">
        <v>750</v>
      </c>
      <c r="AA199" s="199">
        <v>422225.17000000004</v>
      </c>
    </row>
    <row r="200" spans="7:27" ht="15" customHeight="1" x14ac:dyDescent="0.25">
      <c r="G200" s="191"/>
      <c r="H200" s="191"/>
      <c r="I200" s="194"/>
      <c r="J200" s="194"/>
      <c r="K200" s="194"/>
      <c r="M200" s="195" t="s">
        <v>437</v>
      </c>
      <c r="N200" s="196" t="s">
        <v>438</v>
      </c>
      <c r="O200" s="196">
        <v>0</v>
      </c>
      <c r="P200" s="196">
        <v>0</v>
      </c>
      <c r="Q200" s="196">
        <v>0</v>
      </c>
      <c r="R200" s="196">
        <v>0</v>
      </c>
      <c r="S200" s="196">
        <v>53.4</v>
      </c>
      <c r="T200" s="196">
        <v>0</v>
      </c>
      <c r="U200" s="196">
        <v>0</v>
      </c>
      <c r="V200" s="196">
        <v>303440</v>
      </c>
      <c r="W200" s="196">
        <v>293652</v>
      </c>
      <c r="X200" s="196">
        <v>303440</v>
      </c>
      <c r="Y200" s="196">
        <v>293652</v>
      </c>
      <c r="Z200" s="196">
        <v>303440</v>
      </c>
      <c r="AA200" s="196">
        <v>1497677.4</v>
      </c>
    </row>
    <row r="201" spans="7:27" ht="15" customHeight="1" x14ac:dyDescent="0.25">
      <c r="G201" s="191"/>
      <c r="H201" s="191"/>
      <c r="I201" s="194"/>
      <c r="J201" s="194"/>
      <c r="K201" s="194"/>
      <c r="M201" s="197" t="s">
        <v>599</v>
      </c>
      <c r="N201" s="198" t="s">
        <v>600</v>
      </c>
      <c r="O201" s="199">
        <v>0</v>
      </c>
      <c r="P201" s="199">
        <v>0</v>
      </c>
      <c r="Q201" s="199">
        <v>0</v>
      </c>
      <c r="R201" s="199">
        <v>0</v>
      </c>
      <c r="S201" s="199">
        <v>53.4</v>
      </c>
      <c r="T201" s="199">
        <v>0</v>
      </c>
      <c r="U201" s="199">
        <v>0</v>
      </c>
      <c r="V201" s="200">
        <v>0</v>
      </c>
      <c r="W201" s="200">
        <v>0</v>
      </c>
      <c r="X201" s="200">
        <v>0</v>
      </c>
      <c r="Y201" s="200">
        <v>0</v>
      </c>
      <c r="Z201" s="200">
        <v>0</v>
      </c>
      <c r="AA201" s="199">
        <v>53.4</v>
      </c>
    </row>
    <row r="202" spans="7:27" ht="15" customHeight="1" x14ac:dyDescent="0.25">
      <c r="G202" s="191"/>
      <c r="H202" s="191"/>
      <c r="I202" s="194"/>
      <c r="J202" s="194"/>
      <c r="K202" s="194"/>
      <c r="M202" s="197" t="s">
        <v>439</v>
      </c>
      <c r="N202" s="198" t="s">
        <v>440</v>
      </c>
      <c r="O202" s="199">
        <v>0</v>
      </c>
      <c r="P202" s="199">
        <v>0</v>
      </c>
      <c r="Q202" s="199">
        <v>0</v>
      </c>
      <c r="R202" s="199">
        <v>0</v>
      </c>
      <c r="S202" s="199">
        <v>0</v>
      </c>
      <c r="T202" s="199">
        <v>0</v>
      </c>
      <c r="U202" s="199">
        <v>0</v>
      </c>
      <c r="V202" s="200">
        <v>303440</v>
      </c>
      <c r="W202" s="200">
        <v>293652</v>
      </c>
      <c r="X202" s="200">
        <v>303440</v>
      </c>
      <c r="Y202" s="200">
        <v>293652</v>
      </c>
      <c r="Z202" s="200">
        <v>303440</v>
      </c>
      <c r="AA202" s="199">
        <v>1497624</v>
      </c>
    </row>
    <row r="203" spans="7:27" ht="15" customHeight="1" x14ac:dyDescent="0.25">
      <c r="G203" s="191"/>
      <c r="H203" s="191"/>
      <c r="I203" s="194"/>
      <c r="J203" s="194"/>
      <c r="K203" s="194"/>
      <c r="M203" s="195" t="s">
        <v>148</v>
      </c>
      <c r="N203" s="196" t="s">
        <v>148</v>
      </c>
      <c r="O203" s="196">
        <v>197737051.05000001</v>
      </c>
      <c r="P203" s="196">
        <v>168252679.25999999</v>
      </c>
      <c r="Q203" s="196">
        <v>185683459.80000001</v>
      </c>
      <c r="R203" s="196">
        <v>208337359.11000001</v>
      </c>
      <c r="S203" s="196">
        <v>226059370</v>
      </c>
      <c r="T203" s="196">
        <v>242807135.63999999</v>
      </c>
      <c r="U203" s="196">
        <v>266563955.56</v>
      </c>
      <c r="V203" s="196">
        <v>270402284.94312018</v>
      </c>
      <c r="W203" s="196">
        <v>259101584.7855413</v>
      </c>
      <c r="X203" s="196">
        <v>240304618.8502664</v>
      </c>
      <c r="Y203" s="196">
        <v>199356673.3868545</v>
      </c>
      <c r="Z203" s="196">
        <v>203290843.7148158</v>
      </c>
      <c r="AA203" s="196">
        <v>2667897016.1005983</v>
      </c>
    </row>
    <row r="204" spans="7:27" ht="15" customHeight="1" x14ac:dyDescent="0.25">
      <c r="G204" s="191"/>
      <c r="H204" s="191"/>
      <c r="I204" s="194"/>
      <c r="J204" s="194"/>
      <c r="K204" s="194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  <c r="AA204" s="153"/>
    </row>
    <row r="205" spans="7:27" ht="15" customHeight="1" x14ac:dyDescent="0.25">
      <c r="G205" s="191"/>
      <c r="H205" s="191"/>
      <c r="I205" s="194"/>
      <c r="J205" s="194"/>
      <c r="K205" s="194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</row>
    <row r="206" spans="7:27" ht="50.4" customHeight="1" x14ac:dyDescent="0.25">
      <c r="G206" s="191" t="s">
        <v>217</v>
      </c>
      <c r="H206" s="191" t="s">
        <v>217</v>
      </c>
      <c r="I206" s="194"/>
      <c r="J206" s="194"/>
      <c r="K206" s="194"/>
      <c r="M206" s="201"/>
      <c r="N206" s="202" t="s">
        <v>441</v>
      </c>
      <c r="O206" s="202">
        <f>O34-O141-O154-O156-O160-O174-O185</f>
        <v>211848191.34000003</v>
      </c>
      <c r="P206" s="202">
        <f t="shared" ref="P206:AA206" si="2">P34-P141-P154-P156-P160-P174-P185</f>
        <v>189899451.50999999</v>
      </c>
      <c r="Q206" s="202">
        <f t="shared" si="2"/>
        <v>196477071.06000003</v>
      </c>
      <c r="R206" s="202">
        <f t="shared" si="2"/>
        <v>231469953.69000003</v>
      </c>
      <c r="S206" s="202">
        <f>S34-S141-S154-S156-S160-S174-S185-S200</f>
        <v>243839905.16999999</v>
      </c>
      <c r="T206" s="202">
        <f t="shared" si="2"/>
        <v>265884767.40000004</v>
      </c>
      <c r="U206" s="202">
        <f t="shared" si="2"/>
        <v>303380190.67000002</v>
      </c>
      <c r="V206" s="202">
        <f t="shared" si="2"/>
        <v>298634565.90999997</v>
      </c>
      <c r="W206" s="202">
        <f t="shared" si="2"/>
        <v>299457298.75999999</v>
      </c>
      <c r="X206" s="202">
        <f t="shared" si="2"/>
        <v>277130099.48000002</v>
      </c>
      <c r="Y206" s="202">
        <f t="shared" si="2"/>
        <v>238120881.62</v>
      </c>
      <c r="Z206" s="202">
        <f t="shared" si="2"/>
        <v>216601701.84</v>
      </c>
      <c r="AA206" s="202">
        <f t="shared" si="2"/>
        <v>2972744131.8500004</v>
      </c>
    </row>
    <row r="207" spans="7:27" ht="15" customHeight="1" x14ac:dyDescent="0.25">
      <c r="G207" s="191" t="s">
        <v>217</v>
      </c>
      <c r="H207" s="191" t="s">
        <v>217</v>
      </c>
      <c r="I207" s="194"/>
      <c r="J207" s="194"/>
      <c r="K207" s="194"/>
      <c r="M207" s="201"/>
      <c r="N207" s="203" t="s">
        <v>442</v>
      </c>
      <c r="O207" s="203">
        <f>O160</f>
        <v>1715825.84</v>
      </c>
      <c r="P207" s="203">
        <f t="shared" ref="P207:AA207" si="3">P160</f>
        <v>1604099.15</v>
      </c>
      <c r="Q207" s="203">
        <f t="shared" si="3"/>
        <v>1621857.39</v>
      </c>
      <c r="R207" s="203">
        <f t="shared" si="3"/>
        <v>1158858.3999999999</v>
      </c>
      <c r="S207" s="203">
        <f t="shared" si="3"/>
        <v>1605854.81</v>
      </c>
      <c r="T207" s="203">
        <f t="shared" si="3"/>
        <v>1721124.42</v>
      </c>
      <c r="U207" s="203">
        <f t="shared" si="3"/>
        <v>1701640.16</v>
      </c>
      <c r="V207" s="203">
        <f t="shared" si="3"/>
        <v>1550173.1882031001</v>
      </c>
      <c r="W207" s="203">
        <f t="shared" si="3"/>
        <v>1559832.1882031001</v>
      </c>
      <c r="X207" s="203">
        <f t="shared" si="3"/>
        <v>1559891.1882031001</v>
      </c>
      <c r="Y207" s="203">
        <f t="shared" si="3"/>
        <v>1560255.1882031001</v>
      </c>
      <c r="Z207" s="203">
        <f t="shared" si="3"/>
        <v>1560621.1882031001</v>
      </c>
      <c r="AA207" s="203">
        <f t="shared" si="3"/>
        <v>18920033.111015502</v>
      </c>
    </row>
    <row r="208" spans="7:27" ht="15" customHeight="1" x14ac:dyDescent="0.25">
      <c r="G208" s="191" t="s">
        <v>217</v>
      </c>
      <c r="H208" s="191" t="s">
        <v>217</v>
      </c>
      <c r="I208" s="194"/>
      <c r="J208" s="194"/>
      <c r="K208" s="194"/>
      <c r="M208" s="201"/>
      <c r="N208" s="203" t="s">
        <v>443</v>
      </c>
      <c r="O208" s="203">
        <f>+O206+O207</f>
        <v>213564017.18000004</v>
      </c>
      <c r="P208" s="203">
        <f t="shared" ref="P208:AA208" si="4">+P206+P207</f>
        <v>191503550.66</v>
      </c>
      <c r="Q208" s="203">
        <f t="shared" si="4"/>
        <v>198098928.45000002</v>
      </c>
      <c r="R208" s="203">
        <f t="shared" si="4"/>
        <v>232628812.09000003</v>
      </c>
      <c r="S208" s="203">
        <f t="shared" si="4"/>
        <v>245445759.97999999</v>
      </c>
      <c r="T208" s="203">
        <f t="shared" si="4"/>
        <v>267605891.82000002</v>
      </c>
      <c r="U208" s="203">
        <f t="shared" si="4"/>
        <v>305081830.83000004</v>
      </c>
      <c r="V208" s="203">
        <f t="shared" si="4"/>
        <v>300184739.09820306</v>
      </c>
      <c r="W208" s="203">
        <f t="shared" si="4"/>
        <v>301017130.94820309</v>
      </c>
      <c r="X208" s="203">
        <f t="shared" si="4"/>
        <v>278689990.66820312</v>
      </c>
      <c r="Y208" s="203">
        <f t="shared" si="4"/>
        <v>239681136.8082031</v>
      </c>
      <c r="Z208" s="203">
        <f t="shared" si="4"/>
        <v>218162323.0282031</v>
      </c>
      <c r="AA208" s="203">
        <f t="shared" si="4"/>
        <v>2991664164.9610157</v>
      </c>
    </row>
    <row r="209" spans="7:27" ht="15" customHeight="1" x14ac:dyDescent="0.25">
      <c r="G209" s="191" t="s">
        <v>217</v>
      </c>
      <c r="H209" s="191" t="s">
        <v>217</v>
      </c>
      <c r="I209" s="194"/>
      <c r="J209" s="194"/>
      <c r="K209" s="194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  <c r="AA209" s="153"/>
    </row>
    <row r="210" spans="7:27" ht="15" customHeight="1" x14ac:dyDescent="0.25">
      <c r="G210" s="191" t="s">
        <v>217</v>
      </c>
      <c r="H210" s="191" t="s">
        <v>217</v>
      </c>
      <c r="I210" s="194"/>
      <c r="J210" s="194"/>
      <c r="K210" s="194"/>
      <c r="M210" s="153"/>
      <c r="N210" s="153"/>
      <c r="O210" s="204">
        <f>O208-'[13]7+5F + 2024B '!DT6</f>
        <v>0</v>
      </c>
      <c r="P210" s="204">
        <f>P208-'[13]7+5F + 2024B '!DU6</f>
        <v>0</v>
      </c>
      <c r="Q210" s="204">
        <f>Q208-'[13]7+5F + 2024B '!DV6</f>
        <v>0</v>
      </c>
      <c r="R210" s="204">
        <f>R208-'[13]7+5F + 2024B '!DW6</f>
        <v>0</v>
      </c>
      <c r="S210" s="204">
        <f>S208-'[13]7+5F + 2024B '!DX6</f>
        <v>0</v>
      </c>
      <c r="T210" s="204">
        <f>T208-'[13]7+5F + 2024B '!DY6</f>
        <v>0</v>
      </c>
      <c r="U210" s="204">
        <f>U208-'[13]7+5F + 2024B '!DZ6</f>
        <v>0</v>
      </c>
      <c r="V210" s="204">
        <f>V208-'[13]7+5F + 2024B '!EA6</f>
        <v>0</v>
      </c>
      <c r="W210" s="204">
        <f>W208-'[13]7+5F + 2024B '!EB6</f>
        <v>0</v>
      </c>
      <c r="X210" s="204">
        <f>X208-'[13]7+5F + 2024B '!EC6</f>
        <v>0</v>
      </c>
      <c r="Y210" s="204">
        <f>Y208-'[13]7+5F + 2024B '!ED6</f>
        <v>0</v>
      </c>
      <c r="Z210" s="204">
        <f>Z208-'[13]7+5F + 2024B '!EE6</f>
        <v>0</v>
      </c>
      <c r="AA210" s="204"/>
    </row>
    <row r="211" spans="7:27" ht="15" customHeight="1" x14ac:dyDescent="0.25">
      <c r="G211" s="191" t="s">
        <v>217</v>
      </c>
      <c r="H211" s="191" t="s">
        <v>217</v>
      </c>
      <c r="I211" s="194"/>
      <c r="J211" s="194"/>
      <c r="K211" s="194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</row>
    <row r="212" spans="7:27" ht="15" customHeight="1" x14ac:dyDescent="0.25">
      <c r="G212" s="191" t="s">
        <v>217</v>
      </c>
      <c r="H212" s="191" t="s">
        <v>217</v>
      </c>
      <c r="I212" s="194"/>
      <c r="J212" s="194"/>
      <c r="K212" s="194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</row>
    <row r="213" spans="7:27" ht="15" customHeight="1" x14ac:dyDescent="0.25">
      <c r="G213" s="191" t="s">
        <v>217</v>
      </c>
      <c r="H213" s="191" t="s">
        <v>217</v>
      </c>
      <c r="I213" s="194"/>
      <c r="J213" s="194"/>
      <c r="K213" s="194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</row>
    <row r="214" spans="7:27" ht="15" customHeight="1" x14ac:dyDescent="0.25">
      <c r="G214" s="191" t="s">
        <v>217</v>
      </c>
      <c r="H214" s="191" t="s">
        <v>217</v>
      </c>
      <c r="I214" s="194"/>
      <c r="J214" s="194"/>
      <c r="K214" s="194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</row>
    <row r="215" spans="7:27" ht="15" customHeight="1" x14ac:dyDescent="0.25">
      <c r="G215" s="191" t="s">
        <v>217</v>
      </c>
      <c r="H215" s="191" t="s">
        <v>217</v>
      </c>
      <c r="I215" s="194"/>
      <c r="J215" s="194"/>
      <c r="K215" s="194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</row>
    <row r="216" spans="7:27" ht="15" customHeight="1" x14ac:dyDescent="0.25">
      <c r="G216" s="191" t="s">
        <v>217</v>
      </c>
      <c r="H216" s="191" t="s">
        <v>217</v>
      </c>
      <c r="I216" s="194"/>
      <c r="J216" s="194"/>
      <c r="K216" s="194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</row>
    <row r="217" spans="7:27" ht="15" customHeight="1" x14ac:dyDescent="0.25">
      <c r="G217" s="191" t="s">
        <v>217</v>
      </c>
      <c r="H217" s="191" t="s">
        <v>217</v>
      </c>
      <c r="I217" s="194"/>
      <c r="J217" s="194"/>
      <c r="K217" s="194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</row>
    <row r="218" spans="7:27" ht="15" customHeight="1" x14ac:dyDescent="0.25">
      <c r="G218" s="191" t="s">
        <v>217</v>
      </c>
      <c r="H218" s="191" t="s">
        <v>217</v>
      </c>
      <c r="I218" s="194"/>
      <c r="J218" s="194"/>
      <c r="K218" s="194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153"/>
    </row>
    <row r="219" spans="7:27" ht="15" customHeight="1" x14ac:dyDescent="0.25">
      <c r="G219" s="191" t="s">
        <v>217</v>
      </c>
      <c r="H219" s="191" t="s">
        <v>217</v>
      </c>
      <c r="I219" s="194"/>
      <c r="J219" s="194"/>
      <c r="K219" s="194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</row>
    <row r="220" spans="7:27" ht="15" customHeight="1" x14ac:dyDescent="0.25">
      <c r="G220" s="191" t="s">
        <v>217</v>
      </c>
      <c r="H220" s="191" t="s">
        <v>217</v>
      </c>
      <c r="I220" s="194"/>
      <c r="J220" s="194"/>
      <c r="K220" s="194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  <c r="AA220" s="153"/>
    </row>
    <row r="221" spans="7:27" ht="15" customHeight="1" x14ac:dyDescent="0.25">
      <c r="G221" s="191" t="s">
        <v>217</v>
      </c>
      <c r="H221" s="191" t="s">
        <v>217</v>
      </c>
      <c r="I221" s="194"/>
      <c r="J221" s="194"/>
      <c r="K221" s="194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  <c r="AA221" s="153"/>
    </row>
    <row r="222" spans="7:27" ht="15" customHeight="1" x14ac:dyDescent="0.25">
      <c r="G222" s="191" t="s">
        <v>217</v>
      </c>
      <c r="H222" s="191" t="s">
        <v>217</v>
      </c>
      <c r="I222" s="194"/>
      <c r="J222" s="194"/>
      <c r="K222" s="194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  <c r="AA222" s="153"/>
    </row>
    <row r="223" spans="7:27" ht="15" customHeight="1" x14ac:dyDescent="0.25">
      <c r="G223" s="191" t="s">
        <v>217</v>
      </c>
      <c r="H223" s="191" t="s">
        <v>217</v>
      </c>
      <c r="I223" s="194"/>
      <c r="J223" s="194"/>
      <c r="K223" s="194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153"/>
    </row>
    <row r="224" spans="7:27" ht="15" customHeight="1" x14ac:dyDescent="0.25">
      <c r="G224" s="191" t="s">
        <v>217</v>
      </c>
      <c r="H224" s="191" t="s">
        <v>217</v>
      </c>
      <c r="I224" s="194"/>
      <c r="J224" s="194"/>
      <c r="K224" s="194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153"/>
    </row>
    <row r="225" spans="7:27" ht="15" customHeight="1" x14ac:dyDescent="0.25">
      <c r="G225" s="191" t="s">
        <v>217</v>
      </c>
      <c r="H225" s="191" t="s">
        <v>217</v>
      </c>
      <c r="I225" s="194"/>
      <c r="J225" s="194"/>
      <c r="K225" s="194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  <c r="AA225" s="153"/>
    </row>
    <row r="226" spans="7:27" ht="15" customHeight="1" x14ac:dyDescent="0.25">
      <c r="G226" s="191" t="s">
        <v>217</v>
      </c>
      <c r="H226" s="191" t="s">
        <v>217</v>
      </c>
      <c r="I226" s="194"/>
      <c r="J226" s="194"/>
      <c r="K226" s="194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</row>
    <row r="227" spans="7:27" ht="15" customHeight="1" x14ac:dyDescent="0.25">
      <c r="G227" s="191" t="s">
        <v>217</v>
      </c>
      <c r="H227" s="191" t="s">
        <v>217</v>
      </c>
      <c r="I227" s="194"/>
      <c r="J227" s="194"/>
      <c r="K227" s="194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153"/>
    </row>
    <row r="228" spans="7:27" ht="15" customHeight="1" x14ac:dyDescent="0.25">
      <c r="G228" s="191" t="s">
        <v>217</v>
      </c>
      <c r="H228" s="191" t="s">
        <v>217</v>
      </c>
      <c r="I228" s="194"/>
      <c r="J228" s="194"/>
      <c r="K228" s="194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</row>
    <row r="229" spans="7:27" ht="15" customHeight="1" x14ac:dyDescent="0.25">
      <c r="G229" s="191" t="s">
        <v>217</v>
      </c>
      <c r="H229" s="191" t="s">
        <v>217</v>
      </c>
      <c r="I229" s="194"/>
      <c r="J229" s="194"/>
      <c r="K229" s="194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</row>
    <row r="230" spans="7:27" ht="15" customHeight="1" x14ac:dyDescent="0.25">
      <c r="G230" s="191" t="s">
        <v>217</v>
      </c>
      <c r="H230" s="191" t="s">
        <v>217</v>
      </c>
      <c r="I230" s="194"/>
      <c r="J230" s="194"/>
      <c r="K230" s="194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</row>
    <row r="231" spans="7:27" ht="15" customHeight="1" x14ac:dyDescent="0.25">
      <c r="G231" s="191" t="s">
        <v>217</v>
      </c>
      <c r="H231" s="191" t="s">
        <v>217</v>
      </c>
      <c r="I231" s="194"/>
      <c r="J231" s="194"/>
      <c r="K231" s="194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</row>
    <row r="232" spans="7:27" ht="15" customHeight="1" x14ac:dyDescent="0.25">
      <c r="G232" s="191" t="s">
        <v>217</v>
      </c>
      <c r="H232" s="191" t="s">
        <v>217</v>
      </c>
      <c r="I232" s="194"/>
      <c r="J232" s="194"/>
      <c r="K232" s="194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153"/>
    </row>
    <row r="233" spans="7:27" ht="15" customHeight="1" x14ac:dyDescent="0.25">
      <c r="G233" s="191" t="s">
        <v>217</v>
      </c>
      <c r="H233" s="191" t="s">
        <v>217</v>
      </c>
      <c r="I233" s="194"/>
      <c r="J233" s="194"/>
      <c r="K233" s="194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  <c r="AA233" s="153"/>
    </row>
    <row r="234" spans="7:27" ht="15" customHeight="1" x14ac:dyDescent="0.25">
      <c r="G234" s="191" t="s">
        <v>217</v>
      </c>
      <c r="H234" s="191" t="s">
        <v>217</v>
      </c>
      <c r="I234" s="194"/>
      <c r="J234" s="194"/>
      <c r="K234" s="194"/>
      <c r="M234" s="153"/>
      <c r="N234" s="153"/>
      <c r="O234" s="153"/>
      <c r="P234" s="153"/>
      <c r="Q234" s="153"/>
      <c r="R234" s="153"/>
      <c r="S234" s="153"/>
      <c r="T234" s="153"/>
      <c r="U234" s="153"/>
      <c r="V234" s="153"/>
      <c r="W234" s="153"/>
      <c r="X234" s="153"/>
      <c r="Y234" s="153"/>
      <c r="Z234" s="153"/>
      <c r="AA234" s="153"/>
    </row>
    <row r="235" spans="7:27" ht="15" customHeight="1" x14ac:dyDescent="0.25">
      <c r="G235" s="191" t="s">
        <v>217</v>
      </c>
      <c r="H235" s="191" t="s">
        <v>217</v>
      </c>
      <c r="I235" s="194"/>
      <c r="J235" s="194"/>
      <c r="K235" s="194"/>
      <c r="M235" s="153"/>
      <c r="N235" s="153"/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  <c r="AA235" s="153"/>
    </row>
    <row r="236" spans="7:27" ht="15" customHeight="1" x14ac:dyDescent="0.25">
      <c r="G236" s="191" t="s">
        <v>217</v>
      </c>
      <c r="H236" s="191" t="s">
        <v>217</v>
      </c>
      <c r="I236" s="194"/>
      <c r="J236" s="194"/>
      <c r="K236" s="194"/>
      <c r="M236" s="153"/>
      <c r="N236" s="153"/>
      <c r="O236" s="153"/>
      <c r="P236" s="153"/>
      <c r="Q236" s="153"/>
      <c r="R236" s="153"/>
      <c r="S236" s="153"/>
      <c r="T236" s="153"/>
      <c r="U236" s="153"/>
      <c r="V236" s="153"/>
      <c r="W236" s="153"/>
      <c r="X236" s="153"/>
      <c r="Y236" s="153"/>
      <c r="Z236" s="153"/>
      <c r="AA236" s="153"/>
    </row>
    <row r="237" spans="7:27" ht="15" customHeight="1" x14ac:dyDescent="0.25">
      <c r="G237" s="191" t="s">
        <v>217</v>
      </c>
      <c r="H237" s="191" t="s">
        <v>217</v>
      </c>
      <c r="I237" s="194"/>
      <c r="J237" s="194"/>
      <c r="K237" s="194"/>
      <c r="M237" s="153"/>
      <c r="N237" s="153"/>
      <c r="O237" s="153"/>
      <c r="P237" s="153"/>
      <c r="Q237" s="153"/>
      <c r="R237" s="153"/>
      <c r="S237" s="153"/>
      <c r="T237" s="153"/>
      <c r="U237" s="153"/>
      <c r="V237" s="153"/>
      <c r="W237" s="153"/>
      <c r="X237" s="153"/>
      <c r="Y237" s="153"/>
      <c r="Z237" s="153"/>
      <c r="AA237" s="153"/>
    </row>
    <row r="238" spans="7:27" ht="15" customHeight="1" x14ac:dyDescent="0.25">
      <c r="G238" s="191" t="s">
        <v>217</v>
      </c>
      <c r="H238" s="191" t="s">
        <v>217</v>
      </c>
      <c r="I238" s="194"/>
      <c r="J238" s="194"/>
      <c r="K238" s="194"/>
      <c r="M238" s="153"/>
      <c r="N238" s="153"/>
      <c r="O238" s="153"/>
      <c r="P238" s="153"/>
      <c r="Q238" s="153"/>
      <c r="R238" s="153"/>
      <c r="S238" s="153"/>
      <c r="T238" s="153"/>
      <c r="U238" s="153"/>
      <c r="V238" s="153"/>
      <c r="W238" s="153"/>
      <c r="X238" s="153"/>
      <c r="Y238" s="153"/>
      <c r="Z238" s="153"/>
      <c r="AA238" s="153"/>
    </row>
    <row r="239" spans="7:27" ht="15" customHeight="1" x14ac:dyDescent="0.25">
      <c r="G239" s="191" t="s">
        <v>217</v>
      </c>
      <c r="H239" s="191" t="s">
        <v>217</v>
      </c>
      <c r="I239" s="194"/>
      <c r="J239" s="194"/>
      <c r="K239" s="194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  <c r="AA239" s="153"/>
    </row>
    <row r="240" spans="7:27" ht="15" customHeight="1" x14ac:dyDescent="0.25">
      <c r="G240" s="191" t="s">
        <v>217</v>
      </c>
      <c r="H240" s="191" t="s">
        <v>217</v>
      </c>
      <c r="I240" s="194"/>
      <c r="J240" s="194"/>
      <c r="K240" s="194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</row>
    <row r="241" spans="7:27" ht="15" customHeight="1" x14ac:dyDescent="0.25">
      <c r="G241" s="191" t="s">
        <v>217</v>
      </c>
      <c r="H241" s="191" t="s">
        <v>217</v>
      </c>
      <c r="I241" s="194"/>
      <c r="J241" s="194"/>
      <c r="K241" s="194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</row>
    <row r="242" spans="7:27" ht="15" customHeight="1" x14ac:dyDescent="0.25">
      <c r="G242" s="191" t="s">
        <v>217</v>
      </c>
      <c r="H242" s="191" t="s">
        <v>217</v>
      </c>
      <c r="I242" s="194"/>
      <c r="J242" s="194"/>
      <c r="K242" s="194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</row>
    <row r="243" spans="7:27" ht="15" customHeight="1" x14ac:dyDescent="0.25">
      <c r="G243" s="191" t="s">
        <v>217</v>
      </c>
      <c r="H243" s="191" t="s">
        <v>217</v>
      </c>
      <c r="I243" s="194"/>
      <c r="J243" s="194"/>
      <c r="K243" s="194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</row>
    <row r="244" spans="7:27" ht="15" customHeight="1" x14ac:dyDescent="0.25">
      <c r="G244" s="191" t="s">
        <v>217</v>
      </c>
      <c r="H244" s="191" t="s">
        <v>217</v>
      </c>
      <c r="I244" s="194"/>
      <c r="J244" s="194"/>
      <c r="K244" s="194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</row>
    <row r="245" spans="7:27" ht="15" customHeight="1" x14ac:dyDescent="0.25">
      <c r="G245" s="191" t="s">
        <v>217</v>
      </c>
      <c r="H245" s="191" t="s">
        <v>217</v>
      </c>
      <c r="I245" s="194"/>
      <c r="J245" s="194"/>
      <c r="K245" s="194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</row>
    <row r="246" spans="7:27" ht="15" customHeight="1" x14ac:dyDescent="0.25">
      <c r="G246" s="191" t="s">
        <v>217</v>
      </c>
      <c r="H246" s="191" t="s">
        <v>217</v>
      </c>
      <c r="I246" s="194"/>
      <c r="J246" s="194"/>
      <c r="K246" s="194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</row>
    <row r="247" spans="7:27" ht="15" customHeight="1" x14ac:dyDescent="0.25">
      <c r="G247" s="191" t="s">
        <v>217</v>
      </c>
      <c r="H247" s="191" t="s">
        <v>217</v>
      </c>
      <c r="I247" s="194"/>
      <c r="J247" s="194"/>
      <c r="K247" s="194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</row>
    <row r="248" spans="7:27" ht="15" customHeight="1" x14ac:dyDescent="0.25">
      <c r="G248" s="191" t="s">
        <v>217</v>
      </c>
      <c r="H248" s="191" t="s">
        <v>217</v>
      </c>
      <c r="I248" s="194"/>
      <c r="J248" s="194"/>
      <c r="K248" s="194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</row>
    <row r="249" spans="7:27" ht="15" customHeight="1" x14ac:dyDescent="0.25">
      <c r="G249" s="191" t="s">
        <v>217</v>
      </c>
      <c r="H249" s="191" t="s">
        <v>217</v>
      </c>
      <c r="I249" s="194"/>
      <c r="J249" s="194"/>
      <c r="K249" s="194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Z249" s="153"/>
      <c r="AA249" s="153"/>
    </row>
    <row r="250" spans="7:27" ht="15" customHeight="1" x14ac:dyDescent="0.25">
      <c r="G250" s="191" t="s">
        <v>217</v>
      </c>
      <c r="H250" s="191" t="s">
        <v>217</v>
      </c>
      <c r="I250" s="194"/>
      <c r="J250" s="194"/>
      <c r="K250" s="194"/>
      <c r="M250" s="153"/>
      <c r="N250" s="153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  <c r="AA250" s="153"/>
    </row>
    <row r="251" spans="7:27" ht="15" customHeight="1" x14ac:dyDescent="0.25">
      <c r="G251" s="191" t="s">
        <v>217</v>
      </c>
      <c r="H251" s="191" t="s">
        <v>217</v>
      </c>
      <c r="I251" s="194"/>
      <c r="J251" s="194"/>
      <c r="K251" s="194"/>
      <c r="M251" s="153"/>
      <c r="N251" s="153"/>
      <c r="O251" s="153"/>
      <c r="P251" s="153"/>
      <c r="Q251" s="153"/>
      <c r="R251" s="153"/>
      <c r="S251" s="153"/>
      <c r="T251" s="153"/>
      <c r="U251" s="153"/>
      <c r="V251" s="153"/>
      <c r="W251" s="153"/>
      <c r="X251" s="153"/>
      <c r="Y251" s="153"/>
      <c r="Z251" s="153"/>
      <c r="AA251" s="153"/>
    </row>
    <row r="252" spans="7:27" ht="15" customHeight="1" x14ac:dyDescent="0.25">
      <c r="G252" s="191" t="s">
        <v>217</v>
      </c>
      <c r="H252" s="191" t="s">
        <v>217</v>
      </c>
      <c r="I252" s="194"/>
      <c r="J252" s="194"/>
      <c r="K252" s="194"/>
      <c r="M252" s="153"/>
      <c r="N252" s="153"/>
      <c r="O252" s="153"/>
      <c r="P252" s="153"/>
      <c r="Q252" s="153"/>
      <c r="R252" s="153"/>
      <c r="S252" s="153"/>
      <c r="T252" s="153"/>
      <c r="U252" s="153"/>
      <c r="V252" s="153"/>
      <c r="W252" s="153"/>
      <c r="X252" s="153"/>
      <c r="Y252" s="153"/>
      <c r="Z252" s="153"/>
      <c r="AA252" s="153"/>
    </row>
    <row r="253" spans="7:27" ht="15" customHeight="1" x14ac:dyDescent="0.25">
      <c r="G253" s="191" t="s">
        <v>217</v>
      </c>
      <c r="H253" s="191" t="s">
        <v>217</v>
      </c>
      <c r="I253" s="194"/>
      <c r="J253" s="194"/>
      <c r="K253" s="194"/>
      <c r="M253" s="153"/>
      <c r="N253" s="153"/>
      <c r="O253" s="153"/>
      <c r="P253" s="153"/>
      <c r="Q253" s="153"/>
      <c r="R253" s="153"/>
      <c r="S253" s="153"/>
      <c r="T253" s="153"/>
      <c r="U253" s="153"/>
      <c r="V253" s="153"/>
      <c r="W253" s="153"/>
      <c r="X253" s="153"/>
      <c r="Y253" s="153"/>
      <c r="Z253" s="153"/>
      <c r="AA253" s="153"/>
    </row>
    <row r="254" spans="7:27" ht="15" customHeight="1" x14ac:dyDescent="0.25">
      <c r="G254" s="191" t="s">
        <v>217</v>
      </c>
      <c r="H254" s="191" t="s">
        <v>217</v>
      </c>
      <c r="I254" s="194"/>
      <c r="J254" s="194"/>
      <c r="K254" s="194"/>
      <c r="M254" s="153"/>
      <c r="N254" s="153"/>
      <c r="O254" s="153"/>
      <c r="P254" s="153"/>
      <c r="Q254" s="153"/>
      <c r="R254" s="153"/>
      <c r="S254" s="153"/>
      <c r="T254" s="153"/>
      <c r="U254" s="153"/>
      <c r="V254" s="153"/>
      <c r="W254" s="153"/>
      <c r="X254" s="153"/>
      <c r="Y254" s="153"/>
      <c r="Z254" s="153"/>
      <c r="AA254" s="153"/>
    </row>
    <row r="255" spans="7:27" ht="15" customHeight="1" x14ac:dyDescent="0.25">
      <c r="G255" s="191" t="s">
        <v>217</v>
      </c>
      <c r="H255" s="191" t="s">
        <v>217</v>
      </c>
      <c r="I255" s="194"/>
      <c r="J255" s="194"/>
      <c r="K255" s="194"/>
      <c r="M255" s="153"/>
      <c r="N255" s="153"/>
      <c r="O255" s="153"/>
      <c r="P255" s="153"/>
      <c r="Q255" s="153"/>
      <c r="R255" s="153"/>
      <c r="S255" s="153"/>
      <c r="T255" s="153"/>
      <c r="U255" s="153"/>
      <c r="V255" s="153"/>
      <c r="W255" s="153"/>
      <c r="X255" s="153"/>
      <c r="Y255" s="153"/>
      <c r="Z255" s="153"/>
      <c r="AA255" s="153"/>
    </row>
    <row r="256" spans="7:27" ht="15" customHeight="1" x14ac:dyDescent="0.25">
      <c r="G256" s="191" t="s">
        <v>217</v>
      </c>
      <c r="H256" s="191" t="s">
        <v>217</v>
      </c>
      <c r="I256" s="194"/>
      <c r="J256" s="194"/>
      <c r="K256" s="194"/>
      <c r="M256" s="153"/>
      <c r="N256" s="153"/>
      <c r="O256" s="153"/>
      <c r="P256" s="153"/>
      <c r="Q256" s="153"/>
      <c r="R256" s="153"/>
      <c r="S256" s="153"/>
      <c r="T256" s="153"/>
      <c r="U256" s="153"/>
      <c r="V256" s="153"/>
      <c r="W256" s="153"/>
      <c r="X256" s="153"/>
      <c r="Y256" s="153"/>
      <c r="Z256" s="153"/>
      <c r="AA256" s="153"/>
    </row>
    <row r="257" spans="7:27" ht="15" customHeight="1" x14ac:dyDescent="0.25">
      <c r="G257" s="191" t="s">
        <v>217</v>
      </c>
      <c r="H257" s="191" t="s">
        <v>217</v>
      </c>
      <c r="I257" s="194"/>
      <c r="J257" s="194"/>
      <c r="K257" s="194"/>
      <c r="M257" s="153"/>
      <c r="N257" s="153"/>
      <c r="O257" s="153"/>
      <c r="P257" s="153"/>
      <c r="Q257" s="153"/>
      <c r="R257" s="153"/>
      <c r="S257" s="153"/>
      <c r="T257" s="153"/>
      <c r="U257" s="153"/>
      <c r="V257" s="153"/>
      <c r="W257" s="153"/>
      <c r="X257" s="153"/>
      <c r="Y257" s="153"/>
      <c r="Z257" s="153"/>
      <c r="AA257" s="153"/>
    </row>
    <row r="258" spans="7:27" ht="15" customHeight="1" x14ac:dyDescent="0.25">
      <c r="G258" s="191" t="s">
        <v>217</v>
      </c>
      <c r="H258" s="191" t="s">
        <v>217</v>
      </c>
      <c r="I258" s="194"/>
      <c r="J258" s="194"/>
      <c r="K258" s="194"/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  <c r="AA258" s="153"/>
    </row>
    <row r="259" spans="7:27" ht="15" customHeight="1" x14ac:dyDescent="0.25">
      <c r="G259" s="191" t="s">
        <v>217</v>
      </c>
      <c r="H259" s="191" t="s">
        <v>217</v>
      </c>
      <c r="I259" s="194"/>
      <c r="J259" s="194"/>
      <c r="K259" s="194"/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  <c r="AA259" s="153"/>
    </row>
    <row r="260" spans="7:27" ht="15" customHeight="1" x14ac:dyDescent="0.25">
      <c r="G260" s="191" t="s">
        <v>217</v>
      </c>
      <c r="H260" s="191" t="s">
        <v>217</v>
      </c>
      <c r="I260" s="194"/>
      <c r="J260" s="194"/>
      <c r="K260" s="194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</row>
    <row r="261" spans="7:27" ht="15" customHeight="1" x14ac:dyDescent="0.25">
      <c r="G261" s="191" t="s">
        <v>217</v>
      </c>
      <c r="H261" s="191" t="s">
        <v>217</v>
      </c>
      <c r="I261" s="194"/>
      <c r="J261" s="194"/>
      <c r="K261" s="194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153"/>
    </row>
    <row r="262" spans="7:27" ht="15" customHeight="1" x14ac:dyDescent="0.25">
      <c r="G262" s="191" t="s">
        <v>217</v>
      </c>
      <c r="H262" s="191" t="s">
        <v>217</v>
      </c>
      <c r="I262" s="194"/>
      <c r="J262" s="194"/>
      <c r="K262" s="194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153"/>
    </row>
    <row r="263" spans="7:27" ht="15" customHeight="1" x14ac:dyDescent="0.25">
      <c r="G263" s="191" t="s">
        <v>217</v>
      </c>
      <c r="H263" s="191" t="s">
        <v>217</v>
      </c>
      <c r="I263" s="194"/>
      <c r="J263" s="194"/>
      <c r="K263" s="194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  <c r="AA263" s="153"/>
    </row>
    <row r="264" spans="7:27" ht="15" customHeight="1" x14ac:dyDescent="0.25">
      <c r="G264" s="191" t="s">
        <v>217</v>
      </c>
      <c r="H264" s="191" t="s">
        <v>217</v>
      </c>
      <c r="I264" s="194"/>
      <c r="J264" s="194"/>
      <c r="K264" s="194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  <c r="AA264" s="153"/>
    </row>
    <row r="265" spans="7:27" ht="15" customHeight="1" x14ac:dyDescent="0.25">
      <c r="G265" s="191" t="s">
        <v>217</v>
      </c>
      <c r="H265" s="191" t="s">
        <v>217</v>
      </c>
      <c r="I265" s="194"/>
      <c r="J265" s="194"/>
      <c r="K265" s="194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  <c r="AA265" s="153"/>
    </row>
    <row r="266" spans="7:27" ht="15" customHeight="1" x14ac:dyDescent="0.25">
      <c r="G266" s="191" t="s">
        <v>217</v>
      </c>
      <c r="H266" s="191" t="s">
        <v>217</v>
      </c>
      <c r="I266" s="194"/>
      <c r="J266" s="194"/>
      <c r="K266" s="194"/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  <c r="AA266" s="153"/>
    </row>
    <row r="267" spans="7:27" ht="15" customHeight="1" x14ac:dyDescent="0.25">
      <c r="G267" s="191" t="s">
        <v>217</v>
      </c>
      <c r="H267" s="191" t="s">
        <v>217</v>
      </c>
      <c r="I267" s="194"/>
      <c r="J267" s="194"/>
      <c r="K267" s="194"/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  <c r="AA267" s="153"/>
    </row>
    <row r="268" spans="7:27" ht="15" customHeight="1" x14ac:dyDescent="0.25">
      <c r="G268" s="191" t="s">
        <v>217</v>
      </c>
      <c r="H268" s="191" t="s">
        <v>217</v>
      </c>
      <c r="I268" s="194"/>
      <c r="J268" s="194"/>
      <c r="K268" s="194"/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  <c r="AA268" s="153"/>
    </row>
    <row r="269" spans="7:27" ht="15" customHeight="1" x14ac:dyDescent="0.25">
      <c r="G269" s="191" t="s">
        <v>217</v>
      </c>
      <c r="H269" s="191" t="s">
        <v>217</v>
      </c>
      <c r="I269" s="194"/>
      <c r="J269" s="194"/>
      <c r="K269" s="194"/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153"/>
    </row>
    <row r="270" spans="7:27" ht="15" customHeight="1" x14ac:dyDescent="0.25">
      <c r="G270" s="191" t="s">
        <v>217</v>
      </c>
      <c r="H270" s="191" t="s">
        <v>217</v>
      </c>
      <c r="I270" s="194"/>
      <c r="J270" s="194"/>
      <c r="K270" s="194"/>
      <c r="M270" s="153"/>
      <c r="N270" s="153"/>
      <c r="O270" s="153"/>
      <c r="P270" s="153"/>
      <c r="Q270" s="153"/>
      <c r="R270" s="153"/>
      <c r="S270" s="153"/>
      <c r="T270" s="153"/>
      <c r="U270" s="153"/>
      <c r="V270" s="153"/>
      <c r="W270" s="153"/>
      <c r="X270" s="153"/>
      <c r="Y270" s="153"/>
      <c r="Z270" s="153"/>
      <c r="AA270" s="153"/>
    </row>
    <row r="271" spans="7:27" ht="15" customHeight="1" x14ac:dyDescent="0.25">
      <c r="G271" s="191" t="s">
        <v>217</v>
      </c>
      <c r="H271" s="191" t="s">
        <v>217</v>
      </c>
      <c r="I271" s="194"/>
      <c r="J271" s="194"/>
      <c r="K271" s="194"/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  <c r="AA271" s="153"/>
    </row>
    <row r="272" spans="7:27" ht="15" customHeight="1" x14ac:dyDescent="0.25">
      <c r="G272" s="191" t="s">
        <v>217</v>
      </c>
      <c r="H272" s="191" t="s">
        <v>217</v>
      </c>
      <c r="I272" s="194"/>
      <c r="J272" s="194"/>
      <c r="K272" s="194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  <c r="AA272" s="153"/>
    </row>
    <row r="273" spans="7:27" ht="15" customHeight="1" x14ac:dyDescent="0.25">
      <c r="G273" s="191" t="s">
        <v>217</v>
      </c>
      <c r="H273" s="191" t="s">
        <v>217</v>
      </c>
      <c r="I273" s="194"/>
      <c r="J273" s="194"/>
      <c r="K273" s="194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  <c r="AA273" s="153"/>
    </row>
    <row r="274" spans="7:27" ht="15" customHeight="1" x14ac:dyDescent="0.25">
      <c r="G274" s="191" t="s">
        <v>217</v>
      </c>
      <c r="H274" s="191" t="s">
        <v>217</v>
      </c>
      <c r="I274" s="194"/>
      <c r="J274" s="194"/>
      <c r="K274" s="194"/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  <c r="AA274" s="153"/>
    </row>
    <row r="275" spans="7:27" ht="15" customHeight="1" x14ac:dyDescent="0.25">
      <c r="G275" s="191" t="s">
        <v>217</v>
      </c>
      <c r="H275" s="191" t="s">
        <v>217</v>
      </c>
      <c r="I275" s="194"/>
      <c r="J275" s="194"/>
      <c r="K275" s="194"/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  <c r="AA275" s="153"/>
    </row>
    <row r="276" spans="7:27" ht="15" customHeight="1" x14ac:dyDescent="0.25">
      <c r="G276" s="191" t="s">
        <v>217</v>
      </c>
      <c r="H276" s="191" t="s">
        <v>217</v>
      </c>
      <c r="I276" s="194"/>
      <c r="J276" s="194"/>
      <c r="K276" s="194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</row>
    <row r="277" spans="7:27" ht="15" customHeight="1" x14ac:dyDescent="0.25">
      <c r="G277" s="191" t="s">
        <v>217</v>
      </c>
      <c r="H277" s="191" t="s">
        <v>217</v>
      </c>
      <c r="I277" s="194"/>
      <c r="J277" s="194"/>
      <c r="K277" s="194"/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  <c r="AA277" s="153"/>
    </row>
    <row r="278" spans="7:27" ht="15" customHeight="1" x14ac:dyDescent="0.25">
      <c r="G278" s="191" t="s">
        <v>217</v>
      </c>
      <c r="H278" s="191" t="s">
        <v>217</v>
      </c>
      <c r="I278" s="194"/>
      <c r="J278" s="194"/>
      <c r="K278" s="194"/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  <c r="AA278" s="153"/>
    </row>
    <row r="279" spans="7:27" ht="15" customHeight="1" x14ac:dyDescent="0.25">
      <c r="G279" s="191" t="s">
        <v>217</v>
      </c>
      <c r="H279" s="191" t="s">
        <v>217</v>
      </c>
      <c r="I279" s="194"/>
      <c r="J279" s="194"/>
      <c r="K279" s="194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</row>
    <row r="280" spans="7:27" ht="15" customHeight="1" x14ac:dyDescent="0.25">
      <c r="G280" s="191" t="s">
        <v>217</v>
      </c>
      <c r="H280" s="191" t="s">
        <v>217</v>
      </c>
      <c r="I280" s="194"/>
      <c r="J280" s="194"/>
      <c r="K280" s="194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</row>
    <row r="281" spans="7:27" ht="15" customHeight="1" x14ac:dyDescent="0.25">
      <c r="G281" s="191" t="s">
        <v>217</v>
      </c>
      <c r="H281" s="191" t="s">
        <v>217</v>
      </c>
      <c r="I281" s="194"/>
      <c r="J281" s="194"/>
      <c r="K281" s="194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</row>
    <row r="282" spans="7:27" ht="15" customHeight="1" x14ac:dyDescent="0.25">
      <c r="G282" s="191" t="s">
        <v>217</v>
      </c>
      <c r="H282" s="191" t="s">
        <v>217</v>
      </c>
      <c r="I282" s="194"/>
      <c r="J282" s="194"/>
      <c r="K282" s="194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</row>
    <row r="283" spans="7:27" ht="15" customHeight="1" x14ac:dyDescent="0.25">
      <c r="G283" s="191" t="s">
        <v>217</v>
      </c>
      <c r="H283" s="191" t="s">
        <v>217</v>
      </c>
      <c r="I283" s="194"/>
      <c r="J283" s="194"/>
      <c r="K283" s="194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</row>
    <row r="284" spans="7:27" ht="15" customHeight="1" x14ac:dyDescent="0.25">
      <c r="G284" s="191" t="s">
        <v>217</v>
      </c>
      <c r="H284" s="191" t="s">
        <v>217</v>
      </c>
      <c r="I284" s="194"/>
      <c r="J284" s="194"/>
      <c r="K284" s="194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</row>
    <row r="285" spans="7:27" ht="15" customHeight="1" x14ac:dyDescent="0.25">
      <c r="G285" s="191" t="s">
        <v>217</v>
      </c>
      <c r="H285" s="191" t="s">
        <v>217</v>
      </c>
      <c r="I285" s="194"/>
      <c r="J285" s="194"/>
      <c r="K285" s="194"/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  <c r="AA285" s="153"/>
    </row>
    <row r="286" spans="7:27" ht="15" customHeight="1" x14ac:dyDescent="0.25">
      <c r="G286" s="191" t="s">
        <v>217</v>
      </c>
      <c r="H286" s="191" t="s">
        <v>217</v>
      </c>
      <c r="I286" s="194"/>
      <c r="J286" s="194"/>
      <c r="K286" s="194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  <c r="AA286" s="153"/>
    </row>
    <row r="287" spans="7:27" ht="15" customHeight="1" x14ac:dyDescent="0.25">
      <c r="G287" s="191" t="s">
        <v>217</v>
      </c>
      <c r="H287" s="191" t="s">
        <v>217</v>
      </c>
      <c r="I287" s="194"/>
      <c r="J287" s="194"/>
      <c r="K287" s="194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</row>
    <row r="288" spans="7:27" ht="15" customHeight="1" x14ac:dyDescent="0.25">
      <c r="G288" s="191" t="s">
        <v>217</v>
      </c>
      <c r="H288" s="191" t="s">
        <v>217</v>
      </c>
      <c r="I288" s="194"/>
      <c r="J288" s="194"/>
      <c r="K288" s="194"/>
      <c r="M288" s="153"/>
      <c r="N288" s="153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  <c r="AA288" s="153"/>
    </row>
    <row r="289" spans="7:27" ht="15" customHeight="1" x14ac:dyDescent="0.25">
      <c r="G289" s="191" t="s">
        <v>217</v>
      </c>
      <c r="H289" s="191" t="s">
        <v>217</v>
      </c>
      <c r="I289" s="194"/>
      <c r="J289" s="194"/>
      <c r="K289" s="194"/>
      <c r="M289" s="153"/>
      <c r="N289" s="153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Z289" s="153"/>
      <c r="AA289" s="153"/>
    </row>
    <row r="290" spans="7:27" ht="15" customHeight="1" x14ac:dyDescent="0.25">
      <c r="G290" s="191" t="s">
        <v>217</v>
      </c>
      <c r="H290" s="191" t="s">
        <v>217</v>
      </c>
      <c r="I290" s="194"/>
      <c r="J290" s="194"/>
      <c r="K290" s="194"/>
      <c r="M290" s="153"/>
      <c r="N290" s="153"/>
      <c r="O290" s="153"/>
      <c r="P290" s="153"/>
      <c r="Q290" s="153"/>
      <c r="R290" s="153"/>
      <c r="S290" s="153"/>
      <c r="T290" s="153"/>
      <c r="U290" s="153"/>
      <c r="V290" s="153"/>
      <c r="W290" s="153"/>
      <c r="X290" s="153"/>
      <c r="Y290" s="153"/>
      <c r="Z290" s="153"/>
      <c r="AA290" s="153"/>
    </row>
    <row r="291" spans="7:27" ht="15" customHeight="1" x14ac:dyDescent="0.25">
      <c r="G291" s="191" t="s">
        <v>217</v>
      </c>
      <c r="H291" s="191" t="s">
        <v>217</v>
      </c>
      <c r="I291" s="194"/>
      <c r="J291" s="194"/>
      <c r="K291" s="194"/>
      <c r="M291" s="153"/>
      <c r="N291" s="153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Z291" s="153"/>
      <c r="AA291" s="153"/>
    </row>
    <row r="292" spans="7:27" ht="15" customHeight="1" x14ac:dyDescent="0.25">
      <c r="G292" s="191" t="s">
        <v>217</v>
      </c>
      <c r="H292" s="191" t="s">
        <v>217</v>
      </c>
      <c r="I292" s="194"/>
      <c r="J292" s="194"/>
      <c r="K292" s="194"/>
      <c r="M292" s="153"/>
      <c r="N292" s="153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  <c r="AA292" s="153"/>
    </row>
    <row r="293" spans="7:27" ht="15" customHeight="1" x14ac:dyDescent="0.25">
      <c r="G293" s="191" t="s">
        <v>217</v>
      </c>
      <c r="H293" s="191" t="s">
        <v>217</v>
      </c>
      <c r="I293" s="194"/>
      <c r="J293" s="194"/>
      <c r="K293" s="194"/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  <c r="AA293" s="153"/>
    </row>
    <row r="294" spans="7:27" ht="15" customHeight="1" x14ac:dyDescent="0.25">
      <c r="G294" s="191" t="s">
        <v>217</v>
      </c>
      <c r="H294" s="191" t="s">
        <v>217</v>
      </c>
      <c r="I294" s="194"/>
      <c r="J294" s="194"/>
      <c r="K294" s="194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</row>
    <row r="295" spans="7:27" ht="15" customHeight="1" x14ac:dyDescent="0.25">
      <c r="G295" s="191" t="s">
        <v>217</v>
      </c>
      <c r="H295" s="191" t="s">
        <v>217</v>
      </c>
      <c r="I295" s="194"/>
      <c r="J295" s="194"/>
      <c r="K295" s="194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</row>
    <row r="296" spans="7:27" ht="15" customHeight="1" x14ac:dyDescent="0.25">
      <c r="G296" s="191" t="s">
        <v>217</v>
      </c>
      <c r="H296" s="191" t="s">
        <v>217</v>
      </c>
      <c r="I296" s="194"/>
      <c r="J296" s="194"/>
      <c r="K296" s="194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</row>
    <row r="297" spans="7:27" ht="15" customHeight="1" x14ac:dyDescent="0.25">
      <c r="G297" s="191" t="s">
        <v>217</v>
      </c>
      <c r="H297" s="191" t="s">
        <v>217</v>
      </c>
      <c r="I297" s="194"/>
      <c r="J297" s="194"/>
      <c r="K297" s="194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</row>
    <row r="298" spans="7:27" ht="15" customHeight="1" x14ac:dyDescent="0.25">
      <c r="G298" s="191" t="s">
        <v>217</v>
      </c>
      <c r="H298" s="191" t="s">
        <v>217</v>
      </c>
      <c r="I298" s="194"/>
      <c r="J298" s="194"/>
      <c r="K298" s="194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</row>
    <row r="299" spans="7:27" ht="15" customHeight="1" x14ac:dyDescent="0.25">
      <c r="G299" s="191" t="s">
        <v>217</v>
      </c>
      <c r="H299" s="191" t="s">
        <v>217</v>
      </c>
      <c r="I299" s="194"/>
      <c r="J299" s="194"/>
      <c r="K299" s="194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</row>
    <row r="300" spans="7:27" ht="15" customHeight="1" x14ac:dyDescent="0.25">
      <c r="G300" s="191" t="s">
        <v>217</v>
      </c>
      <c r="H300" s="191" t="s">
        <v>217</v>
      </c>
      <c r="I300" s="194"/>
      <c r="J300" s="194"/>
      <c r="K300" s="194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</row>
    <row r="301" spans="7:27" ht="15" customHeight="1" x14ac:dyDescent="0.25">
      <c r="G301" s="191" t="s">
        <v>217</v>
      </c>
      <c r="H301" s="191" t="s">
        <v>217</v>
      </c>
      <c r="I301" s="194"/>
      <c r="J301" s="194"/>
      <c r="K301" s="194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</row>
    <row r="302" spans="7:27" ht="15" customHeight="1" x14ac:dyDescent="0.25">
      <c r="G302" s="191" t="s">
        <v>217</v>
      </c>
      <c r="H302" s="191" t="s">
        <v>217</v>
      </c>
      <c r="I302" s="194"/>
      <c r="J302" s="194"/>
      <c r="K302" s="194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</row>
    <row r="303" spans="7:27" ht="15" customHeight="1" x14ac:dyDescent="0.25">
      <c r="G303" s="191" t="s">
        <v>217</v>
      </c>
      <c r="H303" s="191" t="s">
        <v>217</v>
      </c>
      <c r="I303" s="194"/>
      <c r="J303" s="194"/>
      <c r="K303" s="194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153"/>
    </row>
    <row r="304" spans="7:27" ht="15" customHeight="1" x14ac:dyDescent="0.25">
      <c r="G304" s="191" t="s">
        <v>217</v>
      </c>
      <c r="H304" s="191" t="s">
        <v>217</v>
      </c>
      <c r="I304" s="194"/>
      <c r="J304" s="194"/>
      <c r="K304" s="194"/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  <c r="AA304" s="153"/>
    </row>
    <row r="305" spans="7:27" ht="15" customHeight="1" x14ac:dyDescent="0.25">
      <c r="G305" s="191" t="s">
        <v>217</v>
      </c>
      <c r="H305" s="191" t="s">
        <v>217</v>
      </c>
      <c r="I305" s="194"/>
      <c r="J305" s="194"/>
      <c r="K305" s="194"/>
      <c r="M305" s="153"/>
      <c r="N305" s="153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  <c r="AA305" s="153"/>
    </row>
    <row r="306" spans="7:27" ht="15" customHeight="1" x14ac:dyDescent="0.25">
      <c r="G306" s="191" t="s">
        <v>217</v>
      </c>
      <c r="H306" s="191" t="s">
        <v>217</v>
      </c>
      <c r="I306" s="194"/>
      <c r="J306" s="194"/>
      <c r="K306" s="194"/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153"/>
    </row>
    <row r="307" spans="7:27" ht="15" customHeight="1" x14ac:dyDescent="0.25">
      <c r="G307" s="191" t="s">
        <v>217</v>
      </c>
      <c r="H307" s="191" t="s">
        <v>217</v>
      </c>
      <c r="I307" s="194"/>
      <c r="J307" s="194"/>
      <c r="K307" s="194"/>
      <c r="M307" s="153"/>
      <c r="N307" s="153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  <c r="AA307" s="153"/>
    </row>
    <row r="308" spans="7:27" ht="15" customHeight="1" x14ac:dyDescent="0.25">
      <c r="G308" s="191" t="s">
        <v>217</v>
      </c>
      <c r="H308" s="191" t="s">
        <v>217</v>
      </c>
      <c r="I308" s="194"/>
      <c r="J308" s="194"/>
      <c r="K308" s="194"/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  <c r="AA308" s="153"/>
    </row>
    <row r="309" spans="7:27" ht="15" customHeight="1" x14ac:dyDescent="0.25">
      <c r="G309" s="191" t="s">
        <v>217</v>
      </c>
      <c r="H309" s="191" t="s">
        <v>217</v>
      </c>
      <c r="I309" s="194"/>
      <c r="J309" s="194"/>
      <c r="K309" s="194"/>
      <c r="M309" s="153"/>
      <c r="N309" s="153"/>
      <c r="O309" s="153"/>
      <c r="P309" s="153"/>
      <c r="Q309" s="153"/>
      <c r="R309" s="153"/>
      <c r="S309" s="153"/>
      <c r="T309" s="153"/>
      <c r="U309" s="153"/>
      <c r="V309" s="153"/>
      <c r="W309" s="153"/>
      <c r="X309" s="153"/>
      <c r="Y309" s="153"/>
      <c r="Z309" s="153"/>
      <c r="AA309" s="153"/>
    </row>
    <row r="310" spans="7:27" ht="15" customHeight="1" x14ac:dyDescent="0.25">
      <c r="G310" s="191" t="s">
        <v>217</v>
      </c>
      <c r="H310" s="191" t="s">
        <v>217</v>
      </c>
      <c r="I310" s="194"/>
      <c r="J310" s="194"/>
      <c r="K310" s="194"/>
      <c r="M310" s="153"/>
      <c r="N310" s="153"/>
      <c r="O310" s="153"/>
      <c r="P310" s="153"/>
      <c r="Q310" s="153"/>
      <c r="R310" s="153"/>
      <c r="S310" s="153"/>
      <c r="T310" s="153"/>
      <c r="U310" s="153"/>
      <c r="V310" s="153"/>
      <c r="W310" s="153"/>
      <c r="X310" s="153"/>
      <c r="Y310" s="153"/>
      <c r="Z310" s="153"/>
      <c r="AA310" s="153"/>
    </row>
    <row r="311" spans="7:27" ht="15" customHeight="1" x14ac:dyDescent="0.25">
      <c r="G311" s="191" t="s">
        <v>217</v>
      </c>
      <c r="H311" s="191" t="s">
        <v>217</v>
      </c>
      <c r="I311" s="194"/>
      <c r="J311" s="194"/>
      <c r="K311" s="194"/>
      <c r="M311" s="153"/>
      <c r="N311" s="153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  <c r="AA311" s="153"/>
    </row>
    <row r="312" spans="7:27" ht="15" customHeight="1" x14ac:dyDescent="0.25">
      <c r="G312" s="191" t="s">
        <v>217</v>
      </c>
      <c r="H312" s="191" t="s">
        <v>217</v>
      </c>
      <c r="I312" s="194"/>
      <c r="J312" s="194"/>
      <c r="K312" s="194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</row>
    <row r="313" spans="7:27" ht="15" customHeight="1" x14ac:dyDescent="0.25">
      <c r="G313" s="191" t="s">
        <v>217</v>
      </c>
      <c r="H313" s="191" t="s">
        <v>217</v>
      </c>
      <c r="I313" s="194"/>
      <c r="J313" s="194"/>
      <c r="K313" s="194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</row>
    <row r="314" spans="7:27" ht="15" customHeight="1" x14ac:dyDescent="0.25">
      <c r="G314" s="191" t="s">
        <v>217</v>
      </c>
      <c r="H314" s="191" t="s">
        <v>217</v>
      </c>
      <c r="I314" s="194"/>
      <c r="J314" s="194"/>
      <c r="K314" s="194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</row>
    <row r="315" spans="7:27" ht="15" customHeight="1" x14ac:dyDescent="0.25">
      <c r="G315" s="191" t="s">
        <v>217</v>
      </c>
      <c r="H315" s="191" t="s">
        <v>217</v>
      </c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</row>
    <row r="316" spans="7:27" ht="15" customHeight="1" x14ac:dyDescent="0.25">
      <c r="G316" s="191" t="s">
        <v>217</v>
      </c>
      <c r="H316" s="191" t="s">
        <v>217</v>
      </c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</row>
    <row r="317" spans="7:27" ht="15" customHeight="1" x14ac:dyDescent="0.25">
      <c r="G317" s="191" t="s">
        <v>217</v>
      </c>
      <c r="H317" s="191" t="s">
        <v>217</v>
      </c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</row>
    <row r="318" spans="7:27" ht="15" customHeight="1" x14ac:dyDescent="0.25">
      <c r="G318" s="191" t="s">
        <v>217</v>
      </c>
      <c r="H318" s="191" t="s">
        <v>217</v>
      </c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</row>
    <row r="319" spans="7:27" ht="15" customHeight="1" x14ac:dyDescent="0.25">
      <c r="G319" s="191" t="s">
        <v>217</v>
      </c>
      <c r="H319" s="191" t="s">
        <v>217</v>
      </c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153"/>
    </row>
    <row r="320" spans="7:27" ht="15" customHeight="1" x14ac:dyDescent="0.25">
      <c r="G320" s="191" t="s">
        <v>217</v>
      </c>
      <c r="H320" s="191" t="s">
        <v>217</v>
      </c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</row>
    <row r="321" spans="7:27" ht="15" customHeight="1" x14ac:dyDescent="0.25">
      <c r="G321" s="191" t="s">
        <v>217</v>
      </c>
      <c r="H321" s="191" t="s">
        <v>217</v>
      </c>
      <c r="M321" s="153"/>
      <c r="N321" s="153"/>
      <c r="O321" s="153"/>
      <c r="P321" s="153"/>
      <c r="Q321" s="153"/>
      <c r="R321" s="153"/>
      <c r="S321" s="153"/>
      <c r="T321" s="153"/>
      <c r="U321" s="153"/>
      <c r="V321" s="153"/>
      <c r="W321" s="153"/>
      <c r="X321" s="153"/>
      <c r="Y321" s="153"/>
      <c r="Z321" s="153"/>
      <c r="AA321" s="153"/>
    </row>
    <row r="322" spans="7:27" ht="15" customHeight="1" x14ac:dyDescent="0.25">
      <c r="G322" s="191" t="s">
        <v>217</v>
      </c>
      <c r="H322" s="191" t="s">
        <v>217</v>
      </c>
      <c r="M322" s="153"/>
      <c r="N322" s="153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3"/>
      <c r="Z322" s="153"/>
      <c r="AA322" s="153"/>
    </row>
    <row r="323" spans="7:27" ht="15" customHeight="1" x14ac:dyDescent="0.25">
      <c r="G323" s="191" t="s">
        <v>217</v>
      </c>
      <c r="H323" s="191" t="s">
        <v>217</v>
      </c>
      <c r="M323" s="153"/>
      <c r="N323" s="153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3"/>
      <c r="Z323" s="153"/>
      <c r="AA323" s="153"/>
    </row>
    <row r="324" spans="7:27" ht="15" customHeight="1" x14ac:dyDescent="0.25">
      <c r="G324" s="191" t="s">
        <v>217</v>
      </c>
      <c r="H324" s="191" t="s">
        <v>217</v>
      </c>
      <c r="M324" s="153"/>
      <c r="N324" s="153"/>
      <c r="O324" s="153"/>
      <c r="P324" s="153"/>
      <c r="Q324" s="153"/>
      <c r="R324" s="153"/>
      <c r="S324" s="153"/>
      <c r="T324" s="153"/>
      <c r="U324" s="153"/>
      <c r="V324" s="153"/>
      <c r="W324" s="153"/>
      <c r="X324" s="153"/>
      <c r="Y324" s="153"/>
      <c r="Z324" s="153"/>
      <c r="AA324" s="153"/>
    </row>
    <row r="325" spans="7:27" ht="15" customHeight="1" x14ac:dyDescent="0.25">
      <c r="G325" s="191" t="s">
        <v>217</v>
      </c>
      <c r="H325" s="191" t="s">
        <v>217</v>
      </c>
      <c r="M325" s="153"/>
      <c r="N325" s="153"/>
      <c r="O325" s="153"/>
      <c r="P325" s="153"/>
      <c r="Q325" s="153"/>
      <c r="R325" s="153"/>
      <c r="S325" s="153"/>
      <c r="T325" s="153"/>
      <c r="U325" s="153"/>
      <c r="V325" s="153"/>
      <c r="W325" s="153"/>
      <c r="X325" s="153"/>
      <c r="Y325" s="153"/>
      <c r="Z325" s="153"/>
      <c r="AA325" s="153"/>
    </row>
    <row r="326" spans="7:27" ht="15" customHeight="1" x14ac:dyDescent="0.25">
      <c r="G326" s="191" t="s">
        <v>217</v>
      </c>
      <c r="H326" s="191" t="s">
        <v>217</v>
      </c>
      <c r="M326" s="153"/>
      <c r="N326" s="153"/>
      <c r="O326" s="153"/>
      <c r="P326" s="153"/>
      <c r="Q326" s="153"/>
      <c r="R326" s="153"/>
      <c r="S326" s="153"/>
      <c r="T326" s="153"/>
      <c r="U326" s="153"/>
      <c r="V326" s="153"/>
      <c r="W326" s="153"/>
      <c r="X326" s="153"/>
      <c r="Y326" s="153"/>
      <c r="Z326" s="153"/>
      <c r="AA326" s="153"/>
    </row>
    <row r="327" spans="7:27" ht="15" customHeight="1" x14ac:dyDescent="0.25">
      <c r="G327" s="191" t="s">
        <v>217</v>
      </c>
      <c r="H327" s="191" t="s">
        <v>217</v>
      </c>
      <c r="M327" s="153"/>
      <c r="N327" s="153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  <c r="AA327" s="153"/>
    </row>
    <row r="328" spans="7:27" ht="15" customHeight="1" x14ac:dyDescent="0.25">
      <c r="G328" s="191" t="s">
        <v>217</v>
      </c>
      <c r="H328" s="191" t="s">
        <v>217</v>
      </c>
      <c r="M328" s="153"/>
      <c r="N328" s="153"/>
      <c r="O328" s="153"/>
      <c r="P328" s="153"/>
      <c r="Q328" s="153"/>
      <c r="R328" s="153"/>
      <c r="S328" s="153"/>
      <c r="T328" s="153"/>
      <c r="U328" s="153"/>
      <c r="V328" s="153"/>
      <c r="W328" s="153"/>
      <c r="X328" s="153"/>
      <c r="Y328" s="153"/>
      <c r="Z328" s="153"/>
      <c r="AA328" s="153"/>
    </row>
    <row r="329" spans="7:27" ht="15" customHeight="1" x14ac:dyDescent="0.25">
      <c r="G329" s="191" t="s">
        <v>217</v>
      </c>
      <c r="H329" s="191" t="s">
        <v>217</v>
      </c>
      <c r="M329" s="153"/>
      <c r="N329" s="153"/>
      <c r="O329" s="153"/>
      <c r="P329" s="153"/>
      <c r="Q329" s="153"/>
      <c r="R329" s="153"/>
      <c r="S329" s="153"/>
      <c r="T329" s="153"/>
      <c r="U329" s="153"/>
      <c r="V329" s="153"/>
      <c r="W329" s="153"/>
      <c r="X329" s="153"/>
      <c r="Y329" s="153"/>
      <c r="Z329" s="153"/>
      <c r="AA329" s="153"/>
    </row>
    <row r="330" spans="7:27" ht="15" customHeight="1" x14ac:dyDescent="0.25">
      <c r="G330" s="191" t="s">
        <v>217</v>
      </c>
      <c r="H330" s="191" t="s">
        <v>217</v>
      </c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</row>
    <row r="331" spans="7:27" ht="15" customHeight="1" x14ac:dyDescent="0.25">
      <c r="G331" s="191" t="s">
        <v>217</v>
      </c>
      <c r="H331" s="191" t="s">
        <v>217</v>
      </c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</row>
    <row r="332" spans="7:27" ht="15" customHeight="1" x14ac:dyDescent="0.25">
      <c r="G332" s="191" t="s">
        <v>217</v>
      </c>
      <c r="H332" s="191" t="s">
        <v>217</v>
      </c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</row>
    <row r="333" spans="7:27" ht="15" customHeight="1" x14ac:dyDescent="0.25">
      <c r="G333" s="191" t="s">
        <v>217</v>
      </c>
      <c r="H333" s="191" t="s">
        <v>217</v>
      </c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</row>
    <row r="334" spans="7:27" ht="15" customHeight="1" x14ac:dyDescent="0.25">
      <c r="G334" s="191" t="s">
        <v>217</v>
      </c>
      <c r="H334" s="191" t="s">
        <v>217</v>
      </c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</row>
    <row r="335" spans="7:27" ht="15" customHeight="1" x14ac:dyDescent="0.25">
      <c r="G335" s="191" t="s">
        <v>217</v>
      </c>
      <c r="H335" s="191" t="s">
        <v>217</v>
      </c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</row>
    <row r="336" spans="7:27" ht="15" customHeight="1" x14ac:dyDescent="0.25">
      <c r="G336" s="191" t="s">
        <v>217</v>
      </c>
      <c r="H336" s="191" t="s">
        <v>217</v>
      </c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</row>
    <row r="337" spans="7:27" ht="15" customHeight="1" x14ac:dyDescent="0.25">
      <c r="G337" s="191" t="s">
        <v>217</v>
      </c>
      <c r="H337" s="191" t="s">
        <v>217</v>
      </c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</row>
    <row r="338" spans="7:27" ht="15" customHeight="1" x14ac:dyDescent="0.25">
      <c r="G338" s="191" t="s">
        <v>217</v>
      </c>
      <c r="H338" s="191" t="s">
        <v>217</v>
      </c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</row>
    <row r="339" spans="7:27" ht="15" customHeight="1" x14ac:dyDescent="0.25">
      <c r="G339" s="191" t="s">
        <v>217</v>
      </c>
      <c r="H339" s="191" t="s">
        <v>217</v>
      </c>
      <c r="M339" s="153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  <c r="AA339" s="153"/>
    </row>
    <row r="340" spans="7:27" ht="15" customHeight="1" x14ac:dyDescent="0.25">
      <c r="G340" s="191" t="s">
        <v>217</v>
      </c>
      <c r="H340" s="191" t="s">
        <v>217</v>
      </c>
      <c r="M340" s="153"/>
      <c r="N340" s="153"/>
      <c r="O340" s="153"/>
      <c r="P340" s="153"/>
      <c r="Q340" s="153"/>
      <c r="R340" s="153"/>
      <c r="S340" s="153"/>
      <c r="T340" s="153"/>
      <c r="U340" s="153"/>
      <c r="V340" s="153"/>
      <c r="W340" s="153"/>
      <c r="X340" s="153"/>
      <c r="Y340" s="153"/>
      <c r="Z340" s="153"/>
      <c r="AA340" s="153"/>
    </row>
    <row r="341" spans="7:27" ht="15" customHeight="1" x14ac:dyDescent="0.25">
      <c r="G341" s="191" t="s">
        <v>217</v>
      </c>
      <c r="H341" s="191" t="s">
        <v>217</v>
      </c>
      <c r="M341" s="153"/>
      <c r="N341" s="153"/>
      <c r="O341" s="153"/>
      <c r="P341" s="153"/>
      <c r="Q341" s="153"/>
      <c r="R341" s="153"/>
      <c r="S341" s="153"/>
      <c r="T341" s="153"/>
      <c r="U341" s="153"/>
      <c r="V341" s="153"/>
      <c r="W341" s="153"/>
      <c r="X341" s="153"/>
      <c r="Y341" s="153"/>
      <c r="Z341" s="153"/>
      <c r="AA341" s="153"/>
    </row>
    <row r="342" spans="7:27" ht="15" customHeight="1" x14ac:dyDescent="0.25">
      <c r="G342" s="191" t="s">
        <v>217</v>
      </c>
      <c r="H342" s="191" t="s">
        <v>217</v>
      </c>
      <c r="M342" s="153"/>
      <c r="N342" s="153"/>
      <c r="O342" s="153"/>
      <c r="P342" s="153"/>
      <c r="Q342" s="153"/>
      <c r="R342" s="153"/>
      <c r="S342" s="153"/>
      <c r="T342" s="153"/>
      <c r="U342" s="153"/>
      <c r="V342" s="153"/>
      <c r="W342" s="153"/>
      <c r="X342" s="153"/>
      <c r="Y342" s="153"/>
      <c r="Z342" s="153"/>
      <c r="AA342" s="153"/>
    </row>
    <row r="343" spans="7:27" ht="15" customHeight="1" x14ac:dyDescent="0.25">
      <c r="G343" s="191" t="s">
        <v>217</v>
      </c>
      <c r="H343" s="191" t="s">
        <v>217</v>
      </c>
      <c r="M343" s="153"/>
      <c r="N343" s="153"/>
      <c r="O343" s="153"/>
      <c r="P343" s="153"/>
      <c r="Q343" s="153"/>
      <c r="R343" s="153"/>
      <c r="S343" s="153"/>
      <c r="T343" s="153"/>
      <c r="U343" s="153"/>
      <c r="V343" s="153"/>
      <c r="W343" s="153"/>
      <c r="X343" s="153"/>
      <c r="Y343" s="153"/>
      <c r="Z343" s="153"/>
      <c r="AA343" s="153"/>
    </row>
    <row r="344" spans="7:27" ht="15" customHeight="1" x14ac:dyDescent="0.25">
      <c r="G344" s="191" t="s">
        <v>217</v>
      </c>
      <c r="H344" s="191" t="s">
        <v>217</v>
      </c>
      <c r="M344" s="153"/>
      <c r="N344" s="153"/>
      <c r="O344" s="153"/>
      <c r="P344" s="153"/>
      <c r="Q344" s="153"/>
      <c r="R344" s="153"/>
      <c r="S344" s="153"/>
      <c r="T344" s="153"/>
      <c r="U344" s="153"/>
      <c r="V344" s="153"/>
      <c r="W344" s="153"/>
      <c r="X344" s="153"/>
      <c r="Y344" s="153"/>
      <c r="Z344" s="153"/>
      <c r="AA344" s="153"/>
    </row>
    <row r="345" spans="7:27" ht="15" customHeight="1" x14ac:dyDescent="0.25">
      <c r="G345" s="191" t="s">
        <v>217</v>
      </c>
      <c r="H345" s="191" t="s">
        <v>217</v>
      </c>
      <c r="M345" s="153"/>
      <c r="N345" s="153"/>
      <c r="O345" s="153"/>
      <c r="P345" s="153"/>
      <c r="Q345" s="153"/>
      <c r="R345" s="153"/>
      <c r="S345" s="153"/>
      <c r="T345" s="153"/>
      <c r="U345" s="153"/>
      <c r="V345" s="153"/>
      <c r="W345" s="153"/>
      <c r="X345" s="153"/>
      <c r="Y345" s="153"/>
      <c r="Z345" s="153"/>
      <c r="AA345" s="153"/>
    </row>
    <row r="346" spans="7:27" ht="15" customHeight="1" x14ac:dyDescent="0.25">
      <c r="G346" s="191" t="s">
        <v>217</v>
      </c>
      <c r="H346" s="191" t="s">
        <v>217</v>
      </c>
      <c r="M346" s="153"/>
      <c r="N346" s="153"/>
      <c r="O346" s="153"/>
      <c r="P346" s="153"/>
      <c r="Q346" s="153"/>
      <c r="R346" s="153"/>
      <c r="S346" s="153"/>
      <c r="T346" s="153"/>
      <c r="U346" s="153"/>
      <c r="V346" s="153"/>
      <c r="W346" s="153"/>
      <c r="X346" s="153"/>
      <c r="Y346" s="153"/>
      <c r="Z346" s="153"/>
      <c r="AA346" s="153"/>
    </row>
    <row r="347" spans="7:27" ht="15" customHeight="1" x14ac:dyDescent="0.25">
      <c r="G347" s="191" t="s">
        <v>217</v>
      </c>
      <c r="H347" s="191" t="s">
        <v>217</v>
      </c>
      <c r="M347" s="153"/>
      <c r="N347" s="153"/>
      <c r="O347" s="153"/>
      <c r="P347" s="153"/>
      <c r="Q347" s="153"/>
      <c r="R347" s="153"/>
      <c r="S347" s="153"/>
      <c r="T347" s="153"/>
      <c r="U347" s="153"/>
      <c r="V347" s="153"/>
      <c r="W347" s="153"/>
      <c r="X347" s="153"/>
      <c r="Y347" s="153"/>
      <c r="Z347" s="153"/>
      <c r="AA347" s="153"/>
    </row>
    <row r="348" spans="7:27" ht="15" customHeight="1" x14ac:dyDescent="0.25">
      <c r="G348" s="191" t="s">
        <v>217</v>
      </c>
      <c r="H348" s="191" t="s">
        <v>217</v>
      </c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153"/>
    </row>
    <row r="349" spans="7:27" ht="15" customHeight="1" x14ac:dyDescent="0.25">
      <c r="G349" s="191" t="s">
        <v>217</v>
      </c>
      <c r="H349" s="191" t="s">
        <v>217</v>
      </c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153"/>
    </row>
    <row r="350" spans="7:27" ht="15" customHeight="1" x14ac:dyDescent="0.25">
      <c r="G350" s="191" t="s">
        <v>217</v>
      </c>
      <c r="H350" s="191" t="s">
        <v>217</v>
      </c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153"/>
    </row>
    <row r="351" spans="7:27" ht="15" customHeight="1" x14ac:dyDescent="0.25">
      <c r="G351" s="191" t="s">
        <v>217</v>
      </c>
      <c r="H351" s="191" t="s">
        <v>217</v>
      </c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</row>
    <row r="352" spans="7:27" ht="15" customHeight="1" x14ac:dyDescent="0.25">
      <c r="G352" s="191" t="s">
        <v>217</v>
      </c>
      <c r="H352" s="191" t="s">
        <v>217</v>
      </c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153"/>
    </row>
    <row r="353" spans="7:27" ht="15" customHeight="1" x14ac:dyDescent="0.25">
      <c r="G353" s="191" t="s">
        <v>217</v>
      </c>
      <c r="H353" s="191" t="s">
        <v>217</v>
      </c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153"/>
    </row>
    <row r="354" spans="7:27" ht="15" customHeight="1" x14ac:dyDescent="0.25">
      <c r="G354" s="191" t="s">
        <v>217</v>
      </c>
      <c r="H354" s="191" t="s">
        <v>217</v>
      </c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53"/>
    </row>
    <row r="355" spans="7:27" ht="15" customHeight="1" x14ac:dyDescent="0.25">
      <c r="G355" s="191" t="s">
        <v>217</v>
      </c>
      <c r="H355" s="191" t="s">
        <v>217</v>
      </c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153"/>
    </row>
    <row r="356" spans="7:27" ht="15" customHeight="1" x14ac:dyDescent="0.25">
      <c r="G356" s="191" t="s">
        <v>217</v>
      </c>
      <c r="H356" s="191" t="s">
        <v>217</v>
      </c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153"/>
    </row>
    <row r="357" spans="7:27" ht="15" customHeight="1" x14ac:dyDescent="0.25">
      <c r="G357" s="191" t="s">
        <v>217</v>
      </c>
      <c r="H357" s="191" t="s">
        <v>217</v>
      </c>
      <c r="M357" s="153"/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  <c r="Z357" s="153"/>
      <c r="AA357" s="153"/>
    </row>
    <row r="358" spans="7:27" ht="15" customHeight="1" x14ac:dyDescent="0.25">
      <c r="G358" s="191" t="s">
        <v>217</v>
      </c>
      <c r="H358" s="191" t="s">
        <v>217</v>
      </c>
      <c r="M358" s="153"/>
      <c r="N358" s="153"/>
      <c r="O358" s="153"/>
      <c r="P358" s="153"/>
      <c r="Q358" s="153"/>
      <c r="R358" s="153"/>
      <c r="S358" s="153"/>
      <c r="T358" s="153"/>
      <c r="U358" s="153"/>
      <c r="V358" s="153"/>
      <c r="W358" s="153"/>
      <c r="X358" s="153"/>
      <c r="Y358" s="153"/>
      <c r="Z358" s="153"/>
      <c r="AA358" s="153"/>
    </row>
    <row r="359" spans="7:27" ht="15" customHeight="1" x14ac:dyDescent="0.25">
      <c r="G359" s="191" t="s">
        <v>217</v>
      </c>
      <c r="H359" s="191" t="s">
        <v>217</v>
      </c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  <c r="AA359" s="153"/>
    </row>
    <row r="360" spans="7:27" ht="15" customHeight="1" x14ac:dyDescent="0.25">
      <c r="G360" s="191" t="s">
        <v>217</v>
      </c>
      <c r="H360" s="191" t="s">
        <v>217</v>
      </c>
      <c r="M360" s="153"/>
      <c r="N360" s="153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  <c r="Z360" s="153"/>
      <c r="AA360" s="153"/>
    </row>
    <row r="361" spans="7:27" ht="15" customHeight="1" x14ac:dyDescent="0.25">
      <c r="G361" s="191" t="s">
        <v>217</v>
      </c>
      <c r="H361" s="191" t="s">
        <v>217</v>
      </c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  <c r="AA361" s="153"/>
    </row>
    <row r="362" spans="7:27" ht="15" customHeight="1" x14ac:dyDescent="0.25">
      <c r="G362" s="191" t="s">
        <v>217</v>
      </c>
      <c r="H362" s="191" t="s">
        <v>217</v>
      </c>
      <c r="M362" s="153"/>
      <c r="N362" s="153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  <c r="Z362" s="153"/>
      <c r="AA362" s="153"/>
    </row>
    <row r="363" spans="7:27" ht="15" customHeight="1" x14ac:dyDescent="0.25">
      <c r="G363" s="191" t="s">
        <v>217</v>
      </c>
      <c r="H363" s="191" t="s">
        <v>217</v>
      </c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  <c r="AA363" s="153"/>
    </row>
    <row r="364" spans="7:27" ht="15" customHeight="1" x14ac:dyDescent="0.25">
      <c r="G364" s="191" t="s">
        <v>217</v>
      </c>
      <c r="H364" s="191" t="s">
        <v>217</v>
      </c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  <c r="AA364" s="153"/>
    </row>
    <row r="365" spans="7:27" ht="15" customHeight="1" x14ac:dyDescent="0.25">
      <c r="G365" s="191" t="s">
        <v>217</v>
      </c>
      <c r="H365" s="191" t="s">
        <v>217</v>
      </c>
      <c r="M365" s="153"/>
      <c r="N365" s="153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  <c r="AA365" s="153"/>
    </row>
    <row r="366" spans="7:27" ht="15" customHeight="1" x14ac:dyDescent="0.25">
      <c r="G366" s="191" t="s">
        <v>217</v>
      </c>
      <c r="H366" s="191" t="s">
        <v>217</v>
      </c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</row>
    <row r="367" spans="7:27" ht="15" customHeight="1" x14ac:dyDescent="0.25">
      <c r="G367" s="191" t="s">
        <v>217</v>
      </c>
      <c r="H367" s="191" t="s">
        <v>217</v>
      </c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</row>
    <row r="368" spans="7:27" ht="15" customHeight="1" x14ac:dyDescent="0.25">
      <c r="G368" s="191" t="s">
        <v>217</v>
      </c>
      <c r="H368" s="191" t="s">
        <v>217</v>
      </c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</row>
    <row r="369" spans="7:27" ht="15" customHeight="1" x14ac:dyDescent="0.25">
      <c r="G369" s="191" t="s">
        <v>217</v>
      </c>
      <c r="H369" s="191" t="s">
        <v>217</v>
      </c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</row>
    <row r="370" spans="7:27" ht="15" customHeight="1" x14ac:dyDescent="0.25">
      <c r="G370" s="191" t="s">
        <v>217</v>
      </c>
      <c r="H370" s="191" t="s">
        <v>217</v>
      </c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</row>
    <row r="371" spans="7:27" ht="15" customHeight="1" x14ac:dyDescent="0.25">
      <c r="G371" s="191" t="s">
        <v>217</v>
      </c>
      <c r="H371" s="191" t="s">
        <v>217</v>
      </c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153"/>
    </row>
    <row r="372" spans="7:27" ht="15" customHeight="1" x14ac:dyDescent="0.25">
      <c r="G372" s="191" t="s">
        <v>217</v>
      </c>
      <c r="H372" s="191" t="s">
        <v>217</v>
      </c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153"/>
    </row>
    <row r="373" spans="7:27" ht="15" customHeight="1" x14ac:dyDescent="0.25">
      <c r="G373" s="191" t="s">
        <v>217</v>
      </c>
      <c r="H373" s="191" t="s">
        <v>217</v>
      </c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153"/>
    </row>
    <row r="374" spans="7:27" ht="15" customHeight="1" x14ac:dyDescent="0.25">
      <c r="G374" s="191" t="s">
        <v>217</v>
      </c>
      <c r="H374" s="191" t="s">
        <v>217</v>
      </c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</row>
    <row r="375" spans="7:27" ht="15" customHeight="1" x14ac:dyDescent="0.25">
      <c r="G375" s="191" t="s">
        <v>217</v>
      </c>
      <c r="H375" s="191" t="s">
        <v>217</v>
      </c>
      <c r="M375" s="153"/>
      <c r="N375" s="153"/>
      <c r="O375" s="153"/>
      <c r="P375" s="153"/>
      <c r="Q375" s="153"/>
      <c r="R375" s="153"/>
      <c r="S375" s="153"/>
      <c r="T375" s="153"/>
      <c r="U375" s="153"/>
      <c r="V375" s="153"/>
      <c r="W375" s="153"/>
      <c r="X375" s="153"/>
      <c r="Y375" s="153"/>
      <c r="Z375" s="153"/>
      <c r="AA375" s="153"/>
    </row>
    <row r="376" spans="7:27" ht="15" customHeight="1" x14ac:dyDescent="0.25">
      <c r="G376" s="191" t="s">
        <v>217</v>
      </c>
      <c r="H376" s="191" t="s">
        <v>217</v>
      </c>
      <c r="M376" s="153"/>
      <c r="N376" s="153"/>
      <c r="O376" s="153"/>
      <c r="P376" s="153"/>
      <c r="Q376" s="153"/>
      <c r="R376" s="153"/>
      <c r="S376" s="153"/>
      <c r="T376" s="153"/>
      <c r="U376" s="153"/>
      <c r="V376" s="153"/>
      <c r="W376" s="153"/>
      <c r="X376" s="153"/>
      <c r="Y376" s="153"/>
      <c r="Z376" s="153"/>
      <c r="AA376" s="153"/>
    </row>
    <row r="377" spans="7:27" ht="15" customHeight="1" x14ac:dyDescent="0.25">
      <c r="G377" s="191" t="s">
        <v>217</v>
      </c>
      <c r="H377" s="191" t="s">
        <v>217</v>
      </c>
      <c r="M377" s="153"/>
      <c r="N377" s="153"/>
      <c r="O377" s="153"/>
      <c r="P377" s="153"/>
      <c r="Q377" s="153"/>
      <c r="R377" s="153"/>
      <c r="S377" s="153"/>
      <c r="T377" s="153"/>
      <c r="U377" s="153"/>
      <c r="V377" s="153"/>
      <c r="W377" s="153"/>
      <c r="X377" s="153"/>
      <c r="Y377" s="153"/>
      <c r="Z377" s="153"/>
      <c r="AA377" s="153"/>
    </row>
    <row r="378" spans="7:27" ht="15" customHeight="1" x14ac:dyDescent="0.25">
      <c r="G378" s="191" t="s">
        <v>217</v>
      </c>
      <c r="H378" s="191" t="s">
        <v>217</v>
      </c>
      <c r="M378" s="153"/>
      <c r="N378" s="153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  <c r="AA378" s="153"/>
    </row>
    <row r="379" spans="7:27" ht="15" customHeight="1" x14ac:dyDescent="0.25">
      <c r="G379" s="191" t="s">
        <v>217</v>
      </c>
      <c r="H379" s="191" t="s">
        <v>217</v>
      </c>
      <c r="M379" s="153"/>
      <c r="N379" s="153"/>
      <c r="O379" s="153"/>
      <c r="P379" s="153"/>
      <c r="Q379" s="153"/>
      <c r="R379" s="153"/>
      <c r="S379" s="153"/>
      <c r="T379" s="153"/>
      <c r="U379" s="153"/>
      <c r="V379" s="153"/>
      <c r="W379" s="153"/>
      <c r="X379" s="153"/>
      <c r="Y379" s="153"/>
      <c r="Z379" s="153"/>
      <c r="AA379" s="153"/>
    </row>
    <row r="380" spans="7:27" ht="15" customHeight="1" x14ac:dyDescent="0.25">
      <c r="G380" s="191" t="s">
        <v>217</v>
      </c>
      <c r="H380" s="191" t="s">
        <v>217</v>
      </c>
      <c r="M380" s="153"/>
      <c r="N380" s="153"/>
      <c r="O380" s="153"/>
      <c r="P380" s="153"/>
      <c r="Q380" s="153"/>
      <c r="R380" s="153"/>
      <c r="S380" s="153"/>
      <c r="T380" s="153"/>
      <c r="U380" s="153"/>
      <c r="V380" s="153"/>
      <c r="W380" s="153"/>
      <c r="X380" s="153"/>
      <c r="Y380" s="153"/>
      <c r="Z380" s="153"/>
      <c r="AA380" s="153"/>
    </row>
    <row r="381" spans="7:27" ht="15" customHeight="1" x14ac:dyDescent="0.25">
      <c r="G381" s="191" t="s">
        <v>217</v>
      </c>
      <c r="H381" s="191" t="s">
        <v>217</v>
      </c>
      <c r="M381" s="153"/>
      <c r="N381" s="153"/>
      <c r="O381" s="153"/>
      <c r="P381" s="153"/>
      <c r="Q381" s="153"/>
      <c r="R381" s="153"/>
      <c r="S381" s="153"/>
      <c r="T381" s="153"/>
      <c r="U381" s="153"/>
      <c r="V381" s="153"/>
      <c r="W381" s="153"/>
      <c r="X381" s="153"/>
      <c r="Y381" s="153"/>
      <c r="Z381" s="153"/>
      <c r="AA381" s="153"/>
    </row>
    <row r="382" spans="7:27" ht="15" customHeight="1" x14ac:dyDescent="0.25">
      <c r="G382" s="191" t="s">
        <v>217</v>
      </c>
      <c r="H382" s="191" t="s">
        <v>217</v>
      </c>
      <c r="M382" s="153"/>
      <c r="N382" s="153"/>
      <c r="O382" s="153"/>
      <c r="P382" s="153"/>
      <c r="Q382" s="153"/>
      <c r="R382" s="153"/>
      <c r="S382" s="153"/>
      <c r="T382" s="153"/>
      <c r="U382" s="153"/>
      <c r="V382" s="153"/>
      <c r="W382" s="153"/>
      <c r="X382" s="153"/>
      <c r="Y382" s="153"/>
      <c r="Z382" s="153"/>
      <c r="AA382" s="153"/>
    </row>
    <row r="383" spans="7:27" ht="15" customHeight="1" x14ac:dyDescent="0.25">
      <c r="G383" s="191" t="s">
        <v>217</v>
      </c>
      <c r="H383" s="191" t="s">
        <v>217</v>
      </c>
      <c r="M383" s="153"/>
      <c r="N383" s="153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  <c r="AA383" s="153"/>
    </row>
    <row r="384" spans="7:27" ht="15" customHeight="1" x14ac:dyDescent="0.25">
      <c r="G384" s="191" t="s">
        <v>217</v>
      </c>
      <c r="H384" s="191" t="s">
        <v>217</v>
      </c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153"/>
    </row>
    <row r="385" spans="7:27" ht="15" customHeight="1" x14ac:dyDescent="0.25">
      <c r="G385" s="191" t="s">
        <v>217</v>
      </c>
      <c r="H385" s="191" t="s">
        <v>217</v>
      </c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  <c r="AA385" s="153"/>
    </row>
    <row r="386" spans="7:27" ht="15" customHeight="1" x14ac:dyDescent="0.25">
      <c r="G386" s="191" t="s">
        <v>217</v>
      </c>
      <c r="H386" s="191" t="s">
        <v>217</v>
      </c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  <c r="AA386" s="153"/>
    </row>
    <row r="387" spans="7:27" ht="15" customHeight="1" x14ac:dyDescent="0.25">
      <c r="G387" s="191" t="s">
        <v>217</v>
      </c>
      <c r="H387" s="191" t="s">
        <v>217</v>
      </c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  <c r="AA387" s="153"/>
    </row>
    <row r="388" spans="7:27" ht="15" customHeight="1" x14ac:dyDescent="0.25">
      <c r="G388" s="191" t="s">
        <v>217</v>
      </c>
      <c r="H388" s="191" t="s">
        <v>217</v>
      </c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153"/>
    </row>
    <row r="389" spans="7:27" ht="15" customHeight="1" x14ac:dyDescent="0.25">
      <c r="G389" s="191" t="s">
        <v>217</v>
      </c>
      <c r="H389" s="191" t="s">
        <v>217</v>
      </c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153"/>
    </row>
    <row r="390" spans="7:27" ht="15" customHeight="1" x14ac:dyDescent="0.25">
      <c r="G390" s="191" t="s">
        <v>217</v>
      </c>
      <c r="H390" s="191" t="s">
        <v>217</v>
      </c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</row>
    <row r="391" spans="7:27" ht="15" customHeight="1" x14ac:dyDescent="0.25">
      <c r="G391" s="191" t="s">
        <v>217</v>
      </c>
      <c r="H391" s="191" t="s">
        <v>217</v>
      </c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153"/>
    </row>
    <row r="392" spans="7:27" ht="15" customHeight="1" x14ac:dyDescent="0.25">
      <c r="G392" s="191" t="s">
        <v>217</v>
      </c>
      <c r="H392" s="191" t="s">
        <v>217</v>
      </c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153"/>
    </row>
    <row r="393" spans="7:27" ht="15" customHeight="1" x14ac:dyDescent="0.25">
      <c r="G393" s="191" t="s">
        <v>217</v>
      </c>
      <c r="H393" s="191" t="s">
        <v>217</v>
      </c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  <c r="AA393" s="153"/>
    </row>
    <row r="394" spans="7:27" ht="15" customHeight="1" x14ac:dyDescent="0.25">
      <c r="G394" s="191" t="s">
        <v>217</v>
      </c>
      <c r="H394" s="191" t="s">
        <v>217</v>
      </c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  <c r="AA394" s="153"/>
    </row>
    <row r="395" spans="7:27" ht="15" customHeight="1" x14ac:dyDescent="0.25">
      <c r="G395" s="191" t="s">
        <v>217</v>
      </c>
      <c r="H395" s="191" t="s">
        <v>217</v>
      </c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  <c r="AA395" s="153"/>
    </row>
    <row r="396" spans="7:27" ht="15" customHeight="1" x14ac:dyDescent="0.25">
      <c r="G396" s="191" t="s">
        <v>217</v>
      </c>
      <c r="H396" s="191" t="s">
        <v>217</v>
      </c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  <c r="AA396" s="153"/>
    </row>
    <row r="397" spans="7:27" ht="15" customHeight="1" x14ac:dyDescent="0.25">
      <c r="G397" s="191" t="s">
        <v>217</v>
      </c>
      <c r="H397" s="191" t="s">
        <v>217</v>
      </c>
      <c r="M397" s="153"/>
      <c r="N397" s="153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  <c r="AA397" s="153"/>
    </row>
    <row r="398" spans="7:27" ht="15" customHeight="1" x14ac:dyDescent="0.25">
      <c r="G398" s="191" t="s">
        <v>217</v>
      </c>
      <c r="H398" s="191" t="s">
        <v>217</v>
      </c>
      <c r="M398" s="153"/>
      <c r="N398" s="153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  <c r="AA398" s="153"/>
    </row>
    <row r="399" spans="7:27" ht="15" customHeight="1" x14ac:dyDescent="0.25">
      <c r="G399" s="191" t="s">
        <v>217</v>
      </c>
      <c r="H399" s="191" t="s">
        <v>217</v>
      </c>
      <c r="M399" s="153"/>
      <c r="N399" s="153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  <c r="AA399" s="153"/>
    </row>
    <row r="400" spans="7:27" ht="15" customHeight="1" x14ac:dyDescent="0.25">
      <c r="G400" s="191" t="s">
        <v>217</v>
      </c>
      <c r="H400" s="191" t="s">
        <v>217</v>
      </c>
      <c r="M400" s="153"/>
      <c r="N400" s="153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  <c r="AA400" s="153"/>
    </row>
    <row r="401" spans="7:27" ht="15" customHeight="1" x14ac:dyDescent="0.25">
      <c r="G401" s="191" t="s">
        <v>217</v>
      </c>
      <c r="H401" s="191" t="s">
        <v>217</v>
      </c>
      <c r="M401" s="153"/>
      <c r="N401" s="153"/>
      <c r="O401" s="153"/>
      <c r="P401" s="153"/>
      <c r="Q401" s="153"/>
      <c r="R401" s="153"/>
      <c r="S401" s="153"/>
      <c r="T401" s="153"/>
      <c r="U401" s="153"/>
      <c r="V401" s="153"/>
      <c r="W401" s="153"/>
      <c r="X401" s="153"/>
      <c r="Y401" s="153"/>
      <c r="Z401" s="153"/>
      <c r="AA401" s="153"/>
    </row>
    <row r="402" spans="7:27" ht="15" customHeight="1" x14ac:dyDescent="0.25">
      <c r="G402" s="191" t="s">
        <v>217</v>
      </c>
      <c r="H402" s="191" t="s">
        <v>217</v>
      </c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</row>
    <row r="403" spans="7:27" ht="15" customHeight="1" x14ac:dyDescent="0.25">
      <c r="G403" s="191" t="s">
        <v>217</v>
      </c>
      <c r="H403" s="191" t="s">
        <v>217</v>
      </c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</row>
    <row r="404" spans="7:27" ht="15" customHeight="1" x14ac:dyDescent="0.25">
      <c r="G404" s="191" t="s">
        <v>217</v>
      </c>
      <c r="H404" s="191" t="s">
        <v>217</v>
      </c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</row>
    <row r="405" spans="7:27" ht="15" customHeight="1" x14ac:dyDescent="0.25">
      <c r="G405" s="191" t="s">
        <v>217</v>
      </c>
      <c r="H405" s="191" t="s">
        <v>217</v>
      </c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</row>
    <row r="406" spans="7:27" ht="15" customHeight="1" x14ac:dyDescent="0.25">
      <c r="G406" s="191" t="s">
        <v>217</v>
      </c>
      <c r="H406" s="191" t="s">
        <v>217</v>
      </c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</row>
    <row r="407" spans="7:27" ht="15" customHeight="1" x14ac:dyDescent="0.25">
      <c r="G407" s="191" t="s">
        <v>217</v>
      </c>
      <c r="H407" s="191" t="s">
        <v>217</v>
      </c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</row>
    <row r="408" spans="7:27" ht="15" customHeight="1" x14ac:dyDescent="0.25">
      <c r="G408" s="191" t="s">
        <v>217</v>
      </c>
      <c r="H408" s="191" t="s">
        <v>217</v>
      </c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</row>
    <row r="409" spans="7:27" ht="15" customHeight="1" x14ac:dyDescent="0.25">
      <c r="G409" s="191" t="s">
        <v>217</v>
      </c>
      <c r="H409" s="191" t="s">
        <v>217</v>
      </c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</row>
    <row r="410" spans="7:27" ht="15" customHeight="1" x14ac:dyDescent="0.25">
      <c r="G410" s="191" t="s">
        <v>217</v>
      </c>
      <c r="H410" s="191" t="s">
        <v>217</v>
      </c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</row>
    <row r="411" spans="7:27" ht="15" customHeight="1" x14ac:dyDescent="0.25">
      <c r="G411" s="191" t="s">
        <v>217</v>
      </c>
      <c r="H411" s="191" t="s">
        <v>217</v>
      </c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153"/>
    </row>
    <row r="412" spans="7:27" ht="15" customHeight="1" x14ac:dyDescent="0.25">
      <c r="G412" s="191" t="s">
        <v>217</v>
      </c>
      <c r="H412" s="191" t="s">
        <v>217</v>
      </c>
      <c r="M412" s="153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153"/>
    </row>
    <row r="413" spans="7:27" ht="15" customHeight="1" x14ac:dyDescent="0.25">
      <c r="G413" s="191" t="s">
        <v>217</v>
      </c>
      <c r="H413" s="191" t="s">
        <v>217</v>
      </c>
      <c r="M413" s="153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153"/>
    </row>
    <row r="414" spans="7:27" ht="15" customHeight="1" x14ac:dyDescent="0.25">
      <c r="G414" s="191" t="s">
        <v>217</v>
      </c>
      <c r="H414" s="191" t="s">
        <v>217</v>
      </c>
      <c r="M414" s="153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153"/>
    </row>
    <row r="415" spans="7:27" ht="15" customHeight="1" x14ac:dyDescent="0.25">
      <c r="G415" s="191" t="s">
        <v>217</v>
      </c>
      <c r="H415" s="191" t="s">
        <v>217</v>
      </c>
      <c r="M415" s="153"/>
      <c r="N415" s="153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  <c r="AA415" s="153"/>
    </row>
    <row r="416" spans="7:27" ht="15" customHeight="1" x14ac:dyDescent="0.25">
      <c r="G416" s="191" t="s">
        <v>217</v>
      </c>
      <c r="H416" s="191" t="s">
        <v>217</v>
      </c>
      <c r="M416" s="153"/>
      <c r="N416" s="153"/>
      <c r="O416" s="153"/>
      <c r="P416" s="153"/>
      <c r="Q416" s="153"/>
      <c r="R416" s="153"/>
      <c r="S416" s="153"/>
      <c r="T416" s="153"/>
      <c r="U416" s="153"/>
      <c r="V416" s="153"/>
      <c r="W416" s="153"/>
      <c r="X416" s="153"/>
      <c r="Y416" s="153"/>
      <c r="Z416" s="153"/>
      <c r="AA416" s="153"/>
    </row>
    <row r="417" spans="7:27" ht="15" customHeight="1" x14ac:dyDescent="0.25">
      <c r="G417" s="191" t="s">
        <v>217</v>
      </c>
      <c r="H417" s="191" t="s">
        <v>217</v>
      </c>
      <c r="M417" s="153"/>
      <c r="N417" s="153"/>
      <c r="O417" s="153"/>
      <c r="P417" s="153"/>
      <c r="Q417" s="153"/>
      <c r="R417" s="153"/>
      <c r="S417" s="153"/>
      <c r="T417" s="153"/>
      <c r="U417" s="153"/>
      <c r="V417" s="153"/>
      <c r="W417" s="153"/>
      <c r="X417" s="153"/>
      <c r="Y417" s="153"/>
      <c r="Z417" s="153"/>
      <c r="AA417" s="153"/>
    </row>
    <row r="418" spans="7:27" ht="15" customHeight="1" x14ac:dyDescent="0.25">
      <c r="G418" s="191" t="s">
        <v>217</v>
      </c>
      <c r="H418" s="191" t="s">
        <v>217</v>
      </c>
      <c r="M418" s="153"/>
      <c r="N418" s="153"/>
      <c r="O418" s="153"/>
      <c r="P418" s="153"/>
      <c r="Q418" s="153"/>
      <c r="R418" s="153"/>
      <c r="S418" s="153"/>
      <c r="T418" s="153"/>
      <c r="U418" s="153"/>
      <c r="V418" s="153"/>
      <c r="W418" s="153"/>
      <c r="X418" s="153"/>
      <c r="Y418" s="153"/>
      <c r="Z418" s="153"/>
      <c r="AA418" s="153"/>
    </row>
    <row r="419" spans="7:27" ht="15" customHeight="1" x14ac:dyDescent="0.25">
      <c r="M419" s="153"/>
      <c r="N419" s="153"/>
      <c r="O419" s="153"/>
      <c r="P419" s="153"/>
      <c r="Q419" s="153"/>
      <c r="R419" s="153"/>
      <c r="S419" s="153"/>
      <c r="T419" s="153"/>
      <c r="U419" s="153"/>
      <c r="V419" s="153"/>
      <c r="W419" s="153"/>
      <c r="X419" s="153"/>
      <c r="Y419" s="153"/>
      <c r="Z419" s="153"/>
      <c r="AA419" s="153"/>
    </row>
    <row r="420" spans="7:27" ht="15" customHeight="1" x14ac:dyDescent="0.25"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</row>
    <row r="421" spans="7:27" ht="15" customHeight="1" x14ac:dyDescent="0.25"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</row>
    <row r="422" spans="7:27" ht="15" customHeight="1" x14ac:dyDescent="0.25"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</row>
    <row r="423" spans="7:27" ht="15" customHeight="1" x14ac:dyDescent="0.25"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</row>
    <row r="424" spans="7:27" ht="15" customHeight="1" x14ac:dyDescent="0.25"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</row>
    <row r="425" spans="7:27" ht="15" customHeight="1" x14ac:dyDescent="0.25"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</row>
    <row r="426" spans="7:27" ht="15" customHeight="1" x14ac:dyDescent="0.25"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</row>
    <row r="427" spans="7:27" ht="15" customHeight="1" x14ac:dyDescent="0.25"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</row>
    <row r="428" spans="7:27" ht="15" customHeight="1" x14ac:dyDescent="0.25"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</row>
    <row r="429" spans="7:27" ht="15" customHeight="1" x14ac:dyDescent="0.25">
      <c r="M429" s="153"/>
      <c r="N429" s="153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  <c r="AA429" s="153"/>
    </row>
    <row r="430" spans="7:27" ht="15" customHeight="1" x14ac:dyDescent="0.25"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</row>
    <row r="431" spans="7:27" ht="15" customHeight="1" x14ac:dyDescent="0.25">
      <c r="M431" s="153"/>
      <c r="N431" s="153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  <c r="AA431" s="153"/>
    </row>
    <row r="432" spans="7:27" ht="15" customHeight="1" x14ac:dyDescent="0.25">
      <c r="M432" s="153"/>
      <c r="N432" s="153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  <c r="AA432" s="153"/>
    </row>
    <row r="433" spans="13:27" ht="15" customHeight="1" x14ac:dyDescent="0.25">
      <c r="M433" s="153"/>
      <c r="N433" s="153"/>
      <c r="O433" s="153"/>
      <c r="P433" s="153"/>
      <c r="Q433" s="153"/>
      <c r="R433" s="153"/>
      <c r="S433" s="153"/>
      <c r="T433" s="153"/>
      <c r="U433" s="153"/>
      <c r="V433" s="153"/>
      <c r="W433" s="153"/>
      <c r="X433" s="153"/>
      <c r="Y433" s="153"/>
      <c r="Z433" s="153"/>
      <c r="AA433" s="153"/>
    </row>
    <row r="434" spans="13:27" ht="15" customHeight="1" x14ac:dyDescent="0.25">
      <c r="M434" s="153"/>
      <c r="N434" s="153"/>
      <c r="O434" s="153"/>
      <c r="P434" s="153"/>
      <c r="Q434" s="153"/>
      <c r="R434" s="153"/>
      <c r="S434" s="153"/>
      <c r="T434" s="153"/>
      <c r="U434" s="153"/>
      <c r="V434" s="153"/>
      <c r="W434" s="153"/>
      <c r="X434" s="153"/>
      <c r="Y434" s="153"/>
      <c r="Z434" s="153"/>
      <c r="AA434" s="153"/>
    </row>
    <row r="435" spans="13:27" ht="15" customHeight="1" x14ac:dyDescent="0.25">
      <c r="M435" s="153"/>
      <c r="N435" s="153"/>
      <c r="O435" s="153"/>
      <c r="P435" s="153"/>
      <c r="Q435" s="153"/>
      <c r="R435" s="153"/>
      <c r="S435" s="153"/>
      <c r="T435" s="153"/>
      <c r="U435" s="153"/>
      <c r="V435" s="153"/>
      <c r="W435" s="153"/>
      <c r="X435" s="153"/>
      <c r="Y435" s="153"/>
      <c r="Z435" s="153"/>
      <c r="AA435" s="153"/>
    </row>
    <row r="436" spans="13:27" ht="15" customHeight="1" x14ac:dyDescent="0.25">
      <c r="M436" s="153"/>
      <c r="N436" s="153"/>
      <c r="O436" s="153"/>
      <c r="P436" s="153"/>
      <c r="Q436" s="153"/>
      <c r="R436" s="153"/>
      <c r="S436" s="153"/>
      <c r="T436" s="153"/>
      <c r="U436" s="153"/>
      <c r="V436" s="153"/>
      <c r="W436" s="153"/>
      <c r="X436" s="153"/>
      <c r="Y436" s="153"/>
      <c r="Z436" s="153"/>
      <c r="AA436" s="153"/>
    </row>
    <row r="437" spans="13:27" ht="15" customHeight="1" x14ac:dyDescent="0.25">
      <c r="M437" s="153"/>
      <c r="N437" s="153"/>
      <c r="O437" s="153"/>
      <c r="P437" s="153"/>
      <c r="Q437" s="153"/>
      <c r="R437" s="153"/>
      <c r="S437" s="153"/>
      <c r="T437" s="153"/>
      <c r="U437" s="153"/>
      <c r="V437" s="153"/>
      <c r="W437" s="153"/>
      <c r="X437" s="153"/>
      <c r="Y437" s="153"/>
      <c r="Z437" s="153"/>
      <c r="AA437" s="153"/>
    </row>
    <row r="438" spans="13:27" ht="15" customHeight="1" x14ac:dyDescent="0.25"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</row>
    <row r="439" spans="13:27" ht="15" customHeight="1" x14ac:dyDescent="0.25"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</row>
    <row r="440" spans="13:27" ht="15" customHeight="1" x14ac:dyDescent="0.25"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153"/>
    </row>
    <row r="441" spans="13:27" ht="15" customHeight="1" x14ac:dyDescent="0.25"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153"/>
    </row>
    <row r="442" spans="13:27" ht="15" customHeight="1" x14ac:dyDescent="0.25"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153"/>
    </row>
    <row r="443" spans="13:27" ht="15" customHeight="1" x14ac:dyDescent="0.25"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153"/>
    </row>
    <row r="444" spans="13:27" ht="15" customHeight="1" x14ac:dyDescent="0.25"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153"/>
    </row>
    <row r="445" spans="13:27" ht="15" customHeight="1" x14ac:dyDescent="0.25"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153"/>
    </row>
    <row r="446" spans="13:27" ht="15" customHeight="1" x14ac:dyDescent="0.25"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153"/>
    </row>
    <row r="447" spans="13:27" ht="15" customHeight="1" x14ac:dyDescent="0.25">
      <c r="M447" s="153"/>
      <c r="N447" s="153"/>
      <c r="O447" s="153"/>
      <c r="P447" s="153"/>
      <c r="Q447" s="153"/>
      <c r="R447" s="153"/>
      <c r="S447" s="153"/>
      <c r="T447" s="153"/>
      <c r="U447" s="153"/>
      <c r="V447" s="153"/>
      <c r="W447" s="153"/>
      <c r="X447" s="153"/>
      <c r="Y447" s="153"/>
      <c r="Z447" s="153"/>
      <c r="AA447" s="153"/>
    </row>
    <row r="448" spans="13:27" ht="15" customHeight="1" x14ac:dyDescent="0.25">
      <c r="M448" s="153"/>
      <c r="N448" s="153"/>
      <c r="O448" s="153"/>
      <c r="P448" s="153"/>
      <c r="Q448" s="153"/>
      <c r="R448" s="153"/>
      <c r="S448" s="153"/>
      <c r="T448" s="153"/>
      <c r="U448" s="153"/>
      <c r="V448" s="153"/>
      <c r="W448" s="153"/>
      <c r="X448" s="153"/>
      <c r="Y448" s="153"/>
      <c r="Z448" s="153"/>
      <c r="AA448" s="153"/>
    </row>
    <row r="449" spans="13:27" ht="15" customHeight="1" x14ac:dyDescent="0.25">
      <c r="M449" s="153"/>
      <c r="N449" s="153"/>
      <c r="O449" s="153"/>
      <c r="P449" s="153"/>
      <c r="Q449" s="153"/>
      <c r="R449" s="153"/>
      <c r="S449" s="153"/>
      <c r="T449" s="153"/>
      <c r="U449" s="153"/>
      <c r="V449" s="153"/>
      <c r="W449" s="153"/>
      <c r="X449" s="153"/>
      <c r="Y449" s="153"/>
      <c r="Z449" s="153"/>
      <c r="AA449" s="153"/>
    </row>
    <row r="450" spans="13:27" ht="15" customHeight="1" x14ac:dyDescent="0.25">
      <c r="M450" s="153"/>
      <c r="N450" s="153"/>
      <c r="O450" s="153"/>
      <c r="P450" s="153"/>
      <c r="Q450" s="153"/>
      <c r="R450" s="153"/>
      <c r="S450" s="153"/>
      <c r="T450" s="153"/>
      <c r="U450" s="153"/>
      <c r="V450" s="153"/>
      <c r="W450" s="153"/>
      <c r="X450" s="153"/>
      <c r="Y450" s="153"/>
      <c r="Z450" s="153"/>
      <c r="AA450" s="153"/>
    </row>
    <row r="451" spans="13:27" ht="15" customHeight="1" x14ac:dyDescent="0.25">
      <c r="M451" s="153"/>
      <c r="N451" s="153"/>
      <c r="O451" s="153"/>
      <c r="P451" s="153"/>
      <c r="Q451" s="153"/>
      <c r="R451" s="153"/>
      <c r="S451" s="153"/>
      <c r="T451" s="153"/>
      <c r="U451" s="153"/>
      <c r="V451" s="153"/>
      <c r="W451" s="153"/>
      <c r="X451" s="153"/>
      <c r="Y451" s="153"/>
      <c r="Z451" s="153"/>
      <c r="AA451" s="153"/>
    </row>
    <row r="452" spans="13:27" ht="15" customHeight="1" x14ac:dyDescent="0.25">
      <c r="M452" s="153"/>
      <c r="N452" s="153"/>
      <c r="O452" s="153"/>
      <c r="P452" s="153"/>
      <c r="Q452" s="153"/>
      <c r="R452" s="153"/>
      <c r="S452" s="153"/>
      <c r="T452" s="153"/>
      <c r="U452" s="153"/>
      <c r="V452" s="153"/>
      <c r="W452" s="153"/>
      <c r="X452" s="153"/>
      <c r="Y452" s="153"/>
      <c r="Z452" s="153"/>
      <c r="AA452" s="153"/>
    </row>
    <row r="453" spans="13:27" ht="15" customHeight="1" x14ac:dyDescent="0.25">
      <c r="M453" s="153"/>
      <c r="N453" s="153"/>
      <c r="O453" s="153"/>
      <c r="P453" s="153"/>
      <c r="Q453" s="153"/>
      <c r="R453" s="153"/>
      <c r="S453" s="153"/>
      <c r="T453" s="153"/>
      <c r="U453" s="153"/>
      <c r="V453" s="153"/>
      <c r="W453" s="153"/>
      <c r="X453" s="153"/>
      <c r="Y453" s="153"/>
      <c r="Z453" s="153"/>
      <c r="AA453" s="153"/>
    </row>
    <row r="454" spans="13:27" ht="15" customHeight="1" x14ac:dyDescent="0.25">
      <c r="M454" s="153"/>
      <c r="N454" s="153"/>
      <c r="O454" s="153"/>
      <c r="P454" s="153"/>
      <c r="Q454" s="153"/>
      <c r="R454" s="153"/>
      <c r="S454" s="153"/>
      <c r="T454" s="153"/>
      <c r="U454" s="153"/>
      <c r="V454" s="153"/>
      <c r="W454" s="153"/>
      <c r="X454" s="153"/>
      <c r="Y454" s="153"/>
      <c r="Z454" s="153"/>
      <c r="AA454" s="153"/>
    </row>
    <row r="455" spans="13:27" ht="15" customHeight="1" x14ac:dyDescent="0.25">
      <c r="M455" s="153"/>
      <c r="N455" s="153"/>
      <c r="O455" s="153"/>
      <c r="P455" s="153"/>
      <c r="Q455" s="153"/>
      <c r="R455" s="153"/>
      <c r="S455" s="153"/>
      <c r="T455" s="153"/>
      <c r="U455" s="153"/>
      <c r="V455" s="153"/>
      <c r="W455" s="153"/>
      <c r="X455" s="153"/>
      <c r="Y455" s="153"/>
      <c r="Z455" s="153"/>
      <c r="AA455" s="153"/>
    </row>
    <row r="456" spans="13:27" ht="15" customHeight="1" x14ac:dyDescent="0.25"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</row>
    <row r="457" spans="13:27" ht="15" customHeight="1" x14ac:dyDescent="0.25"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</row>
    <row r="458" spans="13:27" ht="15" customHeight="1" x14ac:dyDescent="0.25"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</row>
    <row r="459" spans="13:27" ht="15" customHeight="1" x14ac:dyDescent="0.25"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</row>
    <row r="460" spans="13:27" ht="15" customHeight="1" x14ac:dyDescent="0.25"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</row>
    <row r="461" spans="13:27" ht="15" customHeight="1" x14ac:dyDescent="0.25"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</row>
    <row r="462" spans="13:27" ht="15" customHeight="1" x14ac:dyDescent="0.25"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</row>
    <row r="463" spans="13:27" ht="15" customHeight="1" x14ac:dyDescent="0.25"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</row>
    <row r="464" spans="13:27" ht="15" customHeight="1" x14ac:dyDescent="0.25"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</row>
    <row r="465" spans="13:27" ht="15" customHeight="1" x14ac:dyDescent="0.25">
      <c r="M465" s="153"/>
      <c r="N465" s="153"/>
      <c r="O465" s="153"/>
      <c r="P465" s="153"/>
      <c r="Q465" s="153"/>
      <c r="R465" s="153"/>
      <c r="S465" s="153"/>
      <c r="T465" s="153"/>
      <c r="U465" s="153"/>
      <c r="V465" s="153"/>
      <c r="W465" s="153"/>
      <c r="X465" s="153"/>
      <c r="Y465" s="153"/>
      <c r="Z465" s="153"/>
      <c r="AA465" s="153"/>
    </row>
    <row r="466" spans="13:27" ht="15" customHeight="1" x14ac:dyDescent="0.25">
      <c r="M466" s="153"/>
      <c r="N466" s="153"/>
      <c r="O466" s="153"/>
      <c r="P466" s="153"/>
      <c r="Q466" s="153"/>
      <c r="R466" s="153"/>
      <c r="S466" s="153"/>
      <c r="T466" s="153"/>
      <c r="U466" s="153"/>
      <c r="V466" s="153"/>
      <c r="W466" s="153"/>
      <c r="X466" s="153"/>
      <c r="Y466" s="153"/>
      <c r="Z466" s="153"/>
      <c r="AA466" s="153"/>
    </row>
    <row r="467" spans="13:27" ht="15" customHeight="1" x14ac:dyDescent="0.25">
      <c r="M467" s="153"/>
      <c r="N467" s="153"/>
      <c r="O467" s="153"/>
      <c r="P467" s="153"/>
      <c r="Q467" s="153"/>
      <c r="R467" s="153"/>
      <c r="S467" s="153"/>
      <c r="T467" s="153"/>
      <c r="U467" s="153"/>
      <c r="V467" s="153"/>
      <c r="W467" s="153"/>
      <c r="X467" s="153"/>
      <c r="Y467" s="153"/>
      <c r="Z467" s="153"/>
      <c r="AA467" s="153"/>
    </row>
    <row r="468" spans="13:27" ht="15" customHeight="1" x14ac:dyDescent="0.25">
      <c r="M468" s="153"/>
      <c r="N468" s="153"/>
      <c r="O468" s="153"/>
      <c r="P468" s="153"/>
      <c r="Q468" s="153"/>
      <c r="R468" s="153"/>
      <c r="S468" s="153"/>
      <c r="T468" s="153"/>
      <c r="U468" s="153"/>
      <c r="V468" s="153"/>
      <c r="W468" s="153"/>
      <c r="X468" s="153"/>
      <c r="Y468" s="153"/>
      <c r="Z468" s="153"/>
      <c r="AA468" s="153"/>
    </row>
    <row r="469" spans="13:27" ht="15" customHeight="1" x14ac:dyDescent="0.25">
      <c r="M469" s="153"/>
      <c r="N469" s="153"/>
      <c r="O469" s="153"/>
      <c r="P469" s="153"/>
      <c r="Q469" s="153"/>
      <c r="R469" s="153"/>
      <c r="S469" s="153"/>
      <c r="T469" s="153"/>
      <c r="U469" s="153"/>
      <c r="V469" s="153"/>
      <c r="W469" s="153"/>
      <c r="X469" s="153"/>
      <c r="Y469" s="153"/>
      <c r="Z469" s="153"/>
      <c r="AA469" s="153"/>
    </row>
    <row r="470" spans="13:27" ht="15" customHeight="1" x14ac:dyDescent="0.25">
      <c r="M470" s="153"/>
      <c r="N470" s="153"/>
      <c r="O470" s="153"/>
      <c r="P470" s="153"/>
      <c r="Q470" s="153"/>
      <c r="R470" s="153"/>
      <c r="S470" s="153"/>
      <c r="T470" s="153"/>
      <c r="U470" s="153"/>
      <c r="V470" s="153"/>
      <c r="W470" s="153"/>
      <c r="X470" s="153"/>
      <c r="Y470" s="153"/>
      <c r="Z470" s="153"/>
      <c r="AA470" s="153"/>
    </row>
    <row r="471" spans="13:27" ht="15" customHeight="1" x14ac:dyDescent="0.25">
      <c r="M471" s="153"/>
      <c r="N471" s="153"/>
      <c r="O471" s="153"/>
      <c r="P471" s="153"/>
      <c r="Q471" s="153"/>
      <c r="R471" s="153"/>
      <c r="S471" s="153"/>
      <c r="T471" s="153"/>
      <c r="U471" s="153"/>
      <c r="V471" s="153"/>
      <c r="W471" s="153"/>
      <c r="X471" s="153"/>
      <c r="Y471" s="153"/>
      <c r="Z471" s="153"/>
      <c r="AA471" s="153"/>
    </row>
    <row r="472" spans="13:27" ht="15" customHeight="1" x14ac:dyDescent="0.25">
      <c r="M472" s="153"/>
      <c r="N472" s="153"/>
      <c r="O472" s="153"/>
      <c r="P472" s="153"/>
      <c r="Q472" s="153"/>
      <c r="R472" s="153"/>
      <c r="S472" s="153"/>
      <c r="T472" s="153"/>
      <c r="U472" s="153"/>
      <c r="V472" s="153"/>
      <c r="W472" s="153"/>
      <c r="X472" s="153"/>
      <c r="Y472" s="153"/>
      <c r="Z472" s="153"/>
      <c r="AA472" s="153"/>
    </row>
    <row r="473" spans="13:27" ht="15" customHeight="1" x14ac:dyDescent="0.25">
      <c r="M473" s="153"/>
      <c r="N473" s="153"/>
      <c r="O473" s="153"/>
      <c r="P473" s="153"/>
      <c r="Q473" s="153"/>
      <c r="R473" s="153"/>
      <c r="S473" s="153"/>
      <c r="T473" s="153"/>
      <c r="U473" s="153"/>
      <c r="V473" s="153"/>
      <c r="W473" s="153"/>
      <c r="X473" s="153"/>
      <c r="Y473" s="153"/>
      <c r="Z473" s="153"/>
      <c r="AA473" s="153"/>
    </row>
    <row r="474" spans="13:27" ht="15" customHeight="1" x14ac:dyDescent="0.25"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153"/>
    </row>
    <row r="475" spans="13:27" ht="15" customHeight="1" x14ac:dyDescent="0.25"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</row>
    <row r="476" spans="13:27" ht="15" customHeight="1" x14ac:dyDescent="0.25"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153"/>
    </row>
    <row r="477" spans="13:27" ht="15" customHeight="1" x14ac:dyDescent="0.25"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153"/>
    </row>
    <row r="478" spans="13:27" ht="15" customHeight="1" x14ac:dyDescent="0.25"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</row>
    <row r="479" spans="13:27" ht="15" customHeight="1" x14ac:dyDescent="0.25"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</row>
    <row r="480" spans="13:27" ht="15" customHeight="1" x14ac:dyDescent="0.25"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</row>
    <row r="481" spans="13:27" ht="15" customHeight="1" x14ac:dyDescent="0.25"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</row>
    <row r="482" spans="13:27" ht="15" customHeight="1" x14ac:dyDescent="0.25"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</row>
    <row r="483" spans="13:27" ht="15" customHeight="1" x14ac:dyDescent="0.25">
      <c r="M483" s="153"/>
      <c r="N483" s="153"/>
      <c r="O483" s="153"/>
      <c r="P483" s="153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  <c r="AA483" s="153"/>
    </row>
    <row r="484" spans="13:27" ht="15" customHeight="1" x14ac:dyDescent="0.25">
      <c r="M484" s="153"/>
      <c r="N484" s="153"/>
      <c r="O484" s="153"/>
      <c r="P484" s="153"/>
      <c r="Q484" s="153"/>
      <c r="R484" s="153"/>
      <c r="S484" s="153"/>
      <c r="T484" s="153"/>
      <c r="U484" s="153"/>
      <c r="V484" s="153"/>
      <c r="W484" s="153"/>
      <c r="X484" s="153"/>
      <c r="Y484" s="153"/>
      <c r="Z484" s="153"/>
      <c r="AA484" s="153"/>
    </row>
    <row r="485" spans="13:27" ht="15" customHeight="1" x14ac:dyDescent="0.25">
      <c r="M485" s="153"/>
      <c r="N485" s="153"/>
      <c r="O485" s="153"/>
      <c r="P485" s="153"/>
      <c r="Q485" s="153"/>
      <c r="R485" s="153"/>
      <c r="S485" s="153"/>
      <c r="T485" s="153"/>
      <c r="U485" s="153"/>
      <c r="V485" s="153"/>
      <c r="W485" s="153"/>
      <c r="X485" s="153"/>
      <c r="Y485" s="153"/>
      <c r="Z485" s="153"/>
      <c r="AA485" s="153"/>
    </row>
    <row r="486" spans="13:27" ht="15" customHeight="1" x14ac:dyDescent="0.25">
      <c r="M486" s="153"/>
      <c r="N486" s="153"/>
      <c r="O486" s="153"/>
      <c r="P486" s="153"/>
      <c r="Q486" s="153"/>
      <c r="R486" s="153"/>
      <c r="S486" s="153"/>
      <c r="T486" s="153"/>
      <c r="U486" s="153"/>
      <c r="V486" s="153"/>
      <c r="W486" s="153"/>
      <c r="X486" s="153"/>
      <c r="Y486" s="153"/>
      <c r="Z486" s="153"/>
      <c r="AA486" s="153"/>
    </row>
    <row r="487" spans="13:27" ht="15" customHeight="1" x14ac:dyDescent="0.25">
      <c r="M487" s="153"/>
      <c r="N487" s="153"/>
      <c r="O487" s="153"/>
      <c r="P487" s="153"/>
      <c r="Q487" s="153"/>
      <c r="R487" s="153"/>
      <c r="S487" s="153"/>
      <c r="T487" s="153"/>
      <c r="U487" s="153"/>
      <c r="V487" s="153"/>
      <c r="W487" s="153"/>
      <c r="X487" s="153"/>
      <c r="Y487" s="153"/>
      <c r="Z487" s="153"/>
      <c r="AA487" s="153"/>
    </row>
    <row r="488" spans="13:27" ht="15" customHeight="1" x14ac:dyDescent="0.25">
      <c r="M488" s="153"/>
      <c r="N488" s="153"/>
      <c r="O488" s="153"/>
      <c r="P488" s="153"/>
      <c r="Q488" s="153"/>
      <c r="R488" s="153"/>
      <c r="S488" s="153"/>
      <c r="T488" s="153"/>
      <c r="U488" s="153"/>
      <c r="V488" s="153"/>
      <c r="W488" s="153"/>
      <c r="X488" s="153"/>
      <c r="Y488" s="153"/>
      <c r="Z488" s="153"/>
      <c r="AA488" s="153"/>
    </row>
    <row r="489" spans="13:27" ht="15" customHeight="1" x14ac:dyDescent="0.25">
      <c r="M489" s="153"/>
      <c r="N489" s="153"/>
      <c r="O489" s="153"/>
      <c r="P489" s="153"/>
      <c r="Q489" s="153"/>
      <c r="R489" s="153"/>
      <c r="S489" s="153"/>
      <c r="T489" s="153"/>
      <c r="U489" s="153"/>
      <c r="V489" s="153"/>
      <c r="W489" s="153"/>
      <c r="X489" s="153"/>
      <c r="Y489" s="153"/>
      <c r="Z489" s="153"/>
      <c r="AA489" s="153"/>
    </row>
    <row r="490" spans="13:27" ht="15" customHeight="1" x14ac:dyDescent="0.25">
      <c r="M490" s="153"/>
      <c r="N490" s="153"/>
      <c r="O490" s="153"/>
      <c r="P490" s="153"/>
      <c r="Q490" s="153"/>
      <c r="R490" s="153"/>
      <c r="S490" s="153"/>
      <c r="T490" s="153"/>
      <c r="U490" s="153"/>
      <c r="V490" s="153"/>
      <c r="W490" s="153"/>
      <c r="X490" s="153"/>
      <c r="Y490" s="153"/>
      <c r="Z490" s="153"/>
      <c r="AA490" s="153"/>
    </row>
    <row r="491" spans="13:27" ht="15" customHeight="1" x14ac:dyDescent="0.25">
      <c r="M491" s="153"/>
      <c r="N491" s="153"/>
      <c r="O491" s="153"/>
      <c r="P491" s="153"/>
      <c r="Q491" s="153"/>
      <c r="R491" s="153"/>
      <c r="S491" s="153"/>
      <c r="T491" s="153"/>
      <c r="U491" s="153"/>
      <c r="V491" s="153"/>
      <c r="W491" s="153"/>
      <c r="X491" s="153"/>
      <c r="Y491" s="153"/>
      <c r="Z491" s="153"/>
      <c r="AA491" s="153"/>
    </row>
    <row r="492" spans="13:27" ht="15" customHeight="1" x14ac:dyDescent="0.25"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  <c r="AA492" s="153"/>
    </row>
    <row r="493" spans="13:27" ht="15" customHeight="1" x14ac:dyDescent="0.25"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  <c r="Z493" s="153"/>
      <c r="AA493" s="153"/>
    </row>
    <row r="494" spans="13:27" ht="15" customHeight="1" x14ac:dyDescent="0.25"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  <c r="Z494" s="153"/>
      <c r="AA494" s="153"/>
    </row>
    <row r="495" spans="13:27" ht="15" customHeight="1" x14ac:dyDescent="0.25"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  <c r="Z495" s="153"/>
      <c r="AA495" s="153"/>
    </row>
    <row r="496" spans="13:27" ht="15" customHeight="1" x14ac:dyDescent="0.25"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  <c r="AA496" s="153"/>
    </row>
    <row r="497" spans="13:27" ht="15" customHeight="1" x14ac:dyDescent="0.25"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  <c r="AA497" s="153"/>
    </row>
    <row r="498" spans="13:27" ht="15" customHeight="1" x14ac:dyDescent="0.25"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  <c r="AA498" s="153"/>
    </row>
    <row r="499" spans="13:27" ht="15" customHeight="1" x14ac:dyDescent="0.25"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  <c r="AA499" s="153"/>
    </row>
    <row r="500" spans="13:27" ht="15" customHeight="1" x14ac:dyDescent="0.25"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  <c r="AA500" s="153"/>
    </row>
    <row r="501" spans="13:27" ht="15" customHeight="1" x14ac:dyDescent="0.25">
      <c r="M501" s="153"/>
      <c r="N501" s="153"/>
      <c r="O501" s="153"/>
      <c r="P501" s="153"/>
      <c r="Q501" s="153"/>
      <c r="R501" s="153"/>
      <c r="S501" s="153"/>
      <c r="T501" s="153"/>
      <c r="U501" s="153"/>
      <c r="V501" s="153"/>
      <c r="W501" s="153"/>
      <c r="X501" s="153"/>
      <c r="Y501" s="153"/>
      <c r="Z501" s="153"/>
      <c r="AA501" s="153"/>
    </row>
    <row r="502" spans="13:27" ht="15" customHeight="1" x14ac:dyDescent="0.25">
      <c r="M502" s="153"/>
      <c r="N502" s="153"/>
      <c r="O502" s="153"/>
      <c r="P502" s="153"/>
      <c r="Q502" s="153"/>
      <c r="R502" s="153"/>
      <c r="S502" s="153"/>
      <c r="T502" s="153"/>
      <c r="U502" s="153"/>
      <c r="V502" s="153"/>
      <c r="W502" s="153"/>
      <c r="X502" s="153"/>
      <c r="Y502" s="153"/>
      <c r="Z502" s="153"/>
      <c r="AA502" s="153"/>
    </row>
    <row r="503" spans="13:27" ht="15" customHeight="1" x14ac:dyDescent="0.25">
      <c r="M503" s="153"/>
      <c r="N503" s="153"/>
      <c r="O503" s="153"/>
      <c r="P503" s="153"/>
      <c r="Q503" s="153"/>
      <c r="R503" s="153"/>
      <c r="S503" s="153"/>
      <c r="T503" s="153"/>
      <c r="U503" s="153"/>
      <c r="V503" s="153"/>
      <c r="W503" s="153"/>
      <c r="X503" s="153"/>
      <c r="Y503" s="153"/>
      <c r="Z503" s="153"/>
      <c r="AA503" s="153"/>
    </row>
    <row r="504" spans="13:27" ht="15" customHeight="1" x14ac:dyDescent="0.25">
      <c r="M504" s="153"/>
      <c r="N504" s="153"/>
      <c r="O504" s="153"/>
      <c r="P504" s="153"/>
      <c r="Q504" s="153"/>
      <c r="R504" s="153"/>
      <c r="S504" s="153"/>
      <c r="T504" s="153"/>
      <c r="U504" s="153"/>
      <c r="V504" s="153"/>
      <c r="W504" s="153"/>
      <c r="X504" s="153"/>
      <c r="Y504" s="153"/>
      <c r="Z504" s="153"/>
      <c r="AA504" s="153"/>
    </row>
    <row r="505" spans="13:27" ht="15" customHeight="1" x14ac:dyDescent="0.25">
      <c r="M505" s="153"/>
      <c r="N505" s="153"/>
      <c r="O505" s="153"/>
      <c r="P505" s="153"/>
      <c r="Q505" s="153"/>
      <c r="R505" s="153"/>
      <c r="S505" s="153"/>
      <c r="T505" s="153"/>
      <c r="U505" s="153"/>
      <c r="V505" s="153"/>
      <c r="W505" s="153"/>
      <c r="X505" s="153"/>
      <c r="Y505" s="153"/>
      <c r="Z505" s="153"/>
      <c r="AA505" s="153"/>
    </row>
    <row r="506" spans="13:27" ht="15" customHeight="1" x14ac:dyDescent="0.25">
      <c r="M506" s="153"/>
      <c r="N506" s="153"/>
      <c r="O506" s="153"/>
      <c r="P506" s="153"/>
      <c r="Q506" s="153"/>
      <c r="R506" s="153"/>
      <c r="S506" s="153"/>
      <c r="T506" s="153"/>
      <c r="U506" s="153"/>
      <c r="V506" s="153"/>
      <c r="W506" s="153"/>
      <c r="X506" s="153"/>
      <c r="Y506" s="153"/>
      <c r="Z506" s="153"/>
      <c r="AA506" s="153"/>
    </row>
    <row r="507" spans="13:27" ht="15" customHeight="1" x14ac:dyDescent="0.25">
      <c r="M507" s="153"/>
      <c r="N507" s="153"/>
      <c r="O507" s="153"/>
      <c r="P507" s="153"/>
      <c r="Q507" s="153"/>
      <c r="R507" s="153"/>
      <c r="S507" s="153"/>
      <c r="T507" s="153"/>
      <c r="U507" s="153"/>
      <c r="V507" s="153"/>
      <c r="W507" s="153"/>
      <c r="X507" s="153"/>
      <c r="Y507" s="153"/>
      <c r="Z507" s="153"/>
      <c r="AA507" s="153"/>
    </row>
    <row r="508" spans="13:27" ht="15" customHeight="1" x14ac:dyDescent="0.25">
      <c r="M508" s="153"/>
      <c r="N508" s="153"/>
      <c r="O508" s="153"/>
      <c r="P508" s="153"/>
      <c r="Q508" s="153"/>
      <c r="R508" s="153"/>
      <c r="S508" s="153"/>
      <c r="T508" s="153"/>
      <c r="U508" s="153"/>
      <c r="V508" s="153"/>
      <c r="W508" s="153"/>
      <c r="X508" s="153"/>
      <c r="Y508" s="153"/>
      <c r="Z508" s="153"/>
      <c r="AA508" s="153"/>
    </row>
    <row r="509" spans="13:27" ht="15" customHeight="1" x14ac:dyDescent="0.25">
      <c r="M509" s="153"/>
      <c r="N509" s="153"/>
      <c r="O509" s="153"/>
      <c r="P509" s="153"/>
      <c r="Q509" s="153"/>
      <c r="R509" s="153"/>
      <c r="S509" s="153"/>
      <c r="T509" s="153"/>
      <c r="U509" s="153"/>
      <c r="V509" s="153"/>
      <c r="W509" s="153"/>
      <c r="X509" s="153"/>
      <c r="Y509" s="153"/>
      <c r="Z509" s="153"/>
      <c r="AA509" s="153"/>
    </row>
    <row r="510" spans="13:27" ht="15" customHeight="1" x14ac:dyDescent="0.25"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</row>
    <row r="511" spans="13:27" ht="15" customHeight="1" x14ac:dyDescent="0.25"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</row>
    <row r="512" spans="13:27" ht="15" customHeight="1" x14ac:dyDescent="0.25"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</row>
    <row r="513" spans="13:27" ht="15" customHeight="1" x14ac:dyDescent="0.25"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</row>
    <row r="514" spans="13:27" ht="15" customHeight="1" x14ac:dyDescent="0.25"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</row>
    <row r="515" spans="13:27" ht="15" customHeight="1" x14ac:dyDescent="0.25"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</row>
    <row r="516" spans="13:27" ht="15" customHeight="1" x14ac:dyDescent="0.25"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</row>
    <row r="517" spans="13:27" ht="15" customHeight="1" x14ac:dyDescent="0.25"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</row>
    <row r="518" spans="13:27" ht="15" customHeight="1" x14ac:dyDescent="0.25"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</row>
    <row r="519" spans="13:27" ht="15" customHeight="1" x14ac:dyDescent="0.25"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  <c r="AA519" s="153"/>
    </row>
    <row r="520" spans="13:27" ht="15" customHeight="1" x14ac:dyDescent="0.25">
      <c r="M520" s="153"/>
      <c r="N520" s="153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  <c r="AA520" s="153"/>
    </row>
    <row r="521" spans="13:27" ht="15" customHeight="1" x14ac:dyDescent="0.25">
      <c r="M521" s="153"/>
      <c r="N521" s="153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3"/>
      <c r="AA521" s="153"/>
    </row>
    <row r="522" spans="13:27" ht="15" customHeight="1" x14ac:dyDescent="0.25">
      <c r="M522" s="153"/>
      <c r="N522" s="153"/>
      <c r="O522" s="153"/>
      <c r="P522" s="15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  <c r="AA522" s="153"/>
    </row>
    <row r="523" spans="13:27" ht="15" customHeight="1" x14ac:dyDescent="0.25">
      <c r="M523" s="153"/>
      <c r="N523" s="153"/>
      <c r="O523" s="153"/>
      <c r="P523" s="153"/>
      <c r="Q523" s="153"/>
      <c r="R523" s="153"/>
      <c r="S523" s="153"/>
      <c r="T523" s="153"/>
      <c r="U523" s="153"/>
      <c r="V523" s="153"/>
      <c r="W523" s="153"/>
      <c r="X523" s="153"/>
      <c r="Y523" s="153"/>
      <c r="Z523" s="153"/>
      <c r="AA523" s="153"/>
    </row>
    <row r="524" spans="13:27" ht="15" customHeight="1" x14ac:dyDescent="0.25">
      <c r="M524" s="153"/>
      <c r="N524" s="153"/>
      <c r="O524" s="153"/>
      <c r="P524" s="153"/>
      <c r="Q524" s="153"/>
      <c r="R524" s="153"/>
      <c r="S524" s="153"/>
      <c r="T524" s="153"/>
      <c r="U524" s="153"/>
      <c r="V524" s="153"/>
      <c r="W524" s="153"/>
      <c r="X524" s="153"/>
      <c r="Y524" s="153"/>
      <c r="Z524" s="153"/>
      <c r="AA524" s="153"/>
    </row>
    <row r="525" spans="13:27" ht="15" customHeight="1" x14ac:dyDescent="0.25">
      <c r="M525" s="153"/>
      <c r="N525" s="153"/>
      <c r="O525" s="153"/>
      <c r="P525" s="153"/>
      <c r="Q525" s="153"/>
      <c r="R525" s="153"/>
      <c r="S525" s="153"/>
      <c r="T525" s="153"/>
      <c r="U525" s="153"/>
      <c r="V525" s="153"/>
      <c r="W525" s="153"/>
      <c r="X525" s="153"/>
      <c r="Y525" s="153"/>
      <c r="Z525" s="153"/>
      <c r="AA525" s="153"/>
    </row>
    <row r="526" spans="13:27" ht="15" customHeight="1" x14ac:dyDescent="0.25">
      <c r="M526" s="153"/>
      <c r="N526" s="153"/>
      <c r="O526" s="153"/>
      <c r="P526" s="153"/>
      <c r="Q526" s="153"/>
      <c r="R526" s="153"/>
      <c r="S526" s="153"/>
      <c r="T526" s="153"/>
      <c r="U526" s="153"/>
      <c r="V526" s="153"/>
      <c r="W526" s="153"/>
      <c r="X526" s="153"/>
      <c r="Y526" s="153"/>
      <c r="Z526" s="153"/>
      <c r="AA526" s="153"/>
    </row>
    <row r="527" spans="13:27" ht="15" customHeight="1" x14ac:dyDescent="0.25">
      <c r="M527" s="153"/>
      <c r="N527" s="153"/>
      <c r="O527" s="153"/>
      <c r="P527" s="153"/>
      <c r="Q527" s="153"/>
      <c r="R527" s="153"/>
      <c r="S527" s="153"/>
      <c r="T527" s="153"/>
      <c r="U527" s="153"/>
      <c r="V527" s="153"/>
      <c r="W527" s="153"/>
      <c r="X527" s="153"/>
      <c r="Y527" s="153"/>
      <c r="Z527" s="153"/>
      <c r="AA527" s="153"/>
    </row>
    <row r="528" spans="13:27" ht="15" customHeight="1" x14ac:dyDescent="0.25"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</row>
    <row r="529" spans="13:27" ht="15" customHeight="1" x14ac:dyDescent="0.25"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</row>
    <row r="530" spans="13:27" ht="15" customHeight="1" x14ac:dyDescent="0.25"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</row>
    <row r="531" spans="13:27" ht="15" customHeight="1" x14ac:dyDescent="0.25"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</row>
    <row r="532" spans="13:27" ht="15" customHeight="1" x14ac:dyDescent="0.25"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</row>
    <row r="533" spans="13:27" ht="15" customHeight="1" x14ac:dyDescent="0.25"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</row>
    <row r="534" spans="13:27" ht="15" customHeight="1" x14ac:dyDescent="0.25"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</row>
    <row r="535" spans="13:27" ht="15" customHeight="1" x14ac:dyDescent="0.25"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</row>
    <row r="536" spans="13:27" ht="15" customHeight="1" x14ac:dyDescent="0.25"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</row>
    <row r="537" spans="13:27" ht="15" customHeight="1" x14ac:dyDescent="0.25">
      <c r="M537" s="153"/>
      <c r="N537" s="153"/>
      <c r="O537" s="153"/>
      <c r="P537" s="153"/>
      <c r="Q537" s="153"/>
      <c r="R537" s="153"/>
      <c r="S537" s="153"/>
      <c r="T537" s="153"/>
      <c r="U537" s="153"/>
      <c r="V537" s="153"/>
      <c r="W537" s="153"/>
      <c r="X537" s="153"/>
      <c r="Y537" s="153"/>
      <c r="Z537" s="153"/>
      <c r="AA537" s="153"/>
    </row>
    <row r="538" spans="13:27" ht="15" customHeight="1" x14ac:dyDescent="0.25">
      <c r="M538" s="153"/>
      <c r="N538" s="153"/>
      <c r="O538" s="153"/>
      <c r="P538" s="153"/>
      <c r="Q538" s="153"/>
      <c r="R538" s="153"/>
      <c r="S538" s="153"/>
      <c r="T538" s="153"/>
      <c r="U538" s="153"/>
      <c r="V538" s="153"/>
      <c r="W538" s="153"/>
      <c r="X538" s="153"/>
      <c r="Y538" s="153"/>
      <c r="Z538" s="153"/>
      <c r="AA538" s="153"/>
    </row>
    <row r="539" spans="13:27" ht="15" customHeight="1" x14ac:dyDescent="0.25">
      <c r="M539" s="153"/>
      <c r="N539" s="153"/>
      <c r="O539" s="153"/>
      <c r="P539" s="153"/>
      <c r="Q539" s="153"/>
      <c r="R539" s="153"/>
      <c r="S539" s="153"/>
      <c r="T539" s="153"/>
      <c r="U539" s="153"/>
      <c r="V539" s="153"/>
      <c r="W539" s="153"/>
      <c r="X539" s="153"/>
      <c r="Y539" s="153"/>
      <c r="Z539" s="153"/>
      <c r="AA539" s="153"/>
    </row>
    <row r="540" spans="13:27" ht="15" customHeight="1" x14ac:dyDescent="0.25">
      <c r="M540" s="153"/>
      <c r="N540" s="153"/>
      <c r="O540" s="153"/>
      <c r="P540" s="153"/>
      <c r="Q540" s="153"/>
      <c r="R540" s="153"/>
      <c r="S540" s="153"/>
      <c r="T540" s="153"/>
      <c r="U540" s="153"/>
      <c r="V540" s="153"/>
      <c r="W540" s="153"/>
      <c r="X540" s="153"/>
      <c r="Y540" s="153"/>
      <c r="Z540" s="153"/>
      <c r="AA540" s="153"/>
    </row>
    <row r="541" spans="13:27" ht="15" customHeight="1" x14ac:dyDescent="0.25">
      <c r="M541" s="153"/>
      <c r="N541" s="153"/>
      <c r="O541" s="153"/>
      <c r="P541" s="153"/>
      <c r="Q541" s="153"/>
      <c r="R541" s="153"/>
      <c r="S541" s="153"/>
      <c r="T541" s="153"/>
      <c r="U541" s="153"/>
      <c r="V541" s="153"/>
      <c r="W541" s="153"/>
      <c r="X541" s="153"/>
      <c r="Y541" s="153"/>
      <c r="Z541" s="153"/>
      <c r="AA541" s="153"/>
    </row>
    <row r="542" spans="13:27" ht="15" customHeight="1" x14ac:dyDescent="0.25">
      <c r="M542" s="153"/>
      <c r="N542" s="153"/>
      <c r="O542" s="153"/>
      <c r="P542" s="153"/>
      <c r="Q542" s="153"/>
      <c r="R542" s="153"/>
      <c r="S542" s="153"/>
      <c r="T542" s="153"/>
      <c r="U542" s="153"/>
      <c r="V542" s="153"/>
      <c r="W542" s="153"/>
      <c r="X542" s="153"/>
      <c r="Y542" s="153"/>
      <c r="Z542" s="153"/>
      <c r="AA542" s="153"/>
    </row>
    <row r="543" spans="13:27" ht="15" customHeight="1" x14ac:dyDescent="0.25">
      <c r="M543" s="153"/>
      <c r="N543" s="153"/>
      <c r="O543" s="153"/>
      <c r="P543" s="153"/>
      <c r="Q543" s="153"/>
      <c r="R543" s="153"/>
      <c r="S543" s="153"/>
      <c r="T543" s="153"/>
      <c r="U543" s="153"/>
      <c r="V543" s="153"/>
      <c r="W543" s="153"/>
      <c r="X543" s="153"/>
      <c r="Y543" s="153"/>
      <c r="Z543" s="153"/>
      <c r="AA543" s="153"/>
    </row>
    <row r="544" spans="13:27" ht="15" customHeight="1" x14ac:dyDescent="0.25">
      <c r="M544" s="153"/>
      <c r="N544" s="153"/>
      <c r="O544" s="153"/>
      <c r="P544" s="153"/>
      <c r="Q544" s="153"/>
      <c r="R544" s="153"/>
      <c r="S544" s="153"/>
      <c r="T544" s="153"/>
      <c r="U544" s="153"/>
      <c r="V544" s="153"/>
      <c r="W544" s="153"/>
      <c r="X544" s="153"/>
      <c r="Y544" s="153"/>
      <c r="Z544" s="153"/>
      <c r="AA544" s="153"/>
    </row>
    <row r="545" spans="13:27" ht="15" customHeight="1" x14ac:dyDescent="0.25">
      <c r="M545" s="153"/>
      <c r="N545" s="153"/>
      <c r="O545" s="153"/>
      <c r="P545" s="153"/>
      <c r="Q545" s="153"/>
      <c r="R545" s="153"/>
      <c r="S545" s="153"/>
      <c r="T545" s="153"/>
      <c r="U545" s="153"/>
      <c r="V545" s="153"/>
      <c r="W545" s="153"/>
      <c r="X545" s="153"/>
      <c r="Y545" s="153"/>
      <c r="Z545" s="153"/>
      <c r="AA545" s="153"/>
    </row>
    <row r="546" spans="13:27" ht="15" customHeight="1" x14ac:dyDescent="0.25"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</row>
    <row r="547" spans="13:27" ht="15" customHeight="1" x14ac:dyDescent="0.25"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</row>
    <row r="548" spans="13:27" ht="15" customHeight="1" x14ac:dyDescent="0.25"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</row>
    <row r="549" spans="13:27" ht="15" customHeight="1" x14ac:dyDescent="0.25"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</row>
    <row r="550" spans="13:27" ht="15" customHeight="1" x14ac:dyDescent="0.25"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</row>
    <row r="551" spans="13:27" ht="15" customHeight="1" x14ac:dyDescent="0.25"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</row>
    <row r="552" spans="13:27" ht="15" customHeight="1" x14ac:dyDescent="0.25"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</row>
    <row r="553" spans="13:27" ht="15" customHeight="1" x14ac:dyDescent="0.25"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</row>
    <row r="554" spans="13:27" ht="15" customHeight="1" x14ac:dyDescent="0.25">
      <c r="M554" s="153"/>
      <c r="N554" s="153"/>
      <c r="O554" s="153"/>
      <c r="P554" s="153"/>
      <c r="Q554" s="153"/>
      <c r="R554" s="153"/>
      <c r="S554" s="153"/>
      <c r="T554" s="153"/>
      <c r="U554" s="153"/>
      <c r="V554" s="153"/>
      <c r="W554" s="153"/>
      <c r="X554" s="153"/>
      <c r="Y554" s="153"/>
      <c r="Z554" s="153"/>
      <c r="AA554" s="153"/>
    </row>
    <row r="555" spans="13:27" ht="15" customHeight="1" x14ac:dyDescent="0.25">
      <c r="M555" s="153"/>
      <c r="N555" s="153"/>
      <c r="O555" s="153"/>
      <c r="P555" s="153"/>
      <c r="Q555" s="153"/>
      <c r="R555" s="153"/>
      <c r="S555" s="153"/>
      <c r="T555" s="153"/>
      <c r="U555" s="153"/>
      <c r="V555" s="153"/>
      <c r="W555" s="153"/>
      <c r="X555" s="153"/>
      <c r="Y555" s="153"/>
      <c r="Z555" s="153"/>
      <c r="AA555" s="153"/>
    </row>
    <row r="556" spans="13:27" ht="15" customHeight="1" x14ac:dyDescent="0.25">
      <c r="M556" s="153"/>
      <c r="N556" s="153"/>
      <c r="O556" s="153"/>
      <c r="P556" s="153"/>
      <c r="Q556" s="153"/>
      <c r="R556" s="153"/>
      <c r="S556" s="153"/>
      <c r="T556" s="153"/>
      <c r="U556" s="153"/>
      <c r="V556" s="153"/>
      <c r="W556" s="153"/>
      <c r="X556" s="153"/>
      <c r="Y556" s="153"/>
      <c r="Z556" s="153"/>
      <c r="AA556" s="153"/>
    </row>
    <row r="557" spans="13:27" ht="15" customHeight="1" x14ac:dyDescent="0.25">
      <c r="M557" s="153"/>
      <c r="N557" s="153"/>
      <c r="O557" s="153"/>
      <c r="P557" s="153"/>
      <c r="Q557" s="153"/>
      <c r="R557" s="153"/>
      <c r="S557" s="153"/>
      <c r="T557" s="153"/>
      <c r="U557" s="153"/>
      <c r="V557" s="153"/>
      <c r="W557" s="153"/>
      <c r="X557" s="153"/>
      <c r="Y557" s="153"/>
      <c r="Z557" s="153"/>
      <c r="AA557" s="153"/>
    </row>
    <row r="558" spans="13:27" ht="15" customHeight="1" x14ac:dyDescent="0.25">
      <c r="M558" s="153"/>
      <c r="N558" s="153"/>
      <c r="O558" s="153"/>
      <c r="P558" s="153"/>
      <c r="Q558" s="153"/>
      <c r="R558" s="153"/>
      <c r="S558" s="153"/>
      <c r="T558" s="153"/>
      <c r="U558" s="153"/>
      <c r="V558" s="153"/>
      <c r="W558" s="153"/>
      <c r="X558" s="153"/>
      <c r="Y558" s="153"/>
      <c r="Z558" s="153"/>
      <c r="AA558" s="153"/>
    </row>
    <row r="559" spans="13:27" ht="15" customHeight="1" x14ac:dyDescent="0.25">
      <c r="M559" s="153"/>
      <c r="N559" s="153"/>
      <c r="O559" s="153"/>
      <c r="P559" s="153"/>
      <c r="Q559" s="153"/>
      <c r="R559" s="153"/>
      <c r="S559" s="153"/>
      <c r="T559" s="153"/>
      <c r="U559" s="153"/>
      <c r="V559" s="153"/>
      <c r="W559" s="153"/>
      <c r="X559" s="153"/>
      <c r="Y559" s="153"/>
      <c r="Z559" s="153"/>
      <c r="AA559" s="153"/>
    </row>
    <row r="560" spans="13:27" ht="15" customHeight="1" x14ac:dyDescent="0.25">
      <c r="M560" s="153"/>
      <c r="N560" s="153"/>
      <c r="O560" s="153"/>
      <c r="P560" s="153"/>
      <c r="Q560" s="153"/>
      <c r="R560" s="153"/>
      <c r="S560" s="153"/>
      <c r="T560" s="153"/>
      <c r="U560" s="153"/>
      <c r="V560" s="153"/>
      <c r="W560" s="153"/>
      <c r="X560" s="153"/>
      <c r="Y560" s="153"/>
      <c r="Z560" s="153"/>
      <c r="AA560" s="153"/>
    </row>
    <row r="561" spans="13:27" ht="15" customHeight="1" x14ac:dyDescent="0.25">
      <c r="M561" s="153"/>
      <c r="N561" s="153"/>
      <c r="O561" s="153"/>
      <c r="P561" s="153"/>
      <c r="Q561" s="153"/>
      <c r="R561" s="153"/>
      <c r="S561" s="153"/>
      <c r="T561" s="153"/>
      <c r="U561" s="153"/>
      <c r="V561" s="153"/>
      <c r="W561" s="153"/>
      <c r="X561" s="153"/>
      <c r="Y561" s="153"/>
      <c r="Z561" s="153"/>
      <c r="AA561" s="153"/>
    </row>
    <row r="562" spans="13:27" ht="15" customHeight="1" x14ac:dyDescent="0.25">
      <c r="M562" s="153"/>
      <c r="N562" s="153"/>
      <c r="O562" s="153"/>
      <c r="P562" s="153"/>
      <c r="Q562" s="153"/>
      <c r="R562" s="153"/>
      <c r="S562" s="153"/>
      <c r="T562" s="153"/>
      <c r="U562" s="153"/>
      <c r="V562" s="153"/>
      <c r="W562" s="153"/>
      <c r="X562" s="153"/>
      <c r="Y562" s="153"/>
      <c r="Z562" s="153"/>
      <c r="AA562" s="153"/>
    </row>
    <row r="563" spans="13:27" ht="15" customHeight="1" x14ac:dyDescent="0.25">
      <c r="M563" s="153"/>
      <c r="N563" s="153"/>
      <c r="O563" s="153"/>
      <c r="P563" s="153"/>
      <c r="Q563" s="153"/>
      <c r="R563" s="153"/>
      <c r="S563" s="153"/>
      <c r="T563" s="153"/>
      <c r="U563" s="153"/>
      <c r="V563" s="153"/>
      <c r="W563" s="153"/>
      <c r="X563" s="153"/>
      <c r="Y563" s="153"/>
      <c r="Z563" s="153"/>
      <c r="AA563" s="153"/>
    </row>
    <row r="564" spans="13:27" ht="15" customHeight="1" x14ac:dyDescent="0.25"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</row>
    <row r="565" spans="13:27" ht="15" customHeight="1" x14ac:dyDescent="0.25"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</row>
    <row r="566" spans="13:27" ht="15" customHeight="1" x14ac:dyDescent="0.25"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</row>
    <row r="567" spans="13:27" ht="15" customHeight="1" x14ac:dyDescent="0.25"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</row>
    <row r="568" spans="13:27" ht="15" customHeight="1" x14ac:dyDescent="0.25"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</row>
    <row r="569" spans="13:27" ht="15" customHeight="1" x14ac:dyDescent="0.25"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</row>
    <row r="570" spans="13:27" ht="15" customHeight="1" x14ac:dyDescent="0.25"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</row>
    <row r="571" spans="13:27" ht="15" customHeight="1" x14ac:dyDescent="0.25"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</row>
    <row r="572" spans="13:27" ht="15" customHeight="1" x14ac:dyDescent="0.25"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</row>
    <row r="573" spans="13:27" ht="15" customHeight="1" x14ac:dyDescent="0.25">
      <c r="M573" s="153"/>
      <c r="N573" s="153"/>
      <c r="O573" s="153"/>
      <c r="P573" s="153"/>
      <c r="Q573" s="153"/>
      <c r="R573" s="153"/>
      <c r="S573" s="153"/>
      <c r="T573" s="153"/>
      <c r="U573" s="153"/>
      <c r="V573" s="153"/>
      <c r="W573" s="153"/>
      <c r="X573" s="153"/>
      <c r="Y573" s="153"/>
      <c r="Z573" s="153"/>
      <c r="AA573" s="153"/>
    </row>
    <row r="574" spans="13:27" ht="15" customHeight="1" x14ac:dyDescent="0.25">
      <c r="M574" s="153"/>
      <c r="N574" s="153"/>
      <c r="O574" s="153"/>
      <c r="P574" s="153"/>
      <c r="Q574" s="153"/>
      <c r="R574" s="153"/>
      <c r="S574" s="153"/>
      <c r="T574" s="153"/>
      <c r="U574" s="153"/>
      <c r="V574" s="153"/>
      <c r="W574" s="153"/>
      <c r="X574" s="153"/>
      <c r="Y574" s="153"/>
      <c r="Z574" s="153"/>
      <c r="AA574" s="153"/>
    </row>
    <row r="575" spans="13:27" ht="15" customHeight="1" x14ac:dyDescent="0.25">
      <c r="M575" s="153"/>
      <c r="N575" s="153"/>
      <c r="O575" s="153"/>
      <c r="P575" s="153"/>
      <c r="Q575" s="153"/>
      <c r="R575" s="153"/>
      <c r="S575" s="153"/>
      <c r="T575" s="153"/>
      <c r="U575" s="153"/>
      <c r="V575" s="153"/>
      <c r="W575" s="153"/>
      <c r="X575" s="153"/>
      <c r="Y575" s="153"/>
      <c r="Z575" s="153"/>
      <c r="AA575" s="153"/>
    </row>
    <row r="576" spans="13:27" ht="15" customHeight="1" x14ac:dyDescent="0.25">
      <c r="M576" s="153"/>
      <c r="N576" s="153"/>
      <c r="O576" s="153"/>
      <c r="P576" s="153"/>
      <c r="Q576" s="153"/>
      <c r="R576" s="153"/>
      <c r="S576" s="153"/>
      <c r="T576" s="153"/>
      <c r="U576" s="153"/>
      <c r="V576" s="153"/>
      <c r="W576" s="153"/>
      <c r="X576" s="153"/>
      <c r="Y576" s="153"/>
      <c r="Z576" s="153"/>
      <c r="AA576" s="153"/>
    </row>
    <row r="577" spans="7:27" ht="15" customHeight="1" x14ac:dyDescent="0.25">
      <c r="M577" s="153"/>
      <c r="N577" s="153"/>
      <c r="O577" s="153"/>
      <c r="P577" s="153"/>
      <c r="Q577" s="153"/>
      <c r="R577" s="153"/>
      <c r="S577" s="153"/>
      <c r="T577" s="153"/>
      <c r="U577" s="153"/>
      <c r="V577" s="153"/>
      <c r="W577" s="153"/>
      <c r="X577" s="153"/>
      <c r="Y577" s="153"/>
      <c r="Z577" s="153"/>
      <c r="AA577" s="153"/>
    </row>
    <row r="578" spans="7:27" ht="15" customHeight="1" x14ac:dyDescent="0.25">
      <c r="M578" s="153"/>
      <c r="N578" s="153"/>
      <c r="O578" s="153"/>
      <c r="P578" s="153"/>
      <c r="Q578" s="153"/>
      <c r="R578" s="153"/>
      <c r="S578" s="153"/>
      <c r="T578" s="153"/>
      <c r="U578" s="153"/>
      <c r="V578" s="153"/>
      <c r="W578" s="153"/>
      <c r="X578" s="153"/>
      <c r="Y578" s="153"/>
      <c r="Z578" s="153"/>
      <c r="AA578" s="153"/>
    </row>
    <row r="579" spans="7:27" ht="15" customHeight="1" x14ac:dyDescent="0.25">
      <c r="M579" s="153"/>
      <c r="N579" s="153"/>
      <c r="O579" s="153"/>
      <c r="P579" s="153"/>
      <c r="Q579" s="153"/>
      <c r="R579" s="153"/>
      <c r="S579" s="153"/>
      <c r="T579" s="153"/>
      <c r="U579" s="153"/>
      <c r="V579" s="153"/>
      <c r="W579" s="153"/>
      <c r="X579" s="153"/>
      <c r="Y579" s="153"/>
      <c r="Z579" s="153"/>
      <c r="AA579" s="153"/>
    </row>
    <row r="580" spans="7:27" ht="15" customHeight="1" x14ac:dyDescent="0.25">
      <c r="G580" s="194"/>
      <c r="H580" s="194"/>
      <c r="I580" s="194"/>
      <c r="J580" s="194"/>
      <c r="K580" s="194"/>
      <c r="M580" s="153"/>
      <c r="N580" s="153"/>
      <c r="O580" s="153"/>
      <c r="P580" s="153"/>
      <c r="Q580" s="153"/>
      <c r="R580" s="153"/>
      <c r="S580" s="153"/>
      <c r="T580" s="153"/>
      <c r="U580" s="153"/>
      <c r="V580" s="153"/>
      <c r="W580" s="153"/>
      <c r="X580" s="153"/>
      <c r="Y580" s="153"/>
      <c r="Z580" s="153"/>
      <c r="AA580" s="153"/>
    </row>
    <row r="581" spans="7:27" ht="15" customHeight="1" x14ac:dyDescent="0.25">
      <c r="M581" s="153"/>
      <c r="N581" s="153"/>
      <c r="O581" s="153"/>
      <c r="P581" s="153"/>
      <c r="Q581" s="153"/>
      <c r="R581" s="153"/>
      <c r="S581" s="153"/>
      <c r="T581" s="153"/>
      <c r="U581" s="153"/>
      <c r="V581" s="153"/>
      <c r="W581" s="153"/>
      <c r="X581" s="153"/>
      <c r="Y581" s="153"/>
      <c r="Z581" s="153"/>
      <c r="AA581" s="153"/>
    </row>
    <row r="582" spans="7:27" ht="15" customHeight="1" x14ac:dyDescent="0.25"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</row>
    <row r="583" spans="7:27" ht="15" customHeight="1" x14ac:dyDescent="0.25"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</row>
    <row r="584" spans="7:27" ht="15" customHeight="1" x14ac:dyDescent="0.25"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</row>
    <row r="585" spans="7:27" ht="15" customHeight="1" x14ac:dyDescent="0.25">
      <c r="M585" s="153"/>
      <c r="N585" s="153"/>
      <c r="O585" s="153"/>
      <c r="P585" s="153"/>
      <c r="Q585" s="153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</row>
    <row r="586" spans="7:27" ht="15" customHeight="1" x14ac:dyDescent="0.25">
      <c r="M586" s="153"/>
      <c r="N586" s="153"/>
      <c r="O586" s="153"/>
      <c r="P586" s="153"/>
      <c r="Q586" s="153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</row>
    <row r="587" spans="7:27" ht="15" customHeight="1" x14ac:dyDescent="0.25"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</row>
    <row r="588" spans="7:27" ht="15" customHeight="1" x14ac:dyDescent="0.25">
      <c r="M588" s="153"/>
      <c r="N588" s="153"/>
      <c r="O588" s="153"/>
      <c r="P588" s="153"/>
      <c r="Q588" s="153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</row>
    <row r="589" spans="7:27" ht="15" customHeight="1" x14ac:dyDescent="0.25">
      <c r="M589" s="153"/>
      <c r="N589" s="153"/>
      <c r="O589" s="153"/>
      <c r="P589" s="153"/>
      <c r="Q589" s="153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</row>
    <row r="590" spans="7:27" ht="15" customHeight="1" x14ac:dyDescent="0.25">
      <c r="M590" s="153"/>
      <c r="N590" s="153"/>
      <c r="O590" s="153"/>
      <c r="P590" s="153"/>
      <c r="Q590" s="153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</row>
    <row r="591" spans="7:27" ht="15" customHeight="1" x14ac:dyDescent="0.25">
      <c r="M591" s="153"/>
      <c r="N591" s="153"/>
      <c r="O591" s="153"/>
      <c r="P591" s="153"/>
      <c r="Q591" s="153"/>
      <c r="R591" s="153"/>
      <c r="S591" s="153"/>
      <c r="T591" s="153"/>
      <c r="U591" s="153"/>
      <c r="V591" s="153"/>
      <c r="W591" s="153"/>
      <c r="X591" s="153"/>
      <c r="Y591" s="153"/>
      <c r="Z591" s="153"/>
      <c r="AA591" s="153"/>
    </row>
    <row r="592" spans="7:27" ht="15" customHeight="1" x14ac:dyDescent="0.25">
      <c r="M592" s="153"/>
      <c r="N592" s="153"/>
      <c r="O592" s="153"/>
      <c r="P592" s="153"/>
      <c r="Q592" s="153"/>
      <c r="R592" s="153"/>
      <c r="S592" s="153"/>
      <c r="T592" s="153"/>
      <c r="U592" s="153"/>
      <c r="V592" s="153"/>
      <c r="W592" s="153"/>
      <c r="X592" s="153"/>
      <c r="Y592" s="153"/>
      <c r="Z592" s="153"/>
      <c r="AA592" s="153"/>
    </row>
    <row r="593" spans="13:27" ht="15" customHeight="1" x14ac:dyDescent="0.25">
      <c r="M593" s="153"/>
      <c r="N593" s="153"/>
      <c r="O593" s="153"/>
      <c r="P593" s="153"/>
      <c r="Q593" s="153"/>
      <c r="R593" s="153"/>
      <c r="S593" s="153"/>
      <c r="T593" s="153"/>
      <c r="U593" s="153"/>
      <c r="V593" s="153"/>
      <c r="W593" s="153"/>
      <c r="X593" s="153"/>
      <c r="Y593" s="153"/>
      <c r="Z593" s="153"/>
      <c r="AA593" s="153"/>
    </row>
    <row r="594" spans="13:27" ht="15" customHeight="1" x14ac:dyDescent="0.25">
      <c r="M594" s="153"/>
      <c r="N594" s="153"/>
      <c r="O594" s="153"/>
      <c r="P594" s="153"/>
      <c r="Q594" s="153"/>
      <c r="R594" s="153"/>
      <c r="S594" s="153"/>
      <c r="T594" s="153"/>
      <c r="U594" s="153"/>
      <c r="V594" s="153"/>
      <c r="W594" s="153"/>
      <c r="X594" s="153"/>
      <c r="Y594" s="153"/>
      <c r="Z594" s="153"/>
      <c r="AA594" s="153"/>
    </row>
    <row r="595" spans="13:27" ht="15" customHeight="1" x14ac:dyDescent="0.25">
      <c r="M595" s="153"/>
      <c r="N595" s="153"/>
      <c r="O595" s="153"/>
      <c r="P595" s="153"/>
      <c r="Q595" s="153"/>
      <c r="R595" s="153"/>
      <c r="S595" s="153"/>
      <c r="T595" s="153"/>
      <c r="U595" s="153"/>
      <c r="V595" s="153"/>
      <c r="W595" s="153"/>
      <c r="X595" s="153"/>
      <c r="Y595" s="153"/>
      <c r="Z595" s="153"/>
      <c r="AA595" s="153"/>
    </row>
    <row r="596" spans="13:27" ht="15" customHeight="1" x14ac:dyDescent="0.25">
      <c r="M596" s="153"/>
      <c r="N596" s="153"/>
      <c r="O596" s="153"/>
      <c r="P596" s="153"/>
      <c r="Q596" s="153"/>
      <c r="R596" s="153"/>
      <c r="S596" s="153"/>
      <c r="T596" s="153"/>
      <c r="U596" s="153"/>
      <c r="V596" s="153"/>
      <c r="W596" s="153"/>
      <c r="X596" s="153"/>
      <c r="Y596" s="153"/>
      <c r="Z596" s="153"/>
      <c r="AA596" s="153"/>
    </row>
    <row r="597" spans="13:27" ht="15" customHeight="1" x14ac:dyDescent="0.25">
      <c r="M597" s="153"/>
      <c r="N597" s="153"/>
      <c r="O597" s="153"/>
      <c r="P597" s="153"/>
      <c r="Q597" s="153"/>
      <c r="R597" s="153"/>
      <c r="S597" s="153"/>
      <c r="T597" s="153"/>
      <c r="U597" s="153"/>
      <c r="V597" s="153"/>
      <c r="W597" s="153"/>
      <c r="X597" s="153"/>
      <c r="Y597" s="153"/>
      <c r="Z597" s="153"/>
      <c r="AA597" s="153"/>
    </row>
    <row r="598" spans="13:27" ht="15" customHeight="1" x14ac:dyDescent="0.25">
      <c r="M598" s="153"/>
      <c r="N598" s="153"/>
      <c r="O598" s="153"/>
      <c r="P598" s="153"/>
      <c r="Q598" s="153"/>
      <c r="R598" s="153"/>
      <c r="S598" s="153"/>
      <c r="T598" s="153"/>
      <c r="U598" s="153"/>
      <c r="V598" s="153"/>
      <c r="W598" s="153"/>
      <c r="X598" s="153"/>
      <c r="Y598" s="153"/>
      <c r="Z598" s="153"/>
      <c r="AA598" s="153"/>
    </row>
    <row r="599" spans="13:27" ht="15" customHeight="1" x14ac:dyDescent="0.25">
      <c r="M599" s="153"/>
      <c r="N599" s="153"/>
      <c r="O599" s="153"/>
      <c r="P599" s="153"/>
      <c r="Q599" s="153"/>
      <c r="R599" s="153"/>
      <c r="S599" s="153"/>
      <c r="T599" s="153"/>
      <c r="U599" s="153"/>
      <c r="V599" s="153"/>
      <c r="W599" s="153"/>
      <c r="X599" s="153"/>
      <c r="Y599" s="153"/>
      <c r="Z599" s="153"/>
      <c r="AA599" s="153"/>
    </row>
    <row r="600" spans="13:27" ht="15" customHeight="1" x14ac:dyDescent="0.25">
      <c r="M600" s="153"/>
      <c r="N600" s="153"/>
      <c r="O600" s="153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</row>
    <row r="601" spans="13:27" ht="15" customHeight="1" x14ac:dyDescent="0.25">
      <c r="M601" s="153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</row>
    <row r="602" spans="13:27" ht="15" customHeight="1" x14ac:dyDescent="0.25">
      <c r="M602" s="153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</row>
    <row r="603" spans="13:27" ht="15" customHeight="1" x14ac:dyDescent="0.25">
      <c r="M603" s="153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</row>
    <row r="604" spans="13:27" ht="15" customHeight="1" x14ac:dyDescent="0.25">
      <c r="M604" s="153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</row>
    <row r="605" spans="13:27" ht="15" customHeight="1" x14ac:dyDescent="0.25">
      <c r="M605" s="153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</row>
    <row r="606" spans="13:27" ht="15" customHeight="1" x14ac:dyDescent="0.25">
      <c r="M606" s="153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</row>
    <row r="607" spans="13:27" ht="15" customHeight="1" x14ac:dyDescent="0.25">
      <c r="M607" s="153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</row>
    <row r="608" spans="13:27" ht="15" customHeight="1" x14ac:dyDescent="0.25"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  <c r="AA608" s="153"/>
    </row>
    <row r="609" spans="13:27" ht="15" customHeight="1" x14ac:dyDescent="0.25">
      <c r="M609" s="153"/>
      <c r="N609" s="153"/>
      <c r="O609" s="153"/>
      <c r="P609" s="153"/>
      <c r="Q609" s="153"/>
      <c r="R609" s="153"/>
      <c r="S609" s="153"/>
      <c r="T609" s="153"/>
      <c r="U609" s="153"/>
      <c r="V609" s="153"/>
      <c r="W609" s="153"/>
      <c r="X609" s="153"/>
      <c r="Y609" s="153"/>
      <c r="Z609" s="153"/>
      <c r="AA609" s="153"/>
    </row>
    <row r="610" spans="13:27" ht="15" customHeight="1" x14ac:dyDescent="0.25">
      <c r="M610" s="153"/>
      <c r="N610" s="153"/>
      <c r="O610" s="153"/>
      <c r="P610" s="153"/>
      <c r="Q610" s="153"/>
      <c r="R610" s="153"/>
      <c r="S610" s="153"/>
      <c r="T610" s="153"/>
      <c r="U610" s="153"/>
      <c r="V610" s="153"/>
      <c r="W610" s="153"/>
      <c r="X610" s="153"/>
      <c r="Y610" s="153"/>
      <c r="Z610" s="153"/>
      <c r="AA610" s="153"/>
    </row>
    <row r="611" spans="13:27" ht="15" customHeight="1" x14ac:dyDescent="0.25">
      <c r="M611" s="153"/>
      <c r="N611" s="153"/>
      <c r="O611" s="153"/>
      <c r="P611" s="153"/>
      <c r="Q611" s="153"/>
      <c r="R611" s="153"/>
      <c r="S611" s="153"/>
      <c r="T611" s="153"/>
      <c r="U611" s="153"/>
      <c r="V611" s="153"/>
      <c r="W611" s="153"/>
      <c r="X611" s="153"/>
      <c r="Y611" s="153"/>
      <c r="Z611" s="153"/>
      <c r="AA611" s="153"/>
    </row>
    <row r="612" spans="13:27" ht="15" customHeight="1" x14ac:dyDescent="0.25">
      <c r="M612" s="153"/>
      <c r="N612" s="153"/>
      <c r="O612" s="153"/>
      <c r="P612" s="153"/>
      <c r="Q612" s="153"/>
      <c r="R612" s="153"/>
      <c r="S612" s="153"/>
      <c r="T612" s="153"/>
      <c r="U612" s="153"/>
      <c r="V612" s="153"/>
      <c r="W612" s="153"/>
      <c r="X612" s="153"/>
      <c r="Y612" s="153"/>
      <c r="Z612" s="153"/>
      <c r="AA612" s="153"/>
    </row>
    <row r="613" spans="13:27" ht="15" customHeight="1" x14ac:dyDescent="0.25">
      <c r="M613" s="153"/>
      <c r="N613" s="153"/>
      <c r="O613" s="153"/>
      <c r="P613" s="153"/>
      <c r="Q613" s="153"/>
      <c r="R613" s="153"/>
      <c r="S613" s="153"/>
      <c r="T613" s="153"/>
      <c r="U613" s="153"/>
      <c r="V613" s="153"/>
      <c r="W613" s="153"/>
      <c r="X613" s="153"/>
      <c r="Y613" s="153"/>
      <c r="Z613" s="153"/>
      <c r="AA613" s="153"/>
    </row>
    <row r="614" spans="13:27" ht="15" customHeight="1" x14ac:dyDescent="0.25">
      <c r="M614" s="153"/>
      <c r="N614" s="153"/>
      <c r="O614" s="153"/>
      <c r="P614" s="153"/>
      <c r="Q614" s="153"/>
      <c r="R614" s="153"/>
      <c r="S614" s="153"/>
      <c r="T614" s="153"/>
      <c r="U614" s="153"/>
      <c r="V614" s="153"/>
      <c r="W614" s="153"/>
      <c r="X614" s="153"/>
      <c r="Y614" s="153"/>
      <c r="Z614" s="153"/>
      <c r="AA614" s="153"/>
    </row>
    <row r="615" spans="13:27" ht="15" customHeight="1" x14ac:dyDescent="0.25">
      <c r="M615" s="153"/>
      <c r="N615" s="153"/>
      <c r="O615" s="153"/>
      <c r="P615" s="153"/>
      <c r="Q615" s="153"/>
      <c r="R615" s="153"/>
      <c r="S615" s="153"/>
      <c r="T615" s="153"/>
      <c r="U615" s="153"/>
      <c r="V615" s="153"/>
      <c r="W615" s="153"/>
      <c r="X615" s="153"/>
      <c r="Y615" s="153"/>
      <c r="Z615" s="153"/>
      <c r="AA615" s="153"/>
    </row>
    <row r="616" spans="13:27" ht="15" customHeight="1" x14ac:dyDescent="0.25">
      <c r="M616" s="153"/>
      <c r="N616" s="153"/>
      <c r="O616" s="153"/>
      <c r="P616" s="153"/>
      <c r="Q616" s="153"/>
      <c r="R616" s="153"/>
      <c r="S616" s="153"/>
      <c r="T616" s="153"/>
      <c r="U616" s="153"/>
      <c r="V616" s="153"/>
      <c r="W616" s="153"/>
      <c r="X616" s="153"/>
      <c r="Y616" s="153"/>
      <c r="Z616" s="153"/>
      <c r="AA616" s="153"/>
    </row>
    <row r="617" spans="13:27" ht="15" customHeight="1" x14ac:dyDescent="0.25">
      <c r="M617" s="153"/>
      <c r="N617" s="153"/>
      <c r="O617" s="153"/>
      <c r="P617" s="153"/>
      <c r="Q617" s="153"/>
      <c r="R617" s="153"/>
      <c r="S617" s="153"/>
      <c r="T617" s="153"/>
      <c r="U617" s="153"/>
      <c r="V617" s="153"/>
      <c r="W617" s="153"/>
      <c r="X617" s="153"/>
      <c r="Y617" s="153"/>
      <c r="Z617" s="153"/>
      <c r="AA617" s="153"/>
    </row>
    <row r="618" spans="13:27" ht="15" customHeight="1" x14ac:dyDescent="0.25"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</row>
    <row r="619" spans="13:27" ht="15" customHeight="1" x14ac:dyDescent="0.25"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</row>
    <row r="620" spans="13:27" ht="15" customHeight="1" x14ac:dyDescent="0.25"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</row>
    <row r="621" spans="13:27" ht="15" customHeight="1" x14ac:dyDescent="0.25"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</row>
    <row r="622" spans="13:27" ht="15" customHeight="1" x14ac:dyDescent="0.25"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</row>
    <row r="623" spans="13:27" ht="15" customHeight="1" x14ac:dyDescent="0.25"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</row>
    <row r="624" spans="13:27" ht="15" customHeight="1" x14ac:dyDescent="0.25"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</row>
    <row r="625" spans="13:27" ht="15" customHeight="1" x14ac:dyDescent="0.25"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</row>
    <row r="626" spans="13:27" ht="15" customHeight="1" x14ac:dyDescent="0.25"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</row>
    <row r="627" spans="13:27" ht="15" customHeight="1" x14ac:dyDescent="0.25">
      <c r="M627" s="153"/>
      <c r="N627" s="153"/>
      <c r="O627" s="153"/>
      <c r="P627" s="153"/>
      <c r="Q627" s="153"/>
      <c r="R627" s="153"/>
      <c r="S627" s="153"/>
      <c r="T627" s="153"/>
      <c r="U627" s="153"/>
      <c r="V627" s="153"/>
      <c r="W627" s="153"/>
      <c r="X627" s="153"/>
      <c r="Y627" s="153"/>
      <c r="Z627" s="153"/>
      <c r="AA627" s="153"/>
    </row>
    <row r="628" spans="13:27" ht="15" customHeight="1" x14ac:dyDescent="0.25">
      <c r="M628" s="153"/>
      <c r="N628" s="153"/>
      <c r="O628" s="153"/>
      <c r="P628" s="153"/>
      <c r="Q628" s="153"/>
      <c r="R628" s="153"/>
      <c r="S628" s="153"/>
      <c r="T628" s="153"/>
      <c r="U628" s="153"/>
      <c r="V628" s="153"/>
      <c r="W628" s="153"/>
      <c r="X628" s="153"/>
      <c r="Y628" s="153"/>
      <c r="Z628" s="153"/>
      <c r="AA628" s="153"/>
    </row>
    <row r="629" spans="13:27" ht="15" customHeight="1" x14ac:dyDescent="0.25">
      <c r="M629" s="153"/>
      <c r="N629" s="153"/>
      <c r="O629" s="153"/>
      <c r="P629" s="153"/>
      <c r="Q629" s="153"/>
      <c r="R629" s="153"/>
      <c r="S629" s="153"/>
      <c r="T629" s="153"/>
      <c r="U629" s="153"/>
      <c r="V629" s="153"/>
      <c r="W629" s="153"/>
      <c r="X629" s="153"/>
      <c r="Y629" s="153"/>
      <c r="Z629" s="153"/>
      <c r="AA629" s="153"/>
    </row>
    <row r="630" spans="13:27" ht="15" customHeight="1" x14ac:dyDescent="0.25">
      <c r="M630" s="153"/>
      <c r="N630" s="153"/>
      <c r="O630" s="153"/>
      <c r="P630" s="153"/>
      <c r="Q630" s="153"/>
      <c r="R630" s="153"/>
      <c r="S630" s="153"/>
      <c r="T630" s="153"/>
      <c r="U630" s="153"/>
      <c r="V630" s="153"/>
      <c r="W630" s="153"/>
      <c r="X630" s="153"/>
      <c r="Y630" s="153"/>
      <c r="Z630" s="153"/>
      <c r="AA630" s="153"/>
    </row>
    <row r="631" spans="13:27" ht="15" customHeight="1" x14ac:dyDescent="0.25">
      <c r="M631" s="153"/>
      <c r="N631" s="153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3"/>
      <c r="AA631" s="153"/>
    </row>
    <row r="632" spans="13:27" ht="15" customHeight="1" x14ac:dyDescent="0.25">
      <c r="M632" s="153"/>
      <c r="N632" s="153"/>
      <c r="O632" s="153"/>
      <c r="P632" s="153"/>
      <c r="Q632" s="153"/>
      <c r="R632" s="153"/>
      <c r="S632" s="153"/>
      <c r="T632" s="153"/>
      <c r="U632" s="153"/>
      <c r="V632" s="153"/>
      <c r="W632" s="153"/>
      <c r="X632" s="153"/>
      <c r="Y632" s="153"/>
      <c r="Z632" s="153"/>
      <c r="AA632" s="153"/>
    </row>
    <row r="633" spans="13:27" ht="15" customHeight="1" x14ac:dyDescent="0.25">
      <c r="M633" s="153"/>
      <c r="N633" s="153"/>
      <c r="O633" s="153"/>
      <c r="P633" s="153"/>
      <c r="Q633" s="153"/>
      <c r="R633" s="153"/>
      <c r="S633" s="153"/>
      <c r="T633" s="153"/>
      <c r="U633" s="153"/>
      <c r="V633" s="153"/>
      <c r="W633" s="153"/>
      <c r="X633" s="153"/>
      <c r="Y633" s="153"/>
      <c r="Z633" s="153"/>
      <c r="AA633" s="153"/>
    </row>
    <row r="634" spans="13:27" ht="15" customHeight="1" x14ac:dyDescent="0.25">
      <c r="M634" s="153"/>
      <c r="N634" s="153"/>
      <c r="O634" s="153"/>
      <c r="P634" s="153"/>
      <c r="Q634" s="153"/>
      <c r="R634" s="153"/>
      <c r="S634" s="153"/>
      <c r="T634" s="153"/>
      <c r="U634" s="153"/>
      <c r="V634" s="153"/>
      <c r="W634" s="153"/>
      <c r="X634" s="153"/>
      <c r="Y634" s="153"/>
      <c r="Z634" s="153"/>
      <c r="AA634" s="153"/>
    </row>
    <row r="635" spans="13:27" ht="15" customHeight="1" x14ac:dyDescent="0.25">
      <c r="M635" s="153"/>
      <c r="N635" s="153"/>
      <c r="O635" s="153"/>
      <c r="P635" s="153"/>
      <c r="Q635" s="153"/>
      <c r="R635" s="153"/>
      <c r="S635" s="153"/>
      <c r="T635" s="153"/>
      <c r="U635" s="153"/>
      <c r="V635" s="153"/>
      <c r="W635" s="153"/>
      <c r="X635" s="153"/>
      <c r="Y635" s="153"/>
      <c r="Z635" s="153"/>
      <c r="AA635" s="153"/>
    </row>
    <row r="636" spans="13:27" ht="15" customHeight="1" x14ac:dyDescent="0.25"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</row>
    <row r="637" spans="13:27" ht="15" customHeight="1" x14ac:dyDescent="0.25"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</row>
    <row r="638" spans="13:27" ht="15" customHeight="1" x14ac:dyDescent="0.25"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</row>
    <row r="639" spans="13:27" ht="15" customHeight="1" x14ac:dyDescent="0.25"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</row>
    <row r="640" spans="13:27" ht="15" customHeight="1" x14ac:dyDescent="0.25"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</row>
    <row r="641" spans="13:27" ht="15" customHeight="1" x14ac:dyDescent="0.25"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</row>
    <row r="642" spans="13:27" ht="15" customHeight="1" x14ac:dyDescent="0.25"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</row>
    <row r="643" spans="13:27" ht="15" customHeight="1" x14ac:dyDescent="0.25"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</row>
    <row r="644" spans="13:27" ht="15" customHeight="1" x14ac:dyDescent="0.25"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</row>
    <row r="645" spans="13:27" ht="15" customHeight="1" x14ac:dyDescent="0.25">
      <c r="M645" s="153"/>
      <c r="N645" s="153"/>
      <c r="O645" s="153"/>
      <c r="P645" s="153"/>
      <c r="Q645" s="153"/>
      <c r="R645" s="153"/>
      <c r="S645" s="153"/>
      <c r="T645" s="153"/>
      <c r="U645" s="153"/>
      <c r="V645" s="153"/>
      <c r="W645" s="153"/>
      <c r="X645" s="153"/>
      <c r="Y645" s="153"/>
      <c r="Z645" s="153"/>
      <c r="AA645" s="153"/>
    </row>
    <row r="646" spans="13:27" ht="15" customHeight="1" x14ac:dyDescent="0.25">
      <c r="M646" s="153"/>
      <c r="N646" s="153"/>
      <c r="O646" s="153"/>
      <c r="P646" s="153"/>
      <c r="Q646" s="153"/>
      <c r="R646" s="153"/>
      <c r="S646" s="153"/>
      <c r="T646" s="153"/>
      <c r="U646" s="153"/>
      <c r="V646" s="153"/>
      <c r="W646" s="153"/>
      <c r="X646" s="153"/>
      <c r="Y646" s="153"/>
      <c r="Z646" s="153"/>
      <c r="AA646" s="153"/>
    </row>
    <row r="647" spans="13:27" ht="15" customHeight="1" x14ac:dyDescent="0.25">
      <c r="M647" s="153"/>
      <c r="N647" s="153"/>
      <c r="O647" s="153"/>
      <c r="P647" s="153"/>
      <c r="Q647" s="153"/>
      <c r="R647" s="153"/>
      <c r="S647" s="153"/>
      <c r="T647" s="153"/>
      <c r="U647" s="153"/>
      <c r="V647" s="153"/>
      <c r="W647" s="153"/>
      <c r="X647" s="153"/>
      <c r="Y647" s="153"/>
      <c r="Z647" s="153"/>
      <c r="AA647" s="153"/>
    </row>
    <row r="648" spans="13:27" ht="15" customHeight="1" x14ac:dyDescent="0.25">
      <c r="M648" s="153"/>
      <c r="N648" s="153"/>
      <c r="O648" s="153"/>
      <c r="P648" s="153"/>
      <c r="Q648" s="153"/>
      <c r="R648" s="153"/>
      <c r="S648" s="153"/>
      <c r="T648" s="153"/>
      <c r="U648" s="153"/>
      <c r="V648" s="153"/>
      <c r="W648" s="153"/>
      <c r="X648" s="153"/>
      <c r="Y648" s="153"/>
      <c r="Z648" s="153"/>
      <c r="AA648" s="153"/>
    </row>
    <row r="649" spans="13:27" ht="15" customHeight="1" x14ac:dyDescent="0.25">
      <c r="M649" s="153"/>
      <c r="N649" s="153"/>
      <c r="O649" s="153"/>
      <c r="P649" s="153"/>
      <c r="Q649" s="153"/>
      <c r="R649" s="153"/>
      <c r="S649" s="153"/>
      <c r="T649" s="153"/>
      <c r="U649" s="153"/>
      <c r="V649" s="153"/>
      <c r="W649" s="153"/>
      <c r="X649" s="153"/>
      <c r="Y649" s="153"/>
      <c r="Z649" s="153"/>
      <c r="AA649" s="153"/>
    </row>
    <row r="650" spans="13:27" ht="15" customHeight="1" x14ac:dyDescent="0.25">
      <c r="M650" s="153"/>
      <c r="N650" s="153"/>
      <c r="O650" s="153"/>
      <c r="P650" s="153"/>
      <c r="Q650" s="153"/>
      <c r="R650" s="153"/>
      <c r="S650" s="153"/>
      <c r="T650" s="153"/>
      <c r="U650" s="153"/>
      <c r="V650" s="153"/>
      <c r="W650" s="153"/>
      <c r="X650" s="153"/>
      <c r="Y650" s="153"/>
      <c r="Z650" s="153"/>
      <c r="AA650" s="153"/>
    </row>
    <row r="651" spans="13:27" ht="15" customHeight="1" x14ac:dyDescent="0.25">
      <c r="M651" s="153"/>
      <c r="N651" s="153"/>
      <c r="O651" s="153"/>
      <c r="P651" s="153"/>
      <c r="Q651" s="153"/>
      <c r="R651" s="153"/>
      <c r="S651" s="153"/>
      <c r="T651" s="153"/>
      <c r="U651" s="153"/>
      <c r="V651" s="153"/>
      <c r="W651" s="153"/>
      <c r="X651" s="153"/>
      <c r="Y651" s="153"/>
      <c r="Z651" s="153"/>
      <c r="AA651" s="153"/>
    </row>
    <row r="652" spans="13:27" ht="15" customHeight="1" x14ac:dyDescent="0.25">
      <c r="M652" s="153"/>
      <c r="N652" s="153"/>
      <c r="O652" s="153"/>
      <c r="P652" s="153"/>
      <c r="Q652" s="153"/>
      <c r="R652" s="153"/>
      <c r="S652" s="153"/>
      <c r="T652" s="153"/>
      <c r="U652" s="153"/>
      <c r="V652" s="153"/>
      <c r="W652" s="153"/>
      <c r="X652" s="153"/>
      <c r="Y652" s="153"/>
      <c r="Z652" s="153"/>
      <c r="AA652" s="153"/>
    </row>
    <row r="653" spans="13:27" ht="15" customHeight="1" x14ac:dyDescent="0.25">
      <c r="M653" s="153"/>
      <c r="N653" s="153"/>
      <c r="O653" s="153"/>
      <c r="P653" s="153"/>
      <c r="Q653" s="153"/>
      <c r="R653" s="153"/>
      <c r="S653" s="153"/>
      <c r="T653" s="153"/>
      <c r="U653" s="153"/>
      <c r="V653" s="153"/>
      <c r="W653" s="153"/>
      <c r="X653" s="153"/>
      <c r="Y653" s="153"/>
      <c r="Z653" s="153"/>
      <c r="AA653" s="153"/>
    </row>
    <row r="654" spans="13:27" ht="15" customHeight="1" x14ac:dyDescent="0.25"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</row>
    <row r="655" spans="13:27" ht="15" customHeight="1" x14ac:dyDescent="0.25"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</row>
    <row r="656" spans="13:27" ht="15" customHeight="1" x14ac:dyDescent="0.25"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</row>
    <row r="657" spans="13:27" ht="15" customHeight="1" x14ac:dyDescent="0.25"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</row>
    <row r="658" spans="13:27" ht="15" customHeight="1" x14ac:dyDescent="0.25"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</row>
    <row r="659" spans="13:27" ht="15" customHeight="1" x14ac:dyDescent="0.25"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</row>
    <row r="660" spans="13:27" ht="15" customHeight="1" x14ac:dyDescent="0.25"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</row>
    <row r="661" spans="13:27" ht="15" customHeight="1" x14ac:dyDescent="0.25"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</row>
    <row r="662" spans="13:27" ht="15" customHeight="1" x14ac:dyDescent="0.25"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</row>
    <row r="663" spans="13:27" ht="15" customHeight="1" x14ac:dyDescent="0.25">
      <c r="M663" s="153"/>
      <c r="N663" s="153"/>
      <c r="O663" s="153"/>
      <c r="P663" s="153"/>
      <c r="Q663" s="153"/>
      <c r="R663" s="153"/>
      <c r="S663" s="153"/>
      <c r="T663" s="153"/>
      <c r="U663" s="153"/>
      <c r="V663" s="153"/>
      <c r="W663" s="153"/>
      <c r="X663" s="153"/>
      <c r="Y663" s="153"/>
      <c r="Z663" s="153"/>
      <c r="AA663" s="153"/>
    </row>
    <row r="664" spans="13:27" ht="15" customHeight="1" x14ac:dyDescent="0.25">
      <c r="M664" s="153"/>
      <c r="N664" s="153"/>
      <c r="O664" s="153"/>
      <c r="P664" s="153"/>
      <c r="Q664" s="153"/>
      <c r="R664" s="153"/>
      <c r="S664" s="153"/>
      <c r="T664" s="153"/>
      <c r="U664" s="153"/>
      <c r="V664" s="153"/>
      <c r="W664" s="153"/>
      <c r="X664" s="153"/>
      <c r="Y664" s="153"/>
      <c r="Z664" s="153"/>
      <c r="AA664" s="153"/>
    </row>
    <row r="665" spans="13:27" ht="15" customHeight="1" x14ac:dyDescent="0.25">
      <c r="M665" s="153"/>
      <c r="N665" s="153"/>
      <c r="O665" s="153"/>
      <c r="P665" s="153"/>
      <c r="Q665" s="153"/>
      <c r="R665" s="153"/>
      <c r="S665" s="153"/>
      <c r="T665" s="153"/>
      <c r="U665" s="153"/>
      <c r="V665" s="153"/>
      <c r="W665" s="153"/>
      <c r="X665" s="153"/>
      <c r="Y665" s="153"/>
      <c r="Z665" s="153"/>
      <c r="AA665" s="153"/>
    </row>
    <row r="666" spans="13:27" ht="15" customHeight="1" x14ac:dyDescent="0.25">
      <c r="M666" s="153"/>
      <c r="N666" s="153"/>
      <c r="O666" s="153"/>
      <c r="P666" s="153"/>
      <c r="Q666" s="153"/>
      <c r="R666" s="153"/>
      <c r="S666" s="153"/>
      <c r="T666" s="153"/>
      <c r="U666" s="153"/>
      <c r="V666" s="153"/>
      <c r="W666" s="153"/>
      <c r="X666" s="153"/>
      <c r="Y666" s="153"/>
      <c r="Z666" s="153"/>
      <c r="AA666" s="153"/>
    </row>
    <row r="667" spans="13:27" ht="15" customHeight="1" x14ac:dyDescent="0.25">
      <c r="M667" s="153"/>
      <c r="N667" s="153"/>
      <c r="O667" s="153"/>
      <c r="P667" s="153"/>
      <c r="Q667" s="153"/>
      <c r="R667" s="153"/>
      <c r="S667" s="153"/>
      <c r="T667" s="153"/>
      <c r="U667" s="153"/>
      <c r="V667" s="153"/>
      <c r="W667" s="153"/>
      <c r="X667" s="153"/>
      <c r="Y667" s="153"/>
      <c r="Z667" s="153"/>
      <c r="AA667" s="153"/>
    </row>
    <row r="668" spans="13:27" ht="15" customHeight="1" x14ac:dyDescent="0.25">
      <c r="M668" s="153"/>
      <c r="N668" s="153"/>
      <c r="O668" s="153"/>
      <c r="P668" s="153"/>
      <c r="Q668" s="153"/>
      <c r="R668" s="153"/>
      <c r="S668" s="153"/>
      <c r="T668" s="153"/>
      <c r="U668" s="153"/>
      <c r="V668" s="153"/>
      <c r="W668" s="153"/>
      <c r="X668" s="153"/>
      <c r="Y668" s="153"/>
      <c r="Z668" s="153"/>
      <c r="AA668" s="153"/>
    </row>
    <row r="669" spans="13:27" ht="15" customHeight="1" x14ac:dyDescent="0.25">
      <c r="M669" s="153"/>
      <c r="N669" s="153"/>
      <c r="O669" s="153"/>
      <c r="P669" s="153"/>
      <c r="Q669" s="153"/>
      <c r="R669" s="153"/>
      <c r="S669" s="153"/>
      <c r="T669" s="153"/>
      <c r="U669" s="153"/>
      <c r="V669" s="153"/>
      <c r="W669" s="153"/>
      <c r="X669" s="153"/>
      <c r="Y669" s="153"/>
      <c r="Z669" s="153"/>
      <c r="AA669" s="153"/>
    </row>
    <row r="670" spans="13:27" ht="15" customHeight="1" x14ac:dyDescent="0.25">
      <c r="M670" s="153"/>
      <c r="N670" s="153"/>
      <c r="O670" s="153"/>
      <c r="P670" s="153"/>
      <c r="Q670" s="153"/>
      <c r="R670" s="153"/>
      <c r="S670" s="153"/>
      <c r="T670" s="153"/>
      <c r="U670" s="153"/>
      <c r="V670" s="153"/>
      <c r="W670" s="153"/>
      <c r="X670" s="153"/>
      <c r="Y670" s="153"/>
      <c r="Z670" s="153"/>
      <c r="AA670" s="153"/>
    </row>
    <row r="671" spans="13:27" ht="15" customHeight="1" x14ac:dyDescent="0.25">
      <c r="M671" s="153"/>
      <c r="N671" s="153"/>
      <c r="O671" s="153"/>
      <c r="P671" s="153"/>
      <c r="Q671" s="153"/>
      <c r="R671" s="153"/>
      <c r="S671" s="153"/>
      <c r="T671" s="153"/>
      <c r="U671" s="153"/>
      <c r="V671" s="153"/>
      <c r="W671" s="153"/>
      <c r="X671" s="153"/>
      <c r="Y671" s="153"/>
      <c r="Z671" s="153"/>
      <c r="AA671" s="153"/>
    </row>
    <row r="672" spans="13:27" ht="15" customHeight="1" x14ac:dyDescent="0.25">
      <c r="M672" s="153"/>
      <c r="N672" s="153"/>
      <c r="O672" s="153"/>
      <c r="P672" s="153"/>
      <c r="Q672" s="153"/>
      <c r="R672" s="153"/>
      <c r="S672" s="153"/>
      <c r="T672" s="153"/>
      <c r="U672" s="153"/>
      <c r="V672" s="153"/>
      <c r="W672" s="153"/>
      <c r="X672" s="153"/>
      <c r="Y672" s="153"/>
      <c r="Z672" s="153"/>
      <c r="AA672" s="153"/>
    </row>
    <row r="673" spans="13:27" ht="15" customHeight="1" x14ac:dyDescent="0.25">
      <c r="M673" s="153"/>
      <c r="N673" s="153"/>
      <c r="O673" s="153"/>
      <c r="P673" s="153"/>
      <c r="Q673" s="153"/>
      <c r="R673" s="153"/>
      <c r="S673" s="153"/>
      <c r="T673" s="153"/>
      <c r="U673" s="153"/>
      <c r="V673" s="153"/>
      <c r="W673" s="153"/>
      <c r="X673" s="153"/>
      <c r="Y673" s="153"/>
      <c r="Z673" s="153"/>
      <c r="AA673" s="153"/>
    </row>
    <row r="674" spans="13:27" ht="15" customHeight="1" x14ac:dyDescent="0.25">
      <c r="M674" s="153"/>
      <c r="N674" s="153"/>
      <c r="O674" s="153"/>
      <c r="P674" s="153"/>
      <c r="Q674" s="153"/>
      <c r="R674" s="153"/>
      <c r="S674" s="153"/>
      <c r="T674" s="153"/>
      <c r="U674" s="153"/>
      <c r="V674" s="153"/>
      <c r="W674" s="153"/>
      <c r="X674" s="153"/>
      <c r="Y674" s="153"/>
      <c r="Z674" s="153"/>
      <c r="AA674" s="153"/>
    </row>
    <row r="675" spans="13:27" ht="15" customHeight="1" x14ac:dyDescent="0.25">
      <c r="M675" s="153"/>
      <c r="N675" s="153"/>
      <c r="O675" s="153"/>
      <c r="P675" s="153"/>
      <c r="Q675" s="153"/>
      <c r="R675" s="153"/>
      <c r="S675" s="153"/>
      <c r="T675" s="153"/>
      <c r="U675" s="153"/>
      <c r="V675" s="153"/>
      <c r="W675" s="153"/>
      <c r="X675" s="153"/>
      <c r="Y675" s="153"/>
      <c r="Z675" s="153"/>
      <c r="AA675" s="153"/>
    </row>
    <row r="676" spans="13:27" ht="15" customHeight="1" x14ac:dyDescent="0.25">
      <c r="M676" s="153"/>
      <c r="N676" s="153"/>
      <c r="O676" s="153"/>
      <c r="P676" s="153"/>
      <c r="Q676" s="153"/>
      <c r="R676" s="153"/>
      <c r="S676" s="153"/>
      <c r="T676" s="153"/>
      <c r="U676" s="153"/>
      <c r="V676" s="153"/>
      <c r="W676" s="153"/>
      <c r="X676" s="153"/>
      <c r="Y676" s="153"/>
      <c r="Z676" s="153"/>
      <c r="AA676" s="153"/>
    </row>
    <row r="677" spans="13:27" ht="15" customHeight="1" x14ac:dyDescent="0.25">
      <c r="M677" s="153"/>
      <c r="N677" s="153"/>
      <c r="O677" s="153"/>
      <c r="P677" s="153"/>
      <c r="Q677" s="153"/>
      <c r="R677" s="153"/>
      <c r="S677" s="153"/>
      <c r="T677" s="153"/>
      <c r="U677" s="153"/>
      <c r="V677" s="153"/>
      <c r="W677" s="153"/>
      <c r="X677" s="153"/>
      <c r="Y677" s="153"/>
      <c r="Z677" s="153"/>
      <c r="AA677" s="153"/>
    </row>
    <row r="678" spans="13:27" ht="15" customHeight="1" x14ac:dyDescent="0.25">
      <c r="M678" s="153"/>
      <c r="N678" s="153"/>
      <c r="O678" s="153"/>
      <c r="P678" s="153"/>
      <c r="Q678" s="153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</row>
    <row r="679" spans="13:27" ht="15" customHeight="1" x14ac:dyDescent="0.25">
      <c r="M679" s="153"/>
      <c r="N679" s="153"/>
      <c r="O679" s="153"/>
      <c r="P679" s="153"/>
      <c r="Q679" s="153"/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</row>
    <row r="680" spans="13:27" ht="15" customHeight="1" x14ac:dyDescent="0.25">
      <c r="M680" s="153"/>
      <c r="N680" s="153"/>
      <c r="O680" s="153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</row>
    <row r="681" spans="13:27" ht="15" customHeight="1" x14ac:dyDescent="0.25">
      <c r="M681" s="153"/>
      <c r="N681" s="153"/>
      <c r="O681" s="153"/>
      <c r="P681" s="153"/>
      <c r="Q681" s="153"/>
      <c r="R681" s="153"/>
      <c r="S681" s="153"/>
      <c r="T681" s="153"/>
      <c r="U681" s="153"/>
      <c r="V681" s="153"/>
      <c r="W681" s="153"/>
      <c r="X681" s="153"/>
      <c r="Y681" s="153"/>
      <c r="Z681" s="153"/>
      <c r="AA681" s="153"/>
    </row>
    <row r="682" spans="13:27" ht="15" customHeight="1" x14ac:dyDescent="0.25">
      <c r="M682" s="153"/>
      <c r="N682" s="153"/>
      <c r="O682" s="153"/>
      <c r="P682" s="153"/>
      <c r="Q682" s="153"/>
      <c r="R682" s="153"/>
      <c r="S682" s="153"/>
      <c r="T682" s="153"/>
      <c r="U682" s="153"/>
      <c r="V682" s="153"/>
      <c r="W682" s="153"/>
      <c r="X682" s="153"/>
      <c r="Y682" s="153"/>
      <c r="Z682" s="153"/>
      <c r="AA682" s="153"/>
    </row>
    <row r="683" spans="13:27" ht="15" customHeight="1" x14ac:dyDescent="0.25">
      <c r="M683" s="153"/>
      <c r="N683" s="153"/>
      <c r="O683" s="153"/>
      <c r="P683" s="153"/>
      <c r="Q683" s="153"/>
      <c r="R683" s="153"/>
      <c r="S683" s="153"/>
      <c r="T683" s="153"/>
      <c r="U683" s="153"/>
      <c r="V683" s="153"/>
      <c r="W683" s="153"/>
      <c r="X683" s="153"/>
      <c r="Y683" s="153"/>
      <c r="Z683" s="153"/>
      <c r="AA683" s="153"/>
    </row>
    <row r="684" spans="13:27" ht="15" customHeight="1" x14ac:dyDescent="0.25">
      <c r="M684" s="153"/>
      <c r="N684" s="153"/>
      <c r="O684" s="153"/>
      <c r="P684" s="153"/>
      <c r="Q684" s="153"/>
      <c r="R684" s="153"/>
      <c r="S684" s="153"/>
      <c r="T684" s="153"/>
      <c r="U684" s="153"/>
      <c r="V684" s="153"/>
      <c r="W684" s="153"/>
      <c r="X684" s="153"/>
      <c r="Y684" s="153"/>
      <c r="Z684" s="153"/>
      <c r="AA684" s="153"/>
    </row>
    <row r="685" spans="13:27" ht="15" customHeight="1" x14ac:dyDescent="0.25">
      <c r="M685" s="153"/>
      <c r="N685" s="153"/>
      <c r="O685" s="153"/>
      <c r="P685" s="153"/>
      <c r="Q685" s="153"/>
      <c r="R685" s="153"/>
      <c r="S685" s="153"/>
      <c r="T685" s="153"/>
      <c r="U685" s="153"/>
      <c r="V685" s="153"/>
      <c r="W685" s="153"/>
      <c r="X685" s="153"/>
      <c r="Y685" s="153"/>
      <c r="Z685" s="153"/>
      <c r="AA685" s="153"/>
    </row>
    <row r="686" spans="13:27" ht="15" customHeight="1" x14ac:dyDescent="0.25">
      <c r="M686" s="153"/>
      <c r="N686" s="153"/>
      <c r="O686" s="153"/>
      <c r="P686" s="153"/>
      <c r="Q686" s="153"/>
      <c r="R686" s="153"/>
      <c r="S686" s="153"/>
      <c r="T686" s="153"/>
      <c r="U686" s="153"/>
      <c r="V686" s="153"/>
      <c r="W686" s="153"/>
      <c r="X686" s="153"/>
      <c r="Y686" s="153"/>
      <c r="Z686" s="153"/>
      <c r="AA686" s="153"/>
    </row>
    <row r="687" spans="13:27" ht="15" customHeight="1" x14ac:dyDescent="0.25">
      <c r="M687" s="153"/>
      <c r="N687" s="153"/>
      <c r="O687" s="153"/>
      <c r="P687" s="153"/>
      <c r="Q687" s="153"/>
      <c r="R687" s="153"/>
      <c r="S687" s="153"/>
      <c r="T687" s="153"/>
      <c r="U687" s="153"/>
      <c r="V687" s="153"/>
      <c r="W687" s="153"/>
      <c r="X687" s="153"/>
      <c r="Y687" s="153"/>
      <c r="Z687" s="153"/>
      <c r="AA687" s="153"/>
    </row>
    <row r="688" spans="13:27" ht="15" customHeight="1" x14ac:dyDescent="0.25">
      <c r="M688" s="153"/>
      <c r="N688" s="153"/>
      <c r="O688" s="153"/>
      <c r="P688" s="153"/>
      <c r="Q688" s="153"/>
      <c r="R688" s="153"/>
      <c r="S688" s="153"/>
      <c r="T688" s="153"/>
      <c r="U688" s="153"/>
      <c r="V688" s="153"/>
      <c r="W688" s="153"/>
      <c r="X688" s="153"/>
      <c r="Y688" s="153"/>
      <c r="Z688" s="153"/>
      <c r="AA688" s="153"/>
    </row>
    <row r="689" spans="13:27" ht="15" customHeight="1" x14ac:dyDescent="0.25">
      <c r="M689" s="153"/>
      <c r="N689" s="153"/>
      <c r="O689" s="153"/>
      <c r="P689" s="153"/>
      <c r="Q689" s="153"/>
      <c r="R689" s="153"/>
      <c r="S689" s="153"/>
      <c r="T689" s="153"/>
      <c r="U689" s="153"/>
      <c r="V689" s="153"/>
      <c r="W689" s="153"/>
      <c r="X689" s="153"/>
      <c r="Y689" s="153"/>
      <c r="Z689" s="153"/>
      <c r="AA689" s="153"/>
    </row>
    <row r="690" spans="13:27" ht="15" customHeight="1" x14ac:dyDescent="0.25">
      <c r="M690" s="153"/>
      <c r="N690" s="153"/>
      <c r="O690" s="153"/>
      <c r="P690" s="153"/>
      <c r="Q690" s="153"/>
      <c r="R690" s="153"/>
      <c r="S690" s="153"/>
      <c r="T690" s="153"/>
      <c r="U690" s="153"/>
      <c r="V690" s="153"/>
      <c r="W690" s="153"/>
      <c r="X690" s="153"/>
      <c r="Y690" s="153"/>
      <c r="Z690" s="153"/>
      <c r="AA690" s="153"/>
    </row>
    <row r="691" spans="13:27" ht="15" customHeight="1" x14ac:dyDescent="0.25">
      <c r="M691" s="153"/>
      <c r="N691" s="153"/>
      <c r="O691" s="153"/>
      <c r="P691" s="153"/>
      <c r="Q691" s="153"/>
      <c r="R691" s="153"/>
      <c r="S691" s="153"/>
      <c r="T691" s="153"/>
      <c r="U691" s="153"/>
      <c r="V691" s="153"/>
      <c r="W691" s="153"/>
      <c r="X691" s="153"/>
      <c r="Y691" s="153"/>
      <c r="Z691" s="153"/>
      <c r="AA691" s="153"/>
    </row>
    <row r="692" spans="13:27" ht="15" customHeight="1" x14ac:dyDescent="0.25">
      <c r="M692" s="153"/>
      <c r="N692" s="153"/>
      <c r="O692" s="153"/>
      <c r="P692" s="153"/>
      <c r="Q692" s="153"/>
      <c r="R692" s="153"/>
      <c r="S692" s="153"/>
      <c r="T692" s="153"/>
      <c r="U692" s="153"/>
      <c r="V692" s="153"/>
      <c r="W692" s="153"/>
      <c r="X692" s="153"/>
      <c r="Y692" s="153"/>
      <c r="Z692" s="153"/>
      <c r="AA692" s="153"/>
    </row>
    <row r="693" spans="13:27" ht="15" customHeight="1" x14ac:dyDescent="0.25">
      <c r="M693" s="153"/>
      <c r="N693" s="153"/>
      <c r="O693" s="153"/>
      <c r="P693" s="153"/>
      <c r="Q693" s="153"/>
      <c r="R693" s="153"/>
      <c r="S693" s="153"/>
      <c r="T693" s="153"/>
      <c r="U693" s="153"/>
      <c r="V693" s="153"/>
      <c r="W693" s="153"/>
      <c r="X693" s="153"/>
      <c r="Y693" s="153"/>
      <c r="Z693" s="153"/>
      <c r="AA693" s="153"/>
    </row>
    <row r="694" spans="13:27" ht="15" customHeight="1" x14ac:dyDescent="0.25">
      <c r="M694" s="153"/>
      <c r="N694" s="153"/>
      <c r="O694" s="153"/>
      <c r="P694" s="153"/>
      <c r="Q694" s="153"/>
      <c r="R694" s="153"/>
      <c r="S694" s="153"/>
      <c r="T694" s="153"/>
      <c r="U694" s="153"/>
      <c r="V694" s="153"/>
      <c r="W694" s="153"/>
      <c r="X694" s="153"/>
      <c r="Y694" s="153"/>
      <c r="Z694" s="153"/>
      <c r="AA694" s="153"/>
    </row>
    <row r="695" spans="13:27" ht="15" customHeight="1" x14ac:dyDescent="0.25">
      <c r="M695" s="153"/>
      <c r="N695" s="153"/>
      <c r="O695" s="153"/>
      <c r="P695" s="153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  <c r="AA695" s="153"/>
    </row>
    <row r="696" spans="13:27" ht="15" customHeight="1" x14ac:dyDescent="0.25">
      <c r="M696" s="153"/>
      <c r="N696" s="153"/>
      <c r="O696" s="153"/>
      <c r="P696" s="153"/>
      <c r="Q696" s="153"/>
      <c r="R696" s="153"/>
      <c r="S696" s="153"/>
      <c r="T696" s="153"/>
      <c r="U696" s="153"/>
      <c r="V696" s="153"/>
      <c r="W696" s="153"/>
      <c r="X696" s="153"/>
      <c r="Y696" s="153"/>
      <c r="Z696" s="153"/>
      <c r="AA696" s="153"/>
    </row>
    <row r="697" spans="13:27" ht="15" customHeight="1" x14ac:dyDescent="0.25">
      <c r="M697" s="153"/>
      <c r="N697" s="153"/>
      <c r="O697" s="153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  <c r="AA697" s="153"/>
    </row>
    <row r="698" spans="13:27" ht="15" customHeight="1" x14ac:dyDescent="0.25">
      <c r="M698" s="153"/>
      <c r="N698" s="153"/>
      <c r="O698" s="153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  <c r="AA698" s="153"/>
    </row>
    <row r="699" spans="13:27" ht="15" customHeight="1" x14ac:dyDescent="0.25">
      <c r="M699" s="153"/>
      <c r="N699" s="153"/>
      <c r="O699" s="153"/>
      <c r="P699" s="153"/>
      <c r="Q699" s="153"/>
      <c r="R699" s="153"/>
      <c r="S699" s="153"/>
      <c r="T699" s="153"/>
      <c r="U699" s="153"/>
      <c r="V699" s="153"/>
      <c r="W699" s="153"/>
      <c r="X699" s="153"/>
      <c r="Y699" s="153"/>
      <c r="Z699" s="153"/>
      <c r="AA699" s="153"/>
    </row>
    <row r="700" spans="13:27" ht="15" customHeight="1" x14ac:dyDescent="0.25">
      <c r="M700" s="153"/>
      <c r="N700" s="153"/>
      <c r="O700" s="153"/>
      <c r="P700" s="153"/>
      <c r="Q700" s="153"/>
      <c r="R700" s="153"/>
      <c r="S700" s="153"/>
      <c r="T700" s="153"/>
      <c r="U700" s="153"/>
      <c r="V700" s="153"/>
      <c r="W700" s="153"/>
      <c r="X700" s="153"/>
      <c r="Y700" s="153"/>
      <c r="Z700" s="153"/>
      <c r="AA700" s="153"/>
    </row>
    <row r="701" spans="13:27" ht="15" customHeight="1" x14ac:dyDescent="0.25">
      <c r="M701" s="153"/>
      <c r="N701" s="153"/>
      <c r="O701" s="153"/>
      <c r="P701" s="153"/>
      <c r="Q701" s="153"/>
      <c r="R701" s="153"/>
      <c r="S701" s="153"/>
      <c r="T701" s="153"/>
      <c r="U701" s="153"/>
      <c r="V701" s="153"/>
      <c r="W701" s="153"/>
      <c r="X701" s="153"/>
      <c r="Y701" s="153"/>
      <c r="Z701" s="153"/>
      <c r="AA701" s="153"/>
    </row>
    <row r="702" spans="13:27" ht="15" customHeight="1" x14ac:dyDescent="0.25">
      <c r="M702" s="153"/>
      <c r="N702" s="153"/>
      <c r="O702" s="153"/>
      <c r="P702" s="153"/>
      <c r="Q702" s="153"/>
      <c r="R702" s="153"/>
      <c r="S702" s="153"/>
      <c r="T702" s="153"/>
      <c r="U702" s="153"/>
      <c r="V702" s="153"/>
      <c r="W702" s="153"/>
      <c r="X702" s="153"/>
      <c r="Y702" s="153"/>
      <c r="Z702" s="153"/>
      <c r="AA702" s="153"/>
    </row>
    <row r="703" spans="13:27" ht="15" customHeight="1" x14ac:dyDescent="0.25">
      <c r="M703" s="153"/>
      <c r="N703" s="153"/>
      <c r="O703" s="153"/>
      <c r="P703" s="153"/>
      <c r="Q703" s="153"/>
      <c r="R703" s="153"/>
      <c r="S703" s="153"/>
      <c r="T703" s="153"/>
      <c r="U703" s="153"/>
      <c r="V703" s="153"/>
      <c r="W703" s="153"/>
      <c r="X703" s="153"/>
      <c r="Y703" s="153"/>
      <c r="Z703" s="153"/>
      <c r="AA703" s="153"/>
    </row>
    <row r="704" spans="13:27" ht="15" customHeight="1" x14ac:dyDescent="0.25">
      <c r="M704" s="153"/>
      <c r="N704" s="153"/>
      <c r="O704" s="153"/>
      <c r="P704" s="153"/>
      <c r="Q704" s="153"/>
      <c r="R704" s="153"/>
      <c r="S704" s="153"/>
      <c r="T704" s="153"/>
      <c r="U704" s="153"/>
      <c r="V704" s="153"/>
      <c r="W704" s="153"/>
      <c r="X704" s="153"/>
      <c r="Y704" s="153"/>
      <c r="Z704" s="153"/>
      <c r="AA704" s="153"/>
    </row>
    <row r="705" spans="13:27" ht="15" customHeight="1" x14ac:dyDescent="0.25">
      <c r="M705" s="153"/>
      <c r="N705" s="153"/>
      <c r="O705" s="153"/>
      <c r="P705" s="153"/>
      <c r="Q705" s="153"/>
      <c r="R705" s="153"/>
      <c r="S705" s="153"/>
      <c r="T705" s="153"/>
      <c r="U705" s="153"/>
      <c r="V705" s="153"/>
      <c r="W705" s="153"/>
      <c r="X705" s="153"/>
      <c r="Y705" s="153"/>
      <c r="Z705" s="153"/>
      <c r="AA705" s="153"/>
    </row>
    <row r="706" spans="13:27" ht="15" customHeight="1" x14ac:dyDescent="0.25">
      <c r="M706" s="153"/>
      <c r="N706" s="153"/>
      <c r="O706" s="153"/>
      <c r="P706" s="153"/>
      <c r="Q706" s="153"/>
      <c r="R706" s="153"/>
      <c r="S706" s="153"/>
      <c r="T706" s="153"/>
      <c r="U706" s="153"/>
      <c r="V706" s="153"/>
      <c r="W706" s="153"/>
      <c r="X706" s="153"/>
      <c r="Y706" s="153"/>
      <c r="Z706" s="153"/>
      <c r="AA706" s="153"/>
    </row>
    <row r="707" spans="13:27" ht="15" customHeight="1" x14ac:dyDescent="0.25">
      <c r="M707" s="153"/>
      <c r="N707" s="153"/>
      <c r="O707" s="153"/>
      <c r="P707" s="153"/>
      <c r="Q707" s="153"/>
      <c r="R707" s="153"/>
      <c r="S707" s="153"/>
      <c r="T707" s="153"/>
      <c r="U707" s="153"/>
      <c r="V707" s="153"/>
      <c r="W707" s="153"/>
      <c r="X707" s="153"/>
      <c r="Y707" s="153"/>
      <c r="Z707" s="153"/>
      <c r="AA707" s="153"/>
    </row>
  </sheetData>
  <conditionalFormatting sqref="M4:N4">
    <cfRule type="expression" dxfId="51" priority="40">
      <formula>$H4=7</formula>
    </cfRule>
    <cfRule type="expression" dxfId="50" priority="39" stopIfTrue="1">
      <formula>$H4=6</formula>
    </cfRule>
    <cfRule type="expression" dxfId="49" priority="38" stopIfTrue="1">
      <formula>$H4=5</formula>
    </cfRule>
    <cfRule type="expression" dxfId="48" priority="37" stopIfTrue="1">
      <formula>$H4=4</formula>
    </cfRule>
    <cfRule type="expression" dxfId="47" priority="36" stopIfTrue="1">
      <formula>$H4=3</formula>
    </cfRule>
    <cfRule type="expression" dxfId="46" priority="35">
      <formula>$G4="Y"</formula>
    </cfRule>
    <cfRule type="expression" dxfId="45" priority="27" stopIfTrue="1">
      <formula>$G4="N"</formula>
    </cfRule>
  </conditionalFormatting>
  <conditionalFormatting sqref="M13:N13">
    <cfRule type="expression" dxfId="44" priority="47">
      <formula>$H13=7</formula>
    </cfRule>
    <cfRule type="expression" dxfId="43" priority="42" stopIfTrue="1">
      <formula>$E13="TOTAL"</formula>
    </cfRule>
    <cfRule type="expression" dxfId="42" priority="43" stopIfTrue="1">
      <formula>$E13="BLANK"</formula>
    </cfRule>
    <cfRule type="expression" dxfId="41" priority="44">
      <formula>$G13="Y"</formula>
    </cfRule>
    <cfRule type="expression" dxfId="40" priority="45" stopIfTrue="1">
      <formula>$H13=3</formula>
    </cfRule>
    <cfRule type="expression" dxfId="39" priority="46" stopIfTrue="1">
      <formula>$H13=4</formula>
    </cfRule>
  </conditionalFormatting>
  <conditionalFormatting sqref="M13:N14">
    <cfRule type="expression" dxfId="38" priority="18" stopIfTrue="1">
      <formula>$H13=6</formula>
    </cfRule>
    <cfRule type="expression" dxfId="37" priority="17" stopIfTrue="1">
      <formula>$H13=5</formula>
    </cfRule>
  </conditionalFormatting>
  <conditionalFormatting sqref="M14:N14">
    <cfRule type="expression" dxfId="36" priority="52" stopIfTrue="1">
      <formula>$H14=4</formula>
    </cfRule>
    <cfRule type="expression" dxfId="35" priority="53">
      <formula>$H14=7</formula>
    </cfRule>
    <cfRule type="expression" dxfId="34" priority="48" stopIfTrue="1">
      <formula>#REF!="TOTAL"</formula>
    </cfRule>
    <cfRule type="expression" dxfId="33" priority="49" stopIfTrue="1">
      <formula>#REF!="BLANK"</formula>
    </cfRule>
    <cfRule type="expression" dxfId="32" priority="50">
      <formula>#REF!="Y"</formula>
    </cfRule>
    <cfRule type="expression" dxfId="31" priority="51" stopIfTrue="1">
      <formula>$H14=3</formula>
    </cfRule>
  </conditionalFormatting>
  <conditionalFormatting sqref="O36:U45 AA36:AA45 O48:U57 AA48:AA57 O59:U69 AA59:AA69 O73:U81 AA73:AA81 O83:U92 AA83:AA92 O95:U104 AA95:AA104 O106:U116 AA106:AA116 O119:U128 AA119:AA128 O130:U139 AA130:AA139 O142:U152 AA142:AA152 O155:U155 AA155 O157:U159 AA157:AA159 O161:U173 AA161:AA173 O175:U179 AA175:AA179 O180:AA181 O182:U182 AA182 O183:AA184 O186:U199 AA186:AA199 O201:U202 AA201:AA202">
    <cfRule type="expression" dxfId="30" priority="12" stopIfTrue="1">
      <formula>$H35=3</formula>
    </cfRule>
    <cfRule type="expression" dxfId="29" priority="13" stopIfTrue="1">
      <formula>$H35=4</formula>
    </cfRule>
    <cfRule type="expression" dxfId="28" priority="15" stopIfTrue="1">
      <formula>$H35=6</formula>
    </cfRule>
    <cfRule type="expression" dxfId="27" priority="16">
      <formula>$H35=7</formula>
    </cfRule>
    <cfRule type="expression" dxfId="26" priority="14" stopIfTrue="1">
      <formula>$H35=5</formula>
    </cfRule>
    <cfRule type="expression" dxfId="25" priority="10" stopIfTrue="1">
      <formula>$G35="N"</formula>
    </cfRule>
    <cfRule type="expression" dxfId="24" priority="11">
      <formula>$G35="Y"</formula>
    </cfRule>
  </conditionalFormatting>
  <conditionalFormatting sqref="O4:AA4">
    <cfRule type="expression" dxfId="23" priority="22" stopIfTrue="1">
      <formula>$H4=4</formula>
    </cfRule>
    <cfRule type="expression" dxfId="22" priority="23" stopIfTrue="1">
      <formula>$H4=5</formula>
    </cfRule>
    <cfRule type="expression" dxfId="21" priority="24" stopIfTrue="1">
      <formula>$H4=6</formula>
    </cfRule>
    <cfRule type="expression" dxfId="20" priority="25">
      <formula>$H4=7</formula>
    </cfRule>
    <cfRule type="cellIs" dxfId="19" priority="26" stopIfTrue="1" operator="notEqual">
      <formula>#REF!</formula>
    </cfRule>
    <cfRule type="expression" dxfId="18" priority="19" stopIfTrue="1">
      <formula>$G4="N"</formula>
    </cfRule>
    <cfRule type="expression" dxfId="17" priority="21" stopIfTrue="1">
      <formula>$H4=3</formula>
    </cfRule>
    <cfRule type="expression" dxfId="16" priority="20">
      <formula>$G4="Y"</formula>
    </cfRule>
  </conditionalFormatting>
  <conditionalFormatting sqref="O36:AA45 O48:AA57 O59:AA69 O73:AA81 O83:AA92 O95:AA104 O106:AA116 O119:AA128 O130:AA139 O142:AA152 O155:AA155 O157:AA159 O161:AA173 O175:AA184 O186:AA199 O201:AA202">
    <cfRule type="cellIs" dxfId="15" priority="8" stopIfTrue="1" operator="notEqual">
      <formula>#REF!</formula>
    </cfRule>
  </conditionalFormatting>
  <conditionalFormatting sqref="T23:T24">
    <cfRule type="expression" dxfId="14" priority="32" stopIfTrue="1">
      <formula>$H22=5</formula>
    </cfRule>
    <cfRule type="expression" dxfId="13" priority="33" stopIfTrue="1">
      <formula>$H22=6</formula>
    </cfRule>
    <cfRule type="expression" dxfId="12" priority="34">
      <formula>$H22=7</formula>
    </cfRule>
    <cfRule type="expression" dxfId="11" priority="28" stopIfTrue="1">
      <formula>$G22="N"</formula>
    </cfRule>
    <cfRule type="expression" dxfId="10" priority="29">
      <formula>$G22="Y"</formula>
    </cfRule>
    <cfRule type="expression" dxfId="9" priority="30" stopIfTrue="1">
      <formula>$H22=3</formula>
    </cfRule>
    <cfRule type="expression" dxfId="8" priority="31" stopIfTrue="1">
      <formula>$H22=4</formula>
    </cfRule>
    <cfRule type="cellIs" dxfId="7" priority="41" stopIfTrue="1" operator="notEqual">
      <formula>#REF!</formula>
    </cfRule>
  </conditionalFormatting>
  <conditionalFormatting sqref="V36:Z45 V48:Z57 V59:Z69 V73:Z81 V83:Z92 V95:Z104 V106:Z116 V119:Z128 V130:Z139 V142:Z152 V155:Z155 V157:Z159 V161:Z173 V175:Z179 V182:Z182 V186:Z199 V201:Z202">
    <cfRule type="expression" dxfId="6" priority="1" stopIfTrue="1">
      <formula>$G35="N"</formula>
    </cfRule>
    <cfRule type="expression" dxfId="5" priority="7">
      <formula>$H35=7</formula>
    </cfRule>
    <cfRule type="expression" dxfId="4" priority="6" stopIfTrue="1">
      <formula>$H35=6</formula>
    </cfRule>
    <cfRule type="expression" dxfId="3" priority="5" stopIfTrue="1">
      <formula>$H35=5</formula>
    </cfRule>
    <cfRule type="expression" dxfId="2" priority="4" stopIfTrue="1">
      <formula>$H35=4</formula>
    </cfRule>
    <cfRule type="expression" dxfId="1" priority="3" stopIfTrue="1">
      <formula>$H35=3</formula>
    </cfRule>
    <cfRule type="expression" dxfId="0" priority="2">
      <formula>$G35="Y"</formula>
    </cfRule>
  </conditionalFormatting>
  <dataValidations count="4">
    <dataValidation type="list" allowBlank="1" showInputMessage="1" showErrorMessage="1" sqref="N21" xr:uid="{9AAD665C-E70F-454B-80F6-4739E391C9E8}">
      <formula1>$K$6:$K$10</formula1>
    </dataValidation>
    <dataValidation type="list" allowBlank="1" showInputMessage="1" showErrorMessage="1" sqref="N11" xr:uid="{2BF9EDBD-6C8D-48B5-96C3-C6A240BB05D6}">
      <formula1>$B$22:$B$23</formula1>
    </dataValidation>
    <dataValidation type="list" allowBlank="1" showInputMessage="1" showErrorMessage="1" sqref="N26" xr:uid="{CED45AC2-FBB2-4801-9FFC-5DEB83C26C4B}">
      <formula1>$P$1:$P$2</formula1>
    </dataValidation>
    <dataValidation type="list" allowBlank="1" showInputMessage="1" showErrorMessage="1" sqref="F14" xr:uid="{C419EEA5-B775-4F19-9EEB-CE0841ACCDD0}">
      <formula1>$L$6:$L$10</formula1>
    </dataValidation>
  </dataValidations>
  <pageMargins left="0.7" right="0.7" top="0.75" bottom="0.75" header="0.3" footer="0.3"/>
  <pageSetup scale="37" fitToHeight="0" orientation="landscape" r:id="rId1"/>
  <rowBreaks count="1" manualBreakCount="1">
    <brk id="108" min="11" max="26" man="1"/>
  </rowBreaks>
  <customProperties>
    <customPr name="EpmWorksheetKeyString_GUID" r:id="rId2"/>
    <customPr name="FPMExcelClientCellBasedFunctionStatus" r:id="rId3"/>
  </customProperties>
  <drawing r:id="rId4"/>
  <legacyDrawing r:id="rId5"/>
  <controls>
    <mc:AlternateContent xmlns:mc="http://schemas.openxmlformats.org/markup-compatibility/2006">
      <mc:Choice Requires="x14">
        <control shapeId="7169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784860</xdr:colOff>
                <xdr:row>0</xdr:row>
                <xdr:rowOff>0</xdr:rowOff>
              </to>
            </anchor>
          </controlPr>
        </control>
      </mc:Choice>
      <mc:Fallback>
        <control shapeId="7169" r:id="rId6" name="FPMExcelClientSheetOptionstb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4BF4-4E87-4A79-BE13-8367B818A3A1}">
  <sheetPr codeName="Sheet3"/>
  <dimension ref="K27:P38"/>
  <sheetViews>
    <sheetView topLeftCell="A3" workbookViewId="0">
      <selection activeCell="K27" sqref="K27:P38"/>
    </sheetView>
  </sheetViews>
  <sheetFormatPr defaultRowHeight="13.2" x14ac:dyDescent="0.25"/>
  <sheetData>
    <row r="27" spans="11:16" x14ac:dyDescent="0.25">
      <c r="K27" s="257" t="s">
        <v>601</v>
      </c>
      <c r="L27" s="257"/>
      <c r="M27" s="257"/>
      <c r="N27" s="257"/>
      <c r="O27" s="257"/>
      <c r="P27" s="257"/>
    </row>
    <row r="28" spans="11:16" x14ac:dyDescent="0.25">
      <c r="K28" s="257"/>
      <c r="L28" s="257"/>
      <c r="M28" s="257"/>
      <c r="N28" s="257"/>
      <c r="O28" s="257"/>
      <c r="P28" s="257"/>
    </row>
    <row r="29" spans="11:16" x14ac:dyDescent="0.25">
      <c r="K29" s="257"/>
      <c r="L29" s="257"/>
      <c r="M29" s="257"/>
      <c r="N29" s="257"/>
      <c r="O29" s="257"/>
      <c r="P29" s="257"/>
    </row>
    <row r="30" spans="11:16" x14ac:dyDescent="0.25">
      <c r="K30" s="257"/>
      <c r="L30" s="257"/>
      <c r="M30" s="257"/>
      <c r="N30" s="257"/>
      <c r="O30" s="257"/>
      <c r="P30" s="257"/>
    </row>
    <row r="31" spans="11:16" x14ac:dyDescent="0.25">
      <c r="K31" s="257"/>
      <c r="L31" s="257"/>
      <c r="M31" s="257"/>
      <c r="N31" s="257"/>
      <c r="O31" s="257"/>
      <c r="P31" s="257"/>
    </row>
    <row r="32" spans="11:16" x14ac:dyDescent="0.25">
      <c r="K32" s="257"/>
      <c r="L32" s="257"/>
      <c r="M32" s="257"/>
      <c r="N32" s="257"/>
      <c r="O32" s="257"/>
      <c r="P32" s="257"/>
    </row>
    <row r="33" spans="11:16" x14ac:dyDescent="0.25">
      <c r="K33" s="257"/>
      <c r="L33" s="257"/>
      <c r="M33" s="257"/>
      <c r="N33" s="257"/>
      <c r="O33" s="257"/>
      <c r="P33" s="257"/>
    </row>
    <row r="34" spans="11:16" x14ac:dyDescent="0.25">
      <c r="K34" s="257"/>
      <c r="L34" s="257"/>
      <c r="M34" s="257"/>
      <c r="N34" s="257"/>
      <c r="O34" s="257"/>
      <c r="P34" s="257"/>
    </row>
    <row r="35" spans="11:16" x14ac:dyDescent="0.25">
      <c r="K35" s="257"/>
      <c r="L35" s="257"/>
      <c r="M35" s="257"/>
      <c r="N35" s="257"/>
      <c r="O35" s="257"/>
      <c r="P35" s="257"/>
    </row>
    <row r="36" spans="11:16" x14ac:dyDescent="0.25">
      <c r="K36" s="257"/>
      <c r="L36" s="257"/>
      <c r="M36" s="257"/>
      <c r="N36" s="257"/>
      <c r="O36" s="257"/>
      <c r="P36" s="257"/>
    </row>
    <row r="37" spans="11:16" x14ac:dyDescent="0.25">
      <c r="K37" s="257"/>
      <c r="L37" s="257"/>
      <c r="M37" s="257"/>
      <c r="N37" s="257"/>
      <c r="O37" s="257"/>
      <c r="P37" s="257"/>
    </row>
    <row r="38" spans="11:16" x14ac:dyDescent="0.25">
      <c r="K38" s="257"/>
      <c r="L38" s="257"/>
      <c r="M38" s="257"/>
      <c r="N38" s="257"/>
      <c r="O38" s="257"/>
      <c r="P38" s="257"/>
    </row>
  </sheetData>
  <mergeCells count="1">
    <mergeCell ref="K27:P38"/>
  </mergeCells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B3F21D-14E6-449A-AD5A-DCCDF8561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550B11-D96B-4058-A89A-4726EE5201E3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82021041-046F-4FE4-B7A9-2526C2D720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C-11</vt:lpstr>
      <vt:lpstr>2024 - 2025 Support Data</vt:lpstr>
      <vt:lpstr>2023 Support Data</vt:lpstr>
      <vt:lpstr>Total Revenue 2025 RC Budget</vt:lpstr>
      <vt:lpstr>Total Revenue 2024B</vt:lpstr>
      <vt:lpstr>Total Revenue 2023 7+5F</vt:lpstr>
      <vt:lpstr>2023 Write-Off Actuals</vt:lpstr>
      <vt:lpstr>'C-11'!Print_Area</vt:lpstr>
      <vt:lpstr>'Total Revenue 2023 7+5F'!Print_Area</vt:lpstr>
      <vt:lpstr>'Total Revenue 2024B'!Print_Area</vt:lpstr>
      <vt:lpstr>'Total Revenue 2025 RC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2021-04-13T13:34:42Z</dcterms:created>
  <dcterms:modified xsi:type="dcterms:W3CDTF">2024-04-08T21:57:16Z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2023-05-23T14:47:31Z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191ad598-83d4-4a7f-9d7a-e988cb66dd22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766400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