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ustomProperty3.bin" ContentType="application/vnd.openxmlformats-officedocument.spreadsheetml.customProperty"/>
  <Override PartName="/xl/comments2.xml" ContentType="application/vnd.openxmlformats-officedocument.spreadsheetml.comments+xml"/>
  <Override PartName="/xl/customProperty4.bin" ContentType="application/vnd.openxmlformats-officedocument.spreadsheetml.customProperty"/>
  <Override PartName="/xl/comments3.xml" ContentType="application/vnd.openxmlformats-officedocument.spreadsheetml.comment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drawings/drawing2.xml" ContentType="application/vnd.openxmlformats-officedocument.drawing+xml"/>
  <Override PartName="/xl/customProperty10.bin" ContentType="application/vnd.openxmlformats-officedocument.spreadsheetml.customProperty"/>
  <Override PartName="/xl/drawings/drawing3.xml" ContentType="application/vnd.openxmlformats-officedocument.drawing+xml"/>
  <Override PartName="/xl/customProperty11.bin" ContentType="application/vnd.openxmlformats-officedocument.spreadsheetml.customProperty"/>
  <Override PartName="/xl/drawings/drawing4.xml" ContentType="application/vnd.openxmlformats-officedocument.drawing+xml"/>
  <Override PartName="/xl/customProperty12.bin" ContentType="application/vnd.openxmlformats-officedocument.spreadsheetml.customProperty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ustomProperty13.bin" ContentType="application/vnd.openxmlformats-officedocument.spreadsheetml.customProperty"/>
  <Override PartName="/xl/drawings/drawing6.xml" ContentType="application/vnd.openxmlformats-officedocument.drawing+xml"/>
  <Override PartName="/xl/customProperty14.bin" ContentType="application/vnd.openxmlformats-officedocument.spreadsheetml.customProperty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C\"/>
    </mc:Choice>
  </mc:AlternateContent>
  <xr:revisionPtr revIDLastSave="0" documentId="8_{91AE9415-ECBE-480C-86FF-7556F0E6B321}" xr6:coauthVersionLast="47" xr6:coauthVersionMax="47" xr10:uidLastSave="{00000000-0000-0000-0000-000000000000}"/>
  <bookViews>
    <workbookView xWindow="-108" yWindow="-108" windowWidth="23256" windowHeight="12576" tabRatio="894" xr2:uid="{B7306384-D8B4-4A52-8ED7-0D01AEDFBD5F}"/>
  </bookViews>
  <sheets>
    <sheet name="C-25" sheetId="17" r:id="rId1"/>
    <sheet name="2023 EXCESS" sheetId="21" r:id="rId2"/>
    <sheet name="2024 EXCESS" sheetId="22" r:id="rId3"/>
    <sheet name="2025 EXCESS" sheetId="24" r:id="rId4"/>
    <sheet name="2023 PTAX RPT 260" sheetId="15" r:id="rId5"/>
    <sheet name="2024 PTAX RPT 260" sheetId="12" r:id="rId6"/>
    <sheet name="2025 PTAX RPT 260" sheetId="13" r:id="rId7"/>
    <sheet name="FD Unamortiz Unprotected Bal" sheetId="3" r:id="rId8"/>
    <sheet name="ST Unprotec def per stipulation" sheetId="8" r:id="rId9"/>
    <sheet name="2021 51051 - Def Tax Adj" sheetId="23" r:id="rId10"/>
    <sheet name="State Excess" sheetId="28" r:id="rId11"/>
    <sheet name="2023 51052 2820610 NO FT" sheetId="25" r:id="rId12"/>
    <sheet name="2024 51052 2820610 NO FT" sheetId="26" r:id="rId13"/>
    <sheet name="2025 51052 2820610 NO FT" sheetId="27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12MEACT" localSheetId="9">'[1]Page 1'!#REF!</definedName>
    <definedName name="_12MEACT">'[1]Page 1'!#REF!</definedName>
    <definedName name="_12MEBUD" localSheetId="9">'[1]Page 1'!#REF!</definedName>
    <definedName name="_12MEBUD">'[1]Page 1'!#REF!</definedName>
    <definedName name="_1B_15" localSheetId="9">#REF!</definedName>
    <definedName name="_1B_15">#REF!</definedName>
    <definedName name="_C44" localSheetId="9">#REF!</definedName>
    <definedName name="_C44">#REF!</definedName>
    <definedName name="_Key1" hidden="1">#REF!</definedName>
    <definedName name="_Order1" hidden="1">255</definedName>
    <definedName name="_Sort" hidden="1">#REF!</definedName>
    <definedName name="a">[2]Sheet1!$B$10</definedName>
    <definedName name="ADJTS">#REF!</definedName>
    <definedName name="AP_OTHER">#REF!</definedName>
    <definedName name="ASSUMPTIONS">#REF!</definedName>
    <definedName name="BAL">#REF!</definedName>
    <definedName name="BalDat">[3]BALSHT!$A$818:$O$892</definedName>
    <definedName name="BalDatData" localSheetId="9">#REF!</definedName>
    <definedName name="BalDatData" localSheetId="11">#REF!</definedName>
    <definedName name="BalDatData" localSheetId="1">#REF!</definedName>
    <definedName name="BalDatData" localSheetId="12">#REF!</definedName>
    <definedName name="BalDatData" localSheetId="2">#REF!</definedName>
    <definedName name="BalDatData" localSheetId="13">#REF!</definedName>
    <definedName name="BalDatData" localSheetId="3">#REF!</definedName>
    <definedName name="BalDatData" localSheetId="0">#REF!</definedName>
    <definedName name="BalDatData">#REF!</definedName>
    <definedName name="BENEFITS_EXP">#REF!</definedName>
    <definedName name="BS_Forecast">#REF!</definedName>
    <definedName name="BS_Plan">#REF!</definedName>
    <definedName name="BS_Plan2">#REF!</definedName>
    <definedName name="BTLTAX">#REF!</definedName>
    <definedName name="BTLTAXES">#REF!</definedName>
    <definedName name="BTLTXBUD">#REF!</definedName>
    <definedName name="C_10">#REF!</definedName>
    <definedName name="C_11">#REF!</definedName>
    <definedName name="C_12">#REF!</definedName>
    <definedName name="C_13">#REF!</definedName>
    <definedName name="C_14">#REF!</definedName>
    <definedName name="C_15">#REF!</definedName>
    <definedName name="C_16">#REF!</definedName>
    <definedName name="C_19">#REF!</definedName>
    <definedName name="C_20">#REF!</definedName>
    <definedName name="C_21">#REF!</definedName>
    <definedName name="C_22">#REF!</definedName>
    <definedName name="C_24">#REF!</definedName>
    <definedName name="C_24_2">#REF!</definedName>
    <definedName name="C_25">#REF!</definedName>
    <definedName name="C_26">#REF!</definedName>
    <definedName name="C_27">#REF!</definedName>
    <definedName name="C_30">#REF!</definedName>
    <definedName name="C_31">#REF!</definedName>
    <definedName name="C_34">#REF!</definedName>
    <definedName name="C_35">#REF!</definedName>
    <definedName name="C_36">#REF!</definedName>
    <definedName name="C_37">#REF!</definedName>
    <definedName name="C_6">#REF!</definedName>
    <definedName name="C_8">#REF!</definedName>
    <definedName name="C_9">#REF!</definedName>
    <definedName name="CASHFLS">'[4]CASH FLOWS BKUP'!#REF!</definedName>
    <definedName name="CF_Forecast">#REF!</definedName>
    <definedName name="CF_Plan2">#REF!</definedName>
    <definedName name="CMACT">'[1]Page 1'!#REF!</definedName>
    <definedName name="CMBUD">'[1]Page 1'!#REF!</definedName>
    <definedName name="CONSCF4A">#REF!</definedName>
    <definedName name="CONSCF4B">#REF!</definedName>
    <definedName name="CONSOLP1">#REF!</definedName>
    <definedName name="CONSOLP2">#REF!</definedName>
    <definedName name="CONSOLP3">#REF!</definedName>
    <definedName name="CONSOLP4">#REF!</definedName>
    <definedName name="DAT">'[5]DAT ACCOUNTS'!$A$1:$D$65536</definedName>
    <definedName name="DEC">#REF!</definedName>
    <definedName name="DEC_Proj">#REF!</definedName>
    <definedName name="DETAIL146234">#REF!</definedName>
    <definedName name="DocketNum" localSheetId="0">'[6]from Others ---&gt;&gt;'!$B$5</definedName>
    <definedName name="DocketNum">[7]Sheet1!$B$5</definedName>
    <definedName name="DocKetNumber">[8]SetupData!$B$6</definedName>
    <definedName name="DOWNLOAD">[9]Download!$A$1:$D$2443</definedName>
    <definedName name="DOWNLOAD_1099">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SOP_GOAL">#REF!</definedName>
    <definedName name="ESOPWP">#REF!</definedName>
    <definedName name="FOR_DENISE_O.">#REF!</definedName>
    <definedName name="FullDocketNumber">[8]SetupData!$B$7</definedName>
    <definedName name="GLDOWNLOAD">#REF!</definedName>
    <definedName name="HistYear" localSheetId="0">'[6]from Others ---&gt;&gt;'!$B$17</definedName>
    <definedName name="HistYear">[7]Sheet1!$B$17</definedName>
    <definedName name="intangibles">[10]MFR_SUMMARY!$D$22</definedName>
    <definedName name="INTEXP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S_Forecast">#REF!</definedName>
    <definedName name="IS_Monthly">#REF!</definedName>
    <definedName name="IS_Plan">#REF!</definedName>
    <definedName name="IS_Plan2">#REF!</definedName>
    <definedName name="LORICLARKDATA">#REF!</definedName>
    <definedName name="NOI">#REF!</definedName>
    <definedName name="OTHER_CF">#REF!</definedName>
    <definedName name="OTHER_CR">#REF!</definedName>
    <definedName name="PAGE10">#REF!</definedName>
    <definedName name="PAGE1A">'[11]Page 1 last month YTD'!#REF!</definedName>
    <definedName name="PAGE1C">'[11]Page 1 last month YTD'!#REF!</definedName>
    <definedName name="PAGE1D">'[11]Page 1 last month YTD'!#REF!</definedName>
    <definedName name="PAGE1D2">'[11]Page 1 last month YTD'!#REF!</definedName>
    <definedName name="PAGE2A">#REF!</definedName>
    <definedName name="PAGE2B">#REF!</definedName>
    <definedName name="PAGE6">#REF!</definedName>
    <definedName name="PAGE7">#REF!</definedName>
    <definedName name="PAGE8">#REF!</definedName>
    <definedName name="PAGE9">#REF!</definedName>
    <definedName name="PE_CPYIS">'[1]PEC Income Stmt'!#REF!</definedName>
    <definedName name="PLine1" localSheetId="0">'[6]from Others ---&gt;&gt;'!$B$8</definedName>
    <definedName name="PLine1">[7]Sheet1!$B$8</definedName>
    <definedName name="PLine2" localSheetId="0">'[6]from Others ---&gt;&gt;'!$B$9</definedName>
    <definedName name="PLine2">[7]Sheet1!$B$9</definedName>
    <definedName name="PLine3" localSheetId="0">'[6]from Others ---&gt;&gt;'!$B$10</definedName>
    <definedName name="PLine3">[7]Sheet1!$B$10</definedName>
    <definedName name="PLine4" localSheetId="0">'[6]from Others ---&gt;&gt;'!$B$11</definedName>
    <definedName name="PLine4">[7]Sheet1!$B$11</definedName>
    <definedName name="_xlnm.Print_Area" localSheetId="1">'2023 EXCESS'!$A$29:$F$114</definedName>
    <definedName name="_xlnm.Print_Area" localSheetId="0">'C-25'!$A$3:$S$52</definedName>
    <definedName name="printa1a_d12">#N/A</definedName>
    <definedName name="PriorYear" localSheetId="0">'[6]from Others ---&gt;&gt;'!$B$16</definedName>
    <definedName name="PriorYear">[7]Sheet1!$B$16</definedName>
    <definedName name="PYEGYASSTS">#REF!</definedName>
    <definedName name="PYEGYLIABS">#REF!</definedName>
    <definedName name="PYISWP">#REF!</definedName>
    <definedName name="RECON_ASSETS">#REF!</definedName>
    <definedName name="RECON_LIABILITIES">#REF!</definedName>
    <definedName name="RECON_SUMMARY">#REF!</definedName>
    <definedName name="ROE_COMPARISON">#REF!</definedName>
    <definedName name="s">[12]Sheet1!$B$10</definedName>
    <definedName name="ScheduleData">[8]Schedules!$C$3:$G$102</definedName>
    <definedName name="SURV">'[13]SURV ACCOUNTS'!$A$1:$C$453</definedName>
    <definedName name="TestYear" localSheetId="0">'[6]from Others ---&gt;&gt;'!$B$15</definedName>
    <definedName name="TestYear">[7]Sheet1!$B$15</definedName>
    <definedName name="TYL1_">[8]SetupData!$B$24</definedName>
    <definedName name="TYL2_">[8]SetupData!$B$25</definedName>
    <definedName name="TYL3_">[8]SetupData!$B$26</definedName>
    <definedName name="WC_AVG">#REF!</definedName>
    <definedName name="WC_CHECK">#REF!</definedName>
    <definedName name="WC_FUEL_CONSRV_ECRC">#REF!</definedName>
    <definedName name="WC_INVESTOR_Funds">#REF!</definedName>
    <definedName name="WC_NONUTILITY_Assets">#REF!</definedName>
    <definedName name="WC_NONUTILITY_Liabilities">#REF!</definedName>
    <definedName name="WC_OTHER_Adjustments">#REF!</definedName>
    <definedName name="WC_OTHERRETURN_Assets">#REF!</definedName>
    <definedName name="WC_OTHERRETURN_Liabilities">#REF!</definedName>
    <definedName name="WC_SCH_Assets">#REF!</definedName>
    <definedName name="WC_SCH_Liabilities">#REF!</definedName>
    <definedName name="WC_SUMMARY">#REF!</definedName>
    <definedName name="YTDACT">'[1]Page 1'!#REF!</definedName>
    <definedName name="YTDBUD">'[1]Page 1'!#REF!</definedName>
    <definedName name="Z_2A078061_226A_4F0A_B4D4_D18DDDD4F2B8_.wvu.Rows" localSheetId="0" hidden="1">'C-25'!$1:$2</definedName>
  </definedNames>
  <calcPr calcId="191028"/>
  <pivotCaches>
    <pivotCache cacheId="7" r:id="rId31"/>
    <pivotCache cacheId="8" r:id="rId32"/>
    <pivotCache cacheId="9" r:id="rId33"/>
    <pivotCache cacheId="10" r:id="rId3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7" l="1"/>
  <c r="J24" i="17"/>
  <c r="AE75" i="23"/>
  <c r="G10" i="8"/>
  <c r="H24" i="17"/>
  <c r="B8" i="21"/>
  <c r="J25" i="17"/>
  <c r="J22" i="17"/>
  <c r="Z9" i="28"/>
  <c r="AA9" i="28"/>
  <c r="AB9" i="28"/>
  <c r="Y9" i="28"/>
  <c r="X9" i="28"/>
  <c r="V9" i="28"/>
  <c r="U16" i="28"/>
  <c r="V26" i="28"/>
  <c r="V10" i="28"/>
  <c r="U17" i="28"/>
  <c r="V15" i="28"/>
  <c r="V20" i="28"/>
  <c r="V21" i="28"/>
  <c r="V22" i="28"/>
  <c r="X17" i="28"/>
  <c r="X16" i="28"/>
  <c r="U11" i="28"/>
  <c r="S40" i="27"/>
  <c r="J21" i="17"/>
  <c r="S40" i="26"/>
  <c r="S96" i="26"/>
  <c r="S98" i="26"/>
  <c r="S105" i="26"/>
  <c r="B105" i="26"/>
  <c r="B96" i="26"/>
  <c r="C96" i="26"/>
  <c r="D96" i="26"/>
  <c r="E96" i="26"/>
  <c r="F96" i="26"/>
  <c r="G96" i="26"/>
  <c r="H96" i="26"/>
  <c r="I96" i="26"/>
  <c r="J96" i="26"/>
  <c r="K96" i="26"/>
  <c r="L96" i="26"/>
  <c r="M96" i="26"/>
  <c r="N96" i="26"/>
  <c r="O96" i="26"/>
  <c r="P96" i="26"/>
  <c r="Q96" i="26"/>
  <c r="R96" i="26"/>
  <c r="R96" i="25"/>
  <c r="R98" i="25"/>
  <c r="Q96" i="25"/>
  <c r="Q98" i="25"/>
  <c r="P96" i="25"/>
  <c r="P98" i="25"/>
  <c r="O96" i="25"/>
  <c r="O98" i="25"/>
  <c r="S96" i="25"/>
  <c r="Y87" i="25"/>
  <c r="B96" i="25"/>
  <c r="B98" i="25"/>
  <c r="Y9" i="25"/>
  <c r="Y10" i="25"/>
  <c r="Y11" i="25"/>
  <c r="Y12" i="25"/>
  <c r="Y13" i="25"/>
  <c r="Y14" i="25"/>
  <c r="Y15" i="25"/>
  <c r="Y16" i="25"/>
  <c r="Y17" i="25"/>
  <c r="Y18" i="25"/>
  <c r="Y19" i="25"/>
  <c r="Y20" i="25"/>
  <c r="Y21" i="25"/>
  <c r="Y22" i="25"/>
  <c r="Y23" i="25"/>
  <c r="Y24" i="25"/>
  <c r="Y25" i="25"/>
  <c r="Y26" i="25"/>
  <c r="Y27" i="25"/>
  <c r="Y28" i="25"/>
  <c r="Y29" i="25"/>
  <c r="Y30" i="25"/>
  <c r="Y31" i="25"/>
  <c r="Y32" i="25"/>
  <c r="Y33" i="25"/>
  <c r="Y34" i="25"/>
  <c r="Y35" i="25"/>
  <c r="Y36" i="25"/>
  <c r="Y37" i="25"/>
  <c r="Y38" i="25"/>
  <c r="Y39" i="25"/>
  <c r="Y40" i="25"/>
  <c r="Y41" i="25"/>
  <c r="Y42" i="25"/>
  <c r="Y43" i="25"/>
  <c r="Y44" i="25"/>
  <c r="Y45" i="25"/>
  <c r="Y46" i="25"/>
  <c r="Y47" i="25"/>
  <c r="Y48" i="25"/>
  <c r="Y49" i="25"/>
  <c r="Y50" i="25"/>
  <c r="Y51" i="25"/>
  <c r="Y52" i="25"/>
  <c r="Y53" i="25"/>
  <c r="Y54" i="25"/>
  <c r="Y55" i="25"/>
  <c r="Y56" i="25"/>
  <c r="Y57" i="25"/>
  <c r="Y58" i="25"/>
  <c r="Y59" i="25"/>
  <c r="Y60" i="25"/>
  <c r="Y61" i="25"/>
  <c r="Y62" i="25"/>
  <c r="Y63" i="25"/>
  <c r="Y64" i="25"/>
  <c r="Y65" i="25"/>
  <c r="Y66" i="25"/>
  <c r="Y67" i="25"/>
  <c r="Y68" i="25"/>
  <c r="Y69" i="25"/>
  <c r="Y70" i="25"/>
  <c r="Y71" i="25"/>
  <c r="Y72" i="25"/>
  <c r="Y73" i="25"/>
  <c r="Y74" i="25"/>
  <c r="Y75" i="25"/>
  <c r="Y76" i="25"/>
  <c r="Y77" i="25"/>
  <c r="Y78" i="25"/>
  <c r="Y79" i="25"/>
  <c r="Y80" i="25"/>
  <c r="Y81" i="25"/>
  <c r="Y82" i="25"/>
  <c r="Y83" i="25"/>
  <c r="Y84" i="25"/>
  <c r="Y85" i="25"/>
  <c r="Y86" i="25"/>
  <c r="Y88" i="25"/>
  <c r="Y89" i="25"/>
  <c r="Y90" i="25"/>
  <c r="Y91" i="25"/>
  <c r="Y92" i="25"/>
  <c r="Y93" i="25"/>
  <c r="Y94" i="25"/>
  <c r="Y95" i="25"/>
  <c r="Y96" i="25"/>
  <c r="Y98" i="25"/>
  <c r="Y105" i="25"/>
  <c r="B105" i="25"/>
  <c r="S9" i="26"/>
  <c r="S10" i="26"/>
  <c r="S11" i="26"/>
  <c r="S12" i="26"/>
  <c r="S13" i="26"/>
  <c r="S14" i="26"/>
  <c r="S15" i="26"/>
  <c r="S16" i="26"/>
  <c r="S17" i="26"/>
  <c r="S18" i="26"/>
  <c r="S19" i="26"/>
  <c r="S20" i="26"/>
  <c r="S21" i="26"/>
  <c r="S22" i="26"/>
  <c r="S23" i="26"/>
  <c r="S24" i="26"/>
  <c r="S25" i="26"/>
  <c r="S26" i="26"/>
  <c r="S27" i="26"/>
  <c r="S28" i="26"/>
  <c r="S29" i="26"/>
  <c r="S30" i="26"/>
  <c r="S31" i="26"/>
  <c r="S32" i="26"/>
  <c r="S33" i="26"/>
  <c r="S34" i="26"/>
  <c r="S35" i="26"/>
  <c r="S36" i="26"/>
  <c r="S37" i="26"/>
  <c r="S38" i="26"/>
  <c r="S39" i="26"/>
  <c r="S41" i="26"/>
  <c r="S42" i="26"/>
  <c r="S43" i="26"/>
  <c r="S44" i="26"/>
  <c r="S45" i="26"/>
  <c r="S46" i="26"/>
  <c r="S47" i="26"/>
  <c r="S48" i="26"/>
  <c r="S49" i="26"/>
  <c r="S50" i="26"/>
  <c r="S51" i="26"/>
  <c r="S52" i="26"/>
  <c r="S53" i="26"/>
  <c r="S54" i="26"/>
  <c r="S55" i="26"/>
  <c r="S56" i="26"/>
  <c r="S57" i="26"/>
  <c r="S58" i="26"/>
  <c r="S59" i="26"/>
  <c r="S60" i="26"/>
  <c r="S61" i="26"/>
  <c r="S62" i="26"/>
  <c r="S63" i="26"/>
  <c r="S64" i="26"/>
  <c r="S65" i="26"/>
  <c r="S66" i="26"/>
  <c r="S67" i="26"/>
  <c r="S68" i="26"/>
  <c r="S69" i="26"/>
  <c r="S70" i="26"/>
  <c r="S71" i="26"/>
  <c r="S72" i="26"/>
  <c r="S73" i="26"/>
  <c r="S74" i="26"/>
  <c r="S75" i="26"/>
  <c r="S76" i="26"/>
  <c r="S77" i="26"/>
  <c r="S78" i="26"/>
  <c r="S79" i="26"/>
  <c r="S80" i="26"/>
  <c r="S81" i="26"/>
  <c r="S82" i="26"/>
  <c r="S83" i="26"/>
  <c r="S84" i="26"/>
  <c r="S85" i="26"/>
  <c r="S86" i="26"/>
  <c r="S87" i="26"/>
  <c r="S88" i="26"/>
  <c r="S89" i="26"/>
  <c r="S90" i="26"/>
  <c r="S91" i="26"/>
  <c r="S92" i="26"/>
  <c r="S93" i="26"/>
  <c r="S94" i="26"/>
  <c r="S95" i="26"/>
  <c r="L21" i="17"/>
  <c r="S103" i="27"/>
  <c r="S104" i="27"/>
  <c r="S105" i="27" s="1"/>
  <c r="L25" i="17" s="1"/>
  <c r="S9" i="27"/>
  <c r="S10" i="27"/>
  <c r="S11" i="27"/>
  <c r="S12" i="27"/>
  <c r="S13" i="27"/>
  <c r="S14" i="27"/>
  <c r="S15" i="27"/>
  <c r="S16" i="27"/>
  <c r="S17" i="27"/>
  <c r="S18" i="27"/>
  <c r="S19" i="27"/>
  <c r="S20" i="27"/>
  <c r="S21" i="27"/>
  <c r="S22" i="27"/>
  <c r="S23" i="27"/>
  <c r="S24" i="27"/>
  <c r="S25" i="27"/>
  <c r="S26" i="27"/>
  <c r="S27" i="27"/>
  <c r="S28" i="27"/>
  <c r="S29" i="27"/>
  <c r="S30" i="27"/>
  <c r="S31" i="27"/>
  <c r="S32" i="27"/>
  <c r="S33" i="27"/>
  <c r="S34" i="27"/>
  <c r="S35" i="27"/>
  <c r="S36" i="27"/>
  <c r="S37" i="27"/>
  <c r="S38" i="27"/>
  <c r="S39" i="27"/>
  <c r="S41" i="27"/>
  <c r="S42" i="27"/>
  <c r="S43" i="27"/>
  <c r="S44" i="27"/>
  <c r="S45" i="27"/>
  <c r="S46" i="27"/>
  <c r="S47" i="27"/>
  <c r="S48" i="27"/>
  <c r="S49" i="27"/>
  <c r="S50" i="27"/>
  <c r="S51" i="27"/>
  <c r="S52" i="27"/>
  <c r="S53" i="27"/>
  <c r="S54" i="27"/>
  <c r="S55" i="27"/>
  <c r="S56" i="27"/>
  <c r="S57" i="27"/>
  <c r="S58" i="27"/>
  <c r="S59" i="27"/>
  <c r="S60" i="27"/>
  <c r="S61" i="27"/>
  <c r="S62" i="27"/>
  <c r="S63" i="27"/>
  <c r="S64" i="27"/>
  <c r="S65" i="27"/>
  <c r="S66" i="27"/>
  <c r="S67" i="27"/>
  <c r="S68" i="27"/>
  <c r="S69" i="27"/>
  <c r="S70" i="27"/>
  <c r="S71" i="27"/>
  <c r="S72" i="27"/>
  <c r="S73" i="27"/>
  <c r="S74" i="27"/>
  <c r="S75" i="27"/>
  <c r="S76" i="27"/>
  <c r="S77" i="27"/>
  <c r="S78" i="27"/>
  <c r="S79" i="27"/>
  <c r="S80" i="27"/>
  <c r="S81" i="27"/>
  <c r="S82" i="27"/>
  <c r="S83" i="27"/>
  <c r="S84" i="27"/>
  <c r="S85" i="27"/>
  <c r="S86" i="27"/>
  <c r="S87" i="27"/>
  <c r="S88" i="27"/>
  <c r="S89" i="27"/>
  <c r="S90" i="27"/>
  <c r="S91" i="27"/>
  <c r="S92" i="27"/>
  <c r="S93" i="27"/>
  <c r="S94" i="27"/>
  <c r="S95" i="27"/>
  <c r="S96" i="27"/>
  <c r="S98" i="27"/>
  <c r="S102" i="27"/>
  <c r="L22" i="17"/>
  <c r="L24" i="17"/>
  <c r="B96" i="27"/>
  <c r="B98" i="27"/>
  <c r="B103" i="27"/>
  <c r="B104" i="27"/>
  <c r="B105" i="27" s="1"/>
  <c r="R96" i="27"/>
  <c r="R98" i="27"/>
  <c r="Q96" i="27"/>
  <c r="Q98" i="27"/>
  <c r="P96" i="27"/>
  <c r="P98" i="27"/>
  <c r="O96" i="27"/>
  <c r="O98" i="27"/>
  <c r="N96" i="27"/>
  <c r="N98" i="27"/>
  <c r="M96" i="27"/>
  <c r="M98" i="27"/>
  <c r="L96" i="27"/>
  <c r="L98" i="27"/>
  <c r="K96" i="27"/>
  <c r="K98" i="27"/>
  <c r="J96" i="27"/>
  <c r="J98" i="27"/>
  <c r="I96" i="27"/>
  <c r="I98" i="27"/>
  <c r="H96" i="27"/>
  <c r="H98" i="27"/>
  <c r="G96" i="27"/>
  <c r="G98" i="27"/>
  <c r="F96" i="27"/>
  <c r="F98" i="27"/>
  <c r="E96" i="27"/>
  <c r="E98" i="27"/>
  <c r="D96" i="27"/>
  <c r="D98" i="27"/>
  <c r="C96" i="27"/>
  <c r="C98" i="27"/>
  <c r="J19" i="17"/>
  <c r="J18" i="17"/>
  <c r="J16" i="17"/>
  <c r="D19" i="24"/>
  <c r="H21" i="17"/>
  <c r="H22" i="17"/>
  <c r="D19" i="22"/>
  <c r="H18" i="17"/>
  <c r="L18" i="17"/>
  <c r="H19" i="17"/>
  <c r="L19" i="17"/>
  <c r="H16" i="17"/>
  <c r="L16" i="17"/>
  <c r="Q142" i="21"/>
  <c r="Q143" i="21"/>
  <c r="Q147" i="21"/>
  <c r="Q148" i="21"/>
  <c r="Q149" i="21"/>
  <c r="Q151" i="21"/>
  <c r="Q152" i="21"/>
  <c r="Q153" i="21"/>
  <c r="Q154" i="21"/>
  <c r="Q155" i="21"/>
  <c r="Q156" i="21"/>
  <c r="D30" i="21"/>
  <c r="D31" i="21"/>
  <c r="D32" i="21"/>
  <c r="D33" i="21"/>
  <c r="C33" i="21"/>
  <c r="B33" i="21"/>
  <c r="Q28" i="21"/>
  <c r="B16" i="21"/>
  <c r="C16" i="21"/>
  <c r="D16" i="21"/>
  <c r="D23" i="21"/>
  <c r="C18" i="21"/>
  <c r="B18" i="21"/>
  <c r="D14" i="21"/>
  <c r="D12" i="21"/>
  <c r="G12" i="21"/>
  <c r="D10" i="21"/>
  <c r="G10" i="21"/>
  <c r="D8" i="21"/>
  <c r="G8" i="21"/>
  <c r="J15" i="17"/>
  <c r="Z116" i="3"/>
  <c r="Y116" i="3"/>
  <c r="H15" i="17"/>
  <c r="AA115" i="3"/>
  <c r="AA116" i="3"/>
  <c r="AA118" i="3"/>
  <c r="H96" i="25"/>
  <c r="H98" i="25"/>
  <c r="K96" i="25"/>
  <c r="B98" i="26"/>
  <c r="R98" i="26"/>
  <c r="Q98" i="26"/>
  <c r="P98" i="26"/>
  <c r="O98" i="26"/>
  <c r="N98" i="26"/>
  <c r="M98" i="26"/>
  <c r="L98" i="26"/>
  <c r="K98" i="26"/>
  <c r="J98" i="26"/>
  <c r="I98" i="26"/>
  <c r="H98" i="26"/>
  <c r="G98" i="26"/>
  <c r="F98" i="26"/>
  <c r="E98" i="26"/>
  <c r="D98" i="26"/>
  <c r="C98" i="26"/>
  <c r="C96" i="25"/>
  <c r="D96" i="25"/>
  <c r="E96" i="25"/>
  <c r="F96" i="25"/>
  <c r="G96" i="25"/>
  <c r="I96" i="25"/>
  <c r="J96" i="25"/>
  <c r="L96" i="25"/>
  <c r="M96" i="25"/>
  <c r="N96" i="25"/>
  <c r="T96" i="25"/>
  <c r="U96" i="25"/>
  <c r="W96" i="25"/>
  <c r="X96" i="25"/>
  <c r="X98" i="25"/>
  <c r="W98" i="25"/>
  <c r="U98" i="25"/>
  <c r="T98" i="25"/>
  <c r="S98" i="25"/>
  <c r="N98" i="25"/>
  <c r="M98" i="25"/>
  <c r="L98" i="25"/>
  <c r="K98" i="25"/>
  <c r="J98" i="25"/>
  <c r="I98" i="25"/>
  <c r="G98" i="25"/>
  <c r="F98" i="25"/>
  <c r="E98" i="25"/>
  <c r="D98" i="25"/>
  <c r="C98" i="25"/>
  <c r="G19" i="24"/>
  <c r="H25" i="17"/>
  <c r="Y75" i="23"/>
  <c r="G19" i="22"/>
  <c r="Z118" i="3"/>
  <c r="S3" i="17"/>
  <c r="C24" i="8"/>
  <c r="O148" i="3"/>
  <c r="M148" i="3"/>
  <c r="M147" i="3"/>
  <c r="M149" i="3"/>
  <c r="M142" i="3"/>
  <c r="A141" i="3"/>
  <c r="AD115" i="3"/>
  <c r="AC115" i="3"/>
  <c r="AB115" i="3"/>
  <c r="Z115" i="3"/>
  <c r="Y115" i="3"/>
  <c r="X115" i="3"/>
  <c r="W115" i="3"/>
  <c r="V115" i="3"/>
  <c r="U114" i="3"/>
  <c r="AE114" i="3"/>
  <c r="R114" i="3"/>
  <c r="K114" i="3"/>
  <c r="H114" i="3"/>
  <c r="G114" i="3"/>
  <c r="B114" i="3"/>
  <c r="B117" i="3"/>
  <c r="J113" i="3"/>
  <c r="I113" i="3"/>
  <c r="F113" i="3"/>
  <c r="J112" i="3"/>
  <c r="Q112" i="3"/>
  <c r="R112" i="3"/>
  <c r="I112" i="3"/>
  <c r="L112" i="3"/>
  <c r="F112" i="3"/>
  <c r="J111" i="3"/>
  <c r="O111" i="3"/>
  <c r="Q111" i="3"/>
  <c r="I111" i="3"/>
  <c r="L111" i="3"/>
  <c r="M111" i="3"/>
  <c r="F111" i="3"/>
  <c r="J110" i="3"/>
  <c r="I110" i="3"/>
  <c r="F110" i="3"/>
  <c r="J109" i="3"/>
  <c r="Q109" i="3"/>
  <c r="R109" i="3"/>
  <c r="I109" i="3"/>
  <c r="F109" i="3"/>
  <c r="J107" i="3"/>
  <c r="I107" i="3"/>
  <c r="F107" i="3"/>
  <c r="J106" i="3"/>
  <c r="Q106" i="3"/>
  <c r="R106" i="3"/>
  <c r="I106" i="3"/>
  <c r="L106" i="3"/>
  <c r="M106" i="3"/>
  <c r="F106" i="3"/>
  <c r="J105" i="3"/>
  <c r="I105" i="3"/>
  <c r="L105" i="3"/>
  <c r="M105" i="3"/>
  <c r="F105" i="3"/>
  <c r="J104" i="3"/>
  <c r="I104" i="3"/>
  <c r="F104" i="3"/>
  <c r="J103" i="3"/>
  <c r="I103" i="3"/>
  <c r="F103" i="3"/>
  <c r="J102" i="3"/>
  <c r="Q102" i="3"/>
  <c r="I102" i="3"/>
  <c r="F102" i="3"/>
  <c r="J101" i="3"/>
  <c r="I101" i="3"/>
  <c r="L101" i="3"/>
  <c r="M101" i="3"/>
  <c r="F101" i="3"/>
  <c r="I99" i="3"/>
  <c r="J99" i="3"/>
  <c r="O99" i="3"/>
  <c r="L99" i="3"/>
  <c r="F99" i="3"/>
  <c r="J98" i="3"/>
  <c r="L98" i="3"/>
  <c r="I98" i="3"/>
  <c r="F98" i="3"/>
  <c r="M98" i="3"/>
  <c r="J97" i="3"/>
  <c r="Q97" i="3"/>
  <c r="R97" i="3"/>
  <c r="I97" i="3"/>
  <c r="L97" i="3"/>
  <c r="M97" i="3"/>
  <c r="F97" i="3"/>
  <c r="J95" i="3"/>
  <c r="Q95" i="3"/>
  <c r="R95" i="3"/>
  <c r="I95" i="3"/>
  <c r="F95" i="3"/>
  <c r="J94" i="3"/>
  <c r="I94" i="3"/>
  <c r="L94" i="3"/>
  <c r="M94" i="3"/>
  <c r="F94" i="3"/>
  <c r="J93" i="3"/>
  <c r="I93" i="3"/>
  <c r="F93" i="3"/>
  <c r="J92" i="3"/>
  <c r="I92" i="3"/>
  <c r="F92" i="3"/>
  <c r="J91" i="3"/>
  <c r="I91" i="3"/>
  <c r="F91" i="3"/>
  <c r="J90" i="3"/>
  <c r="O90" i="3"/>
  <c r="Q90" i="3"/>
  <c r="I90" i="3"/>
  <c r="L90" i="3"/>
  <c r="F90" i="3"/>
  <c r="J89" i="3"/>
  <c r="I89" i="3"/>
  <c r="F89" i="3"/>
  <c r="J88" i="3"/>
  <c r="Q88" i="3"/>
  <c r="R88" i="3"/>
  <c r="I88" i="3"/>
  <c r="L88" i="3"/>
  <c r="F88" i="3"/>
  <c r="J87" i="3"/>
  <c r="I87" i="3"/>
  <c r="F87" i="3"/>
  <c r="J86" i="3"/>
  <c r="Q86" i="3"/>
  <c r="I86" i="3"/>
  <c r="F86" i="3"/>
  <c r="J85" i="3"/>
  <c r="Q85" i="3"/>
  <c r="R85" i="3"/>
  <c r="I85" i="3"/>
  <c r="F85" i="3"/>
  <c r="J84" i="3"/>
  <c r="I84" i="3"/>
  <c r="F84" i="3"/>
  <c r="J83" i="3"/>
  <c r="I83" i="3"/>
  <c r="L83" i="3"/>
  <c r="M83" i="3"/>
  <c r="F83" i="3"/>
  <c r="J82" i="3"/>
  <c r="I82" i="3"/>
  <c r="L82" i="3"/>
  <c r="F82" i="3"/>
  <c r="J81" i="3"/>
  <c r="Q81" i="3"/>
  <c r="R81" i="3"/>
  <c r="I81" i="3"/>
  <c r="L81" i="3"/>
  <c r="M81" i="3"/>
  <c r="F81" i="3"/>
  <c r="J80" i="3"/>
  <c r="I80" i="3"/>
  <c r="L80" i="3"/>
  <c r="F80" i="3"/>
  <c r="J79" i="3"/>
  <c r="O79" i="3"/>
  <c r="U79" i="3"/>
  <c r="I79" i="3"/>
  <c r="L79" i="3"/>
  <c r="M79" i="3"/>
  <c r="F79" i="3"/>
  <c r="J77" i="3"/>
  <c r="Q77" i="3"/>
  <c r="R77" i="3"/>
  <c r="I77" i="3"/>
  <c r="L77" i="3"/>
  <c r="F77" i="3"/>
  <c r="M77" i="3"/>
  <c r="J76" i="3"/>
  <c r="O76" i="3"/>
  <c r="U76" i="3"/>
  <c r="I76" i="3"/>
  <c r="F76" i="3"/>
  <c r="J75" i="3"/>
  <c r="O75" i="3"/>
  <c r="I75" i="3"/>
  <c r="F75" i="3"/>
  <c r="J74" i="3"/>
  <c r="Q74" i="3"/>
  <c r="R74" i="3"/>
  <c r="I74" i="3"/>
  <c r="L74" i="3"/>
  <c r="M74" i="3"/>
  <c r="F74" i="3"/>
  <c r="J73" i="3"/>
  <c r="I73" i="3"/>
  <c r="F73" i="3"/>
  <c r="J72" i="3"/>
  <c r="O72" i="3"/>
  <c r="Q72" i="3"/>
  <c r="I72" i="3"/>
  <c r="F72" i="3"/>
  <c r="J71" i="3"/>
  <c r="I71" i="3"/>
  <c r="F71" i="3"/>
  <c r="J70" i="3"/>
  <c r="I70" i="3"/>
  <c r="L70" i="3"/>
  <c r="M70" i="3"/>
  <c r="F70" i="3"/>
  <c r="J69" i="3"/>
  <c r="I69" i="3"/>
  <c r="F69" i="3"/>
  <c r="J68" i="3"/>
  <c r="O68" i="3"/>
  <c r="I68" i="3"/>
  <c r="F68" i="3"/>
  <c r="J67" i="3"/>
  <c r="Q67" i="3"/>
  <c r="R67" i="3"/>
  <c r="I67" i="3"/>
  <c r="F67" i="3"/>
  <c r="AE66" i="3"/>
  <c r="D116" i="3"/>
  <c r="AE65" i="3"/>
  <c r="AE64" i="3"/>
  <c r="F64" i="3"/>
  <c r="I64" i="3"/>
  <c r="L64" i="3"/>
  <c r="J63" i="3"/>
  <c r="I63" i="3"/>
  <c r="F63" i="3"/>
  <c r="J62" i="3"/>
  <c r="I62" i="3"/>
  <c r="L62" i="3"/>
  <c r="M62" i="3"/>
  <c r="F62" i="3"/>
  <c r="J61" i="3"/>
  <c r="Q61" i="3"/>
  <c r="R61" i="3"/>
  <c r="I61" i="3"/>
  <c r="F61" i="3"/>
  <c r="J60" i="3"/>
  <c r="O60" i="3"/>
  <c r="I60" i="3"/>
  <c r="F60" i="3"/>
  <c r="J59" i="3"/>
  <c r="I59" i="3"/>
  <c r="L59" i="3"/>
  <c r="F59" i="3"/>
  <c r="J58" i="3"/>
  <c r="I58" i="3"/>
  <c r="L58" i="3"/>
  <c r="F58" i="3"/>
  <c r="J57" i="3"/>
  <c r="Q57" i="3"/>
  <c r="R57" i="3"/>
  <c r="I57" i="3"/>
  <c r="L57" i="3"/>
  <c r="M57" i="3"/>
  <c r="F57" i="3"/>
  <c r="AE56" i="3"/>
  <c r="J56" i="3"/>
  <c r="I56" i="3"/>
  <c r="L56" i="3"/>
  <c r="F56" i="3"/>
  <c r="J55" i="3"/>
  <c r="I55" i="3"/>
  <c r="L55" i="3"/>
  <c r="F55" i="3"/>
  <c r="J54" i="3"/>
  <c r="O54" i="3"/>
  <c r="U54" i="3"/>
  <c r="I54" i="3"/>
  <c r="L54" i="3"/>
  <c r="M54" i="3"/>
  <c r="F54" i="3"/>
  <c r="J53" i="3"/>
  <c r="I53" i="3"/>
  <c r="L53" i="3"/>
  <c r="F53" i="3"/>
  <c r="M53" i="3"/>
  <c r="U52" i="3"/>
  <c r="AE52" i="3"/>
  <c r="J52" i="3"/>
  <c r="Q52" i="3"/>
  <c r="R52" i="3"/>
  <c r="J51" i="3"/>
  <c r="O51" i="3"/>
  <c r="I51" i="3"/>
  <c r="L51" i="3"/>
  <c r="M51" i="3"/>
  <c r="F51" i="3"/>
  <c r="I50" i="3"/>
  <c r="J50" i="3"/>
  <c r="J49" i="3"/>
  <c r="O49" i="3"/>
  <c r="I49" i="3"/>
  <c r="L49" i="3"/>
  <c r="M49" i="3"/>
  <c r="F49" i="3"/>
  <c r="J48" i="3"/>
  <c r="Q48" i="3"/>
  <c r="R48" i="3"/>
  <c r="I48" i="3"/>
  <c r="L48" i="3"/>
  <c r="F48" i="3"/>
  <c r="J47" i="3"/>
  <c r="O47" i="3"/>
  <c r="U47" i="3"/>
  <c r="I47" i="3"/>
  <c r="F47" i="3"/>
  <c r="J46" i="3"/>
  <c r="I46" i="3"/>
  <c r="L46" i="3"/>
  <c r="F46" i="3"/>
  <c r="J45" i="3"/>
  <c r="I45" i="3"/>
  <c r="F45" i="3"/>
  <c r="J44" i="3"/>
  <c r="O44" i="3"/>
  <c r="U44" i="3"/>
  <c r="I44" i="3"/>
  <c r="L44" i="3"/>
  <c r="M44" i="3"/>
  <c r="F44" i="3"/>
  <c r="F42" i="3"/>
  <c r="J42" i="3"/>
  <c r="J41" i="3"/>
  <c r="Q41" i="3"/>
  <c r="R41" i="3"/>
  <c r="I41" i="3"/>
  <c r="L41" i="3"/>
  <c r="F41" i="3"/>
  <c r="J40" i="3"/>
  <c r="O40" i="3"/>
  <c r="I40" i="3"/>
  <c r="L40" i="3"/>
  <c r="M40" i="3"/>
  <c r="F40" i="3"/>
  <c r="J39" i="3"/>
  <c r="I39" i="3"/>
  <c r="F39" i="3"/>
  <c r="J38" i="3"/>
  <c r="Q38" i="3"/>
  <c r="R38" i="3"/>
  <c r="I38" i="3"/>
  <c r="F38" i="3"/>
  <c r="S37" i="3"/>
  <c r="J37" i="3"/>
  <c r="Q37" i="3"/>
  <c r="R37" i="3"/>
  <c r="I37" i="3"/>
  <c r="L37" i="3"/>
  <c r="M37" i="3"/>
  <c r="F37" i="3"/>
  <c r="S36" i="3"/>
  <c r="J36" i="3"/>
  <c r="O36" i="3"/>
  <c r="U36" i="3"/>
  <c r="I36" i="3"/>
  <c r="L36" i="3"/>
  <c r="M36" i="3"/>
  <c r="F36" i="3"/>
  <c r="S35" i="3"/>
  <c r="J35" i="3"/>
  <c r="Q35" i="3"/>
  <c r="R35" i="3"/>
  <c r="I35" i="3"/>
  <c r="L35" i="3"/>
  <c r="M35" i="3"/>
  <c r="F35" i="3"/>
  <c r="S34" i="3"/>
  <c r="J34" i="3"/>
  <c r="O34" i="3"/>
  <c r="U34" i="3"/>
  <c r="Q34" i="3"/>
  <c r="R34" i="3"/>
  <c r="I34" i="3"/>
  <c r="F34" i="3"/>
  <c r="J33" i="3"/>
  <c r="O33" i="3"/>
  <c r="U33" i="3"/>
  <c r="I33" i="3"/>
  <c r="L33" i="3"/>
  <c r="M33" i="3"/>
  <c r="F33" i="3"/>
  <c r="J32" i="3"/>
  <c r="Q32" i="3"/>
  <c r="R32" i="3"/>
  <c r="I32" i="3"/>
  <c r="L32" i="3"/>
  <c r="F32" i="3"/>
  <c r="J31" i="3"/>
  <c r="O31" i="3"/>
  <c r="I31" i="3"/>
  <c r="F31" i="3"/>
  <c r="J30" i="3"/>
  <c r="I30" i="3"/>
  <c r="F30" i="3"/>
  <c r="J29" i="3"/>
  <c r="Q29" i="3"/>
  <c r="R29" i="3"/>
  <c r="I29" i="3"/>
  <c r="L29" i="3"/>
  <c r="M29" i="3"/>
  <c r="F29" i="3"/>
  <c r="J28" i="3"/>
  <c r="I28" i="3"/>
  <c r="F28" i="3"/>
  <c r="J27" i="3"/>
  <c r="Q27" i="3"/>
  <c r="R27" i="3"/>
  <c r="O27" i="3"/>
  <c r="I27" i="3"/>
  <c r="L27" i="3"/>
  <c r="F27" i="3"/>
  <c r="J26" i="3"/>
  <c r="Q26" i="3"/>
  <c r="R26" i="3"/>
  <c r="I26" i="3"/>
  <c r="F26" i="3"/>
  <c r="J25" i="3"/>
  <c r="I25" i="3"/>
  <c r="F25" i="3"/>
  <c r="J24" i="3"/>
  <c r="I24" i="3"/>
  <c r="L24" i="3"/>
  <c r="M24" i="3"/>
  <c r="F24" i="3"/>
  <c r="J23" i="3"/>
  <c r="I23" i="3"/>
  <c r="F23" i="3"/>
  <c r="J22" i="3"/>
  <c r="Q22" i="3"/>
  <c r="R22" i="3"/>
  <c r="O22" i="3"/>
  <c r="U22" i="3"/>
  <c r="AE22" i="3"/>
  <c r="I22" i="3"/>
  <c r="L22" i="3"/>
  <c r="M22" i="3"/>
  <c r="F22" i="3"/>
  <c r="J21" i="3"/>
  <c r="L21" i="3"/>
  <c r="M21" i="3"/>
  <c r="I21" i="3"/>
  <c r="F21" i="3"/>
  <c r="J20" i="3"/>
  <c r="I20" i="3"/>
  <c r="L20" i="3"/>
  <c r="F20" i="3"/>
  <c r="M20" i="3"/>
  <c r="J19" i="3"/>
  <c r="I19" i="3"/>
  <c r="L19" i="3"/>
  <c r="M19" i="3"/>
  <c r="F19" i="3"/>
  <c r="J18" i="3"/>
  <c r="Q18" i="3"/>
  <c r="R18" i="3"/>
  <c r="I18" i="3"/>
  <c r="L18" i="3"/>
  <c r="M18" i="3"/>
  <c r="F18" i="3"/>
  <c r="J17" i="3"/>
  <c r="Q17" i="3"/>
  <c r="R17" i="3"/>
  <c r="I17" i="3"/>
  <c r="F17" i="3"/>
  <c r="J16" i="3"/>
  <c r="Q16" i="3"/>
  <c r="R16" i="3"/>
  <c r="O16" i="3"/>
  <c r="I16" i="3"/>
  <c r="F16" i="3"/>
  <c r="J15" i="3"/>
  <c r="I15" i="3"/>
  <c r="L15" i="3"/>
  <c r="M15" i="3"/>
  <c r="F15" i="3"/>
  <c r="J14" i="3"/>
  <c r="I14" i="3"/>
  <c r="F14" i="3"/>
  <c r="F114" i="3"/>
  <c r="J13" i="3"/>
  <c r="L13" i="3"/>
  <c r="Q13" i="3"/>
  <c r="R13" i="3"/>
  <c r="I13" i="3"/>
  <c r="F13" i="3"/>
  <c r="J12" i="3"/>
  <c r="I12" i="3"/>
  <c r="F12" i="3"/>
  <c r="J11" i="3"/>
  <c r="I11" i="3"/>
  <c r="F11" i="3"/>
  <c r="V10" i="3"/>
  <c r="W10" i="3"/>
  <c r="X10" i="3"/>
  <c r="Y10" i="3"/>
  <c r="Z10" i="3"/>
  <c r="AA10" i="3"/>
  <c r="AB10" i="3"/>
  <c r="AC10" i="3"/>
  <c r="AD10" i="3"/>
  <c r="J64" i="3"/>
  <c r="I96" i="3"/>
  <c r="L96" i="3"/>
  <c r="M96" i="3"/>
  <c r="O17" i="3"/>
  <c r="U17" i="3"/>
  <c r="AE17" i="3"/>
  <c r="O112" i="3"/>
  <c r="O46" i="3"/>
  <c r="U46" i="3"/>
  <c r="Q68" i="3"/>
  <c r="R68" i="3"/>
  <c r="O97" i="3"/>
  <c r="O106" i="3"/>
  <c r="I108" i="3"/>
  <c r="O18" i="3"/>
  <c r="F50" i="3"/>
  <c r="R102" i="3"/>
  <c r="L17" i="3"/>
  <c r="M17" i="3"/>
  <c r="Q36" i="3"/>
  <c r="R36" i="3"/>
  <c r="O48" i="3"/>
  <c r="Q54" i="3"/>
  <c r="R54" i="3"/>
  <c r="L68" i="3"/>
  <c r="M68" i="3"/>
  <c r="O77" i="3"/>
  <c r="U77" i="3"/>
  <c r="AE77" i="3"/>
  <c r="L84" i="3"/>
  <c r="M84" i="3"/>
  <c r="O41" i="3"/>
  <c r="U41" i="3"/>
  <c r="Q79" i="3"/>
  <c r="R79" i="3"/>
  <c r="O88" i="3"/>
  <c r="U88" i="3"/>
  <c r="AE88" i="3"/>
  <c r="O32" i="3"/>
  <c r="O35" i="3"/>
  <c r="U35" i="3"/>
  <c r="O39" i="3"/>
  <c r="M13" i="3"/>
  <c r="Q47" i="3"/>
  <c r="R47" i="3"/>
  <c r="O57" i="3"/>
  <c r="U68" i="3"/>
  <c r="O13" i="3"/>
  <c r="U13" i="3"/>
  <c r="AE13" i="3"/>
  <c r="AE46" i="3"/>
  <c r="AE54" i="3"/>
  <c r="L47" i="3"/>
  <c r="Q51" i="3"/>
  <c r="R51" i="3"/>
  <c r="Q58" i="3"/>
  <c r="R58" i="3"/>
  <c r="O58" i="3"/>
  <c r="L67" i="3"/>
  <c r="M67" i="3"/>
  <c r="O98" i="3"/>
  <c r="U98" i="3"/>
  <c r="AE98" i="3"/>
  <c r="Q98" i="3"/>
  <c r="R98" i="3"/>
  <c r="O104" i="3"/>
  <c r="U104" i="3"/>
  <c r="Q104" i="3"/>
  <c r="R104" i="3"/>
  <c r="L104" i="3"/>
  <c r="M104" i="3"/>
  <c r="J100" i="3"/>
  <c r="I100" i="3"/>
  <c r="F100" i="3"/>
  <c r="O81" i="3"/>
  <c r="O109" i="3"/>
  <c r="L109" i="3"/>
  <c r="M109" i="3"/>
  <c r="U32" i="3"/>
  <c r="AE32" i="3"/>
  <c r="AE33" i="3"/>
  <c r="U58" i="3"/>
  <c r="AE58" i="3"/>
  <c r="Q49" i="3"/>
  <c r="R49" i="3"/>
  <c r="D114" i="3"/>
  <c r="F116" i="3"/>
  <c r="I52" i="3"/>
  <c r="L52" i="3"/>
  <c r="I66" i="3"/>
  <c r="L66" i="3"/>
  <c r="M66" i="3"/>
  <c r="F66" i="3"/>
  <c r="I42" i="3"/>
  <c r="L42" i="3"/>
  <c r="M42" i="3"/>
  <c r="R111" i="3"/>
  <c r="K121" i="3"/>
  <c r="J66" i="3"/>
  <c r="F52" i="3"/>
  <c r="R72" i="3"/>
  <c r="J65" i="3"/>
  <c r="F65" i="3"/>
  <c r="Q69" i="3"/>
  <c r="R69" i="3"/>
  <c r="O69" i="3"/>
  <c r="M27" i="3"/>
  <c r="O61" i="3"/>
  <c r="L61" i="3"/>
  <c r="M61" i="3"/>
  <c r="O70" i="3"/>
  <c r="Q70" i="3"/>
  <c r="R70" i="3"/>
  <c r="F108" i="3"/>
  <c r="J108" i="3"/>
  <c r="Q101" i="3"/>
  <c r="R101" i="3"/>
  <c r="Q40" i="3"/>
  <c r="R40" i="3"/>
  <c r="I65" i="3"/>
  <c r="P115" i="3"/>
  <c r="I43" i="3"/>
  <c r="J43" i="3"/>
  <c r="L43" i="3"/>
  <c r="F43" i="3"/>
  <c r="Q59" i="3"/>
  <c r="O59" i="3"/>
  <c r="U59" i="3"/>
  <c r="J78" i="3"/>
  <c r="F78" i="3"/>
  <c r="I78" i="3"/>
  <c r="L78" i="3"/>
  <c r="AE79" i="3"/>
  <c r="Q92" i="3"/>
  <c r="R92" i="3"/>
  <c r="O92" i="3"/>
  <c r="L92" i="3"/>
  <c r="M92" i="3"/>
  <c r="J96" i="3"/>
  <c r="F96" i="3"/>
  <c r="O101" i="3"/>
  <c r="AE101" i="3"/>
  <c r="AE44" i="3"/>
  <c r="U97" i="3"/>
  <c r="AE97" i="3"/>
  <c r="Q42" i="3"/>
  <c r="R42" i="3"/>
  <c r="O42" i="3"/>
  <c r="U42" i="3"/>
  <c r="AE42" i="3"/>
  <c r="Q50" i="3"/>
  <c r="R50" i="3"/>
  <c r="L50" i="3"/>
  <c r="M50" i="3"/>
  <c r="O50" i="3"/>
  <c r="O53" i="3"/>
  <c r="Q53" i="3"/>
  <c r="R53" i="3"/>
  <c r="Q82" i="3"/>
  <c r="R82" i="3"/>
  <c r="O82" i="3"/>
  <c r="O15" i="3"/>
  <c r="U15" i="3"/>
  <c r="AE15" i="3"/>
  <c r="M46" i="3"/>
  <c r="Q46" i="3"/>
  <c r="R46" i="3"/>
  <c r="R59" i="3"/>
  <c r="L86" i="3"/>
  <c r="M86" i="3"/>
  <c r="R90" i="3"/>
  <c r="Q23" i="3"/>
  <c r="R23" i="3"/>
  <c r="O86" i="3"/>
  <c r="U86" i="3"/>
  <c r="AE86" i="3"/>
  <c r="O55" i="3"/>
  <c r="Q55" i="3"/>
  <c r="R55" i="3"/>
  <c r="L69" i="3"/>
  <c r="O74" i="3"/>
  <c r="U74" i="3"/>
  <c r="AE74" i="3"/>
  <c r="R86" i="3"/>
  <c r="L72" i="3"/>
  <c r="M72" i="3"/>
  <c r="Q99" i="3"/>
  <c r="R99" i="3"/>
  <c r="G11" i="8"/>
  <c r="U82" i="3"/>
  <c r="U55" i="3"/>
  <c r="AE55" i="3"/>
  <c r="U50" i="3"/>
  <c r="AE50" i="3"/>
  <c r="Q96" i="3"/>
  <c r="R96" i="3"/>
  <c r="O96" i="3"/>
  <c r="U92" i="3"/>
  <c r="AE92" i="3"/>
  <c r="AE59" i="3"/>
  <c r="O108" i="3"/>
  <c r="Q108" i="3"/>
  <c r="R108" i="3"/>
  <c r="L108" i="3"/>
  <c r="M108" i="3"/>
  <c r="U69" i="3"/>
  <c r="U70" i="3"/>
  <c r="AE70" i="3"/>
  <c r="U53" i="3"/>
  <c r="AE53" i="3"/>
  <c r="U101" i="3"/>
  <c r="O78" i="3"/>
  <c r="U78" i="3"/>
  <c r="U61" i="3"/>
  <c r="U108" i="3"/>
  <c r="AE108" i="3"/>
  <c r="U96" i="3"/>
  <c r="AE96" i="3"/>
  <c r="AE76" i="3"/>
  <c r="U16" i="3"/>
  <c r="Q63" i="3"/>
  <c r="R63" i="3"/>
  <c r="O63" i="3"/>
  <c r="L63" i="3"/>
  <c r="M63" i="3"/>
  <c r="AE41" i="3"/>
  <c r="Q12" i="3"/>
  <c r="L12" i="3"/>
  <c r="Q15" i="3"/>
  <c r="R15" i="3"/>
  <c r="Q28" i="3"/>
  <c r="R28" i="3"/>
  <c r="O28" i="3"/>
  <c r="Q71" i="3"/>
  <c r="R71" i="3"/>
  <c r="O71" i="3"/>
  <c r="U71" i="3"/>
  <c r="Q75" i="3"/>
  <c r="R75" i="3"/>
  <c r="L75" i="3"/>
  <c r="M75" i="3"/>
  <c r="Q87" i="3"/>
  <c r="R87" i="3"/>
  <c r="Q91" i="3"/>
  <c r="R91" i="3"/>
  <c r="Q110" i="3"/>
  <c r="R110" i="3"/>
  <c r="O110" i="3"/>
  <c r="Q113" i="3"/>
  <c r="R113" i="3"/>
  <c r="Q25" i="3"/>
  <c r="R25" i="3"/>
  <c r="O25" i="3"/>
  <c r="U27" i="3"/>
  <c r="U60" i="3"/>
  <c r="AE75" i="3"/>
  <c r="Q83" i="3"/>
  <c r="R83" i="3"/>
  <c r="O83" i="3"/>
  <c r="D117" i="3"/>
  <c r="O12" i="3"/>
  <c r="S52" i="3"/>
  <c r="U75" i="3"/>
  <c r="U112" i="3"/>
  <c r="AE112" i="3"/>
  <c r="L25" i="3"/>
  <c r="M25" i="3"/>
  <c r="L26" i="3"/>
  <c r="M26" i="3"/>
  <c r="L34" i="3"/>
  <c r="M34" i="3"/>
  <c r="AE47" i="3"/>
  <c r="O94" i="3"/>
  <c r="Q94" i="3"/>
  <c r="R94" i="3"/>
  <c r="U81" i="3"/>
  <c r="Q21" i="3"/>
  <c r="R21" i="3"/>
  <c r="O21" i="3"/>
  <c r="Q76" i="3"/>
  <c r="R76" i="3"/>
  <c r="L76" i="3"/>
  <c r="M76" i="3"/>
  <c r="Q78" i="3"/>
  <c r="R78" i="3"/>
  <c r="L16" i="3"/>
  <c r="M16" i="3"/>
  <c r="S43" i="3"/>
  <c r="M52" i="3"/>
  <c r="Q31" i="3"/>
  <c r="R31" i="3"/>
  <c r="O29" i="3"/>
  <c r="S53" i="3"/>
  <c r="AE104" i="3"/>
  <c r="U109" i="3"/>
  <c r="AE109" i="3"/>
  <c r="L60" i="3"/>
  <c r="M60" i="3"/>
  <c r="O26" i="3"/>
  <c r="L28" i="3"/>
  <c r="M28" i="3"/>
  <c r="Q19" i="3"/>
  <c r="R19" i="3"/>
  <c r="O19" i="3"/>
  <c r="U19" i="3"/>
  <c r="Q24" i="3"/>
  <c r="R24" i="3"/>
  <c r="O24" i="3"/>
  <c r="L31" i="3"/>
  <c r="M31" i="3"/>
  <c r="S44" i="3"/>
  <c r="Q60" i="3"/>
  <c r="R60" i="3"/>
  <c r="L71" i="3"/>
  <c r="M71" i="3"/>
  <c r="O84" i="3"/>
  <c r="Q84" i="3"/>
  <c r="R84" i="3"/>
  <c r="L85" i="3"/>
  <c r="M85" i="3"/>
  <c r="O85" i="3"/>
  <c r="L102" i="3"/>
  <c r="M102" i="3"/>
  <c r="O102" i="3"/>
  <c r="AE102" i="3"/>
  <c r="L110" i="3"/>
  <c r="M110" i="3"/>
  <c r="Q20" i="3"/>
  <c r="R20" i="3"/>
  <c r="O20" i="3"/>
  <c r="S38" i="3"/>
  <c r="L38" i="3"/>
  <c r="M38" i="3"/>
  <c r="AE36" i="3"/>
  <c r="U85" i="3"/>
  <c r="AE85" i="3"/>
  <c r="U28" i="3"/>
  <c r="AE28" i="3"/>
  <c r="R12" i="3"/>
  <c r="U102" i="3"/>
  <c r="AE19" i="3"/>
  <c r="U26" i="3"/>
  <c r="AE26" i="3"/>
  <c r="AE71" i="3"/>
  <c r="U29" i="3"/>
  <c r="AE29" i="3"/>
  <c r="U12" i="3"/>
  <c r="AE12" i="3"/>
  <c r="U83" i="3"/>
  <c r="AE83" i="3"/>
  <c r="U21" i="3"/>
  <c r="U20" i="3"/>
  <c r="AE20" i="3"/>
  <c r="U84" i="3"/>
  <c r="AE84" i="3"/>
  <c r="U24" i="3"/>
  <c r="AE24" i="3"/>
  <c r="U25" i="3"/>
  <c r="AE25" i="3"/>
  <c r="U110" i="3"/>
  <c r="M12" i="3"/>
  <c r="L139" i="3"/>
  <c r="L132" i="3"/>
  <c r="L131" i="3"/>
  <c r="M132" i="3"/>
  <c r="M139" i="3"/>
  <c r="U94" i="3"/>
  <c r="AE94" i="3"/>
  <c r="U18" i="3"/>
  <c r="AE18" i="3"/>
  <c r="O11" i="3"/>
  <c r="J114" i="3"/>
  <c r="L11" i="3"/>
  <c r="AE16" i="3"/>
  <c r="U40" i="3"/>
  <c r="AE40" i="3"/>
  <c r="O91" i="3"/>
  <c r="L91" i="3"/>
  <c r="M91" i="3"/>
  <c r="L113" i="3"/>
  <c r="O113" i="3"/>
  <c r="AE60" i="3"/>
  <c r="U72" i="3"/>
  <c r="AE72" i="3"/>
  <c r="L89" i="3"/>
  <c r="O89" i="3"/>
  <c r="Q89" i="3"/>
  <c r="R89" i="3"/>
  <c r="U111" i="3"/>
  <c r="AE111" i="3"/>
  <c r="AE61" i="3"/>
  <c r="U106" i="3"/>
  <c r="AE106" i="3"/>
  <c r="Q14" i="3"/>
  <c r="R14" i="3"/>
  <c r="O14" i="3"/>
  <c r="L14" i="3"/>
  <c r="M14" i="3"/>
  <c r="L30" i="3"/>
  <c r="M30" i="3"/>
  <c r="O30" i="3"/>
  <c r="Q30" i="3"/>
  <c r="R30" i="3"/>
  <c r="M41" i="3"/>
  <c r="U49" i="3"/>
  <c r="AE49" i="3"/>
  <c r="M56" i="3"/>
  <c r="O62" i="3"/>
  <c r="Q62" i="3"/>
  <c r="R62" i="3"/>
  <c r="L87" i="3"/>
  <c r="M87" i="3"/>
  <c r="O87" i="3"/>
  <c r="M99" i="3"/>
  <c r="C23" i="8"/>
  <c r="D24" i="8"/>
  <c r="E24" i="8"/>
  <c r="F24" i="8"/>
  <c r="G24" i="8"/>
  <c r="AE78" i="3"/>
  <c r="M43" i="3"/>
  <c r="AE81" i="3"/>
  <c r="U39" i="3"/>
  <c r="AE39" i="3"/>
  <c r="U48" i="3"/>
  <c r="AE48" i="3"/>
  <c r="L45" i="3"/>
  <c r="M45" i="3"/>
  <c r="AE68" i="3"/>
  <c r="M90" i="3"/>
  <c r="U99" i="3"/>
  <c r="AE99" i="3"/>
  <c r="M112" i="3"/>
  <c r="AE21" i="3"/>
  <c r="O38" i="3"/>
  <c r="Q39" i="3"/>
  <c r="R39" i="3"/>
  <c r="L39" i="3"/>
  <c r="M39" i="3"/>
  <c r="O45" i="3"/>
  <c r="Q45" i="3"/>
  <c r="R45" i="3"/>
  <c r="Q11" i="3"/>
  <c r="L100" i="3"/>
  <c r="M100" i="3"/>
  <c r="AE27" i="3"/>
  <c r="U31" i="3"/>
  <c r="AE31" i="3"/>
  <c r="M59" i="3"/>
  <c r="Q73" i="3"/>
  <c r="R73" i="3"/>
  <c r="O73" i="3"/>
  <c r="L73" i="3"/>
  <c r="M73" i="3"/>
  <c r="AE90" i="3"/>
  <c r="U90" i="3"/>
  <c r="Q105" i="3"/>
  <c r="R105" i="3"/>
  <c r="O105" i="3"/>
  <c r="Q107" i="3"/>
  <c r="R107" i="3"/>
  <c r="L107" i="3"/>
  <c r="M107" i="3"/>
  <c r="O107" i="3"/>
  <c r="AE110" i="3"/>
  <c r="U63" i="3"/>
  <c r="AE63" i="3"/>
  <c r="L65" i="3"/>
  <c r="M65" i="3"/>
  <c r="AE69" i="3"/>
  <c r="O100" i="3"/>
  <c r="Q100" i="3"/>
  <c r="R100" i="3"/>
  <c r="L23" i="3"/>
  <c r="M23" i="3"/>
  <c r="O23" i="3"/>
  <c r="L93" i="3"/>
  <c r="M93" i="3"/>
  <c r="O93" i="3"/>
  <c r="Q93" i="3"/>
  <c r="R93" i="3"/>
  <c r="L95" i="3"/>
  <c r="M95" i="3"/>
  <c r="O95" i="3"/>
  <c r="AE82" i="3"/>
  <c r="O122" i="3"/>
  <c r="U57" i="3"/>
  <c r="AE57" i="3"/>
  <c r="I114" i="3"/>
  <c r="M32" i="3"/>
  <c r="U51" i="3"/>
  <c r="AE51" i="3"/>
  <c r="Q80" i="3"/>
  <c r="R80" i="3"/>
  <c r="O80" i="3"/>
  <c r="M82" i="3"/>
  <c r="O103" i="3"/>
  <c r="L103" i="3"/>
  <c r="M103" i="3"/>
  <c r="Q103" i="3"/>
  <c r="R103" i="3"/>
  <c r="O37" i="3"/>
  <c r="O67" i="3"/>
  <c r="Q43" i="3"/>
  <c r="R43" i="3"/>
  <c r="O43" i="3"/>
  <c r="AE35" i="3"/>
  <c r="AE34" i="3"/>
  <c r="Q33" i="3"/>
  <c r="R33" i="3"/>
  <c r="Q44" i="3"/>
  <c r="R44" i="3"/>
  <c r="U107" i="3"/>
  <c r="AE107" i="3"/>
  <c r="U73" i="3"/>
  <c r="AE73" i="3"/>
  <c r="D118" i="3"/>
  <c r="K116" i="3"/>
  <c r="Q117" i="3"/>
  <c r="U103" i="3"/>
  <c r="AE103" i="3"/>
  <c r="U93" i="3"/>
  <c r="AE93" i="3"/>
  <c r="U45" i="3"/>
  <c r="AE45" i="3"/>
  <c r="U62" i="3"/>
  <c r="AE62" i="3"/>
  <c r="U11" i="3"/>
  <c r="U115" i="3"/>
  <c r="U116" i="3"/>
  <c r="O115" i="3"/>
  <c r="U14" i="3"/>
  <c r="AE14" i="3"/>
  <c r="U89" i="3"/>
  <c r="AE89" i="3"/>
  <c r="U91" i="3"/>
  <c r="AE91" i="3"/>
  <c r="AE80" i="3"/>
  <c r="U80" i="3"/>
  <c r="U105" i="3"/>
  <c r="AE105" i="3"/>
  <c r="U38" i="3"/>
  <c r="AE38" i="3"/>
  <c r="D23" i="8"/>
  <c r="E23" i="8"/>
  <c r="F23" i="8"/>
  <c r="G23" i="8"/>
  <c r="AE67" i="3"/>
  <c r="U67" i="3"/>
  <c r="U23" i="3"/>
  <c r="AE23" i="3"/>
  <c r="U37" i="3"/>
  <c r="AE37" i="3"/>
  <c r="U95" i="3"/>
  <c r="AE95" i="3"/>
  <c r="U100" i="3"/>
  <c r="AE100" i="3"/>
  <c r="U87" i="3"/>
  <c r="AE87" i="3"/>
  <c r="O121" i="3"/>
  <c r="U43" i="3"/>
  <c r="AE43" i="3"/>
  <c r="Q115" i="3"/>
  <c r="R11" i="3"/>
  <c r="R115" i="3"/>
  <c r="U30" i="3"/>
  <c r="AE30" i="3"/>
  <c r="U113" i="3"/>
  <c r="AE113" i="3"/>
  <c r="L114" i="3"/>
  <c r="M11" i="3"/>
  <c r="M141" i="3"/>
  <c r="M143" i="3"/>
  <c r="K118" i="3"/>
  <c r="K123" i="3"/>
  <c r="U118" i="3"/>
  <c r="V116" i="3"/>
  <c r="AE11" i="3"/>
  <c r="AE115" i="3"/>
  <c r="Q118" i="3"/>
  <c r="J137" i="3"/>
  <c r="W116" i="3"/>
  <c r="V118" i="3"/>
  <c r="W118" i="3"/>
  <c r="X116" i="3"/>
  <c r="X118" i="3"/>
  <c r="Y118" i="3"/>
  <c r="AB116" i="3"/>
  <c r="AC116" i="3"/>
  <c r="AD116" i="3"/>
  <c r="AE1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tc={B9AF4C86-A60D-4AE0-9759-CA30B0535CD5}</author>
    <author>Valdes, Amnerys</author>
  </authors>
  <commentList>
    <comment ref="D19" authorId="0" shapeId="0" xr:uid="{B9AF4C86-A60D-4AE0-9759-CA30B0535CD5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snip it below</t>
      </text>
    </comment>
    <comment ref="Q27" authorId="1" shapeId="0" xr:uid="{5B1AB180-4C12-430A-8BA6-D405B6922AD2}">
      <text>
        <r>
          <rPr>
            <b/>
            <sz val="9"/>
            <color indexed="81"/>
            <rFont val="Tahoma"/>
            <family val="2"/>
          </rPr>
          <t>Valdes, Amnerys:</t>
        </r>
        <r>
          <rPr>
            <sz val="9"/>
            <color indexed="81"/>
            <rFont val="Tahoma"/>
            <family val="2"/>
          </rPr>
          <t xml:space="preserve">
keep until a reclass is made between Protected &amp; Unprotected balances</t>
        </r>
      </text>
    </comment>
    <comment ref="Q142" authorId="1" shapeId="0" xr:uid="{EEA1F5BC-215E-4BDD-A683-516F6DB535B3}">
      <text>
        <r>
          <rPr>
            <b/>
            <sz val="9"/>
            <color indexed="81"/>
            <rFont val="Tahoma"/>
            <family val="2"/>
          </rPr>
          <t>Valdes, Amnerys:</t>
        </r>
        <r>
          <rPr>
            <sz val="9"/>
            <color indexed="81"/>
            <rFont val="Tahoma"/>
            <family val="2"/>
          </rPr>
          <t xml:space="preserve">
keep until a reclass is made between Protected &amp; Unprotected balances</t>
        </r>
      </text>
    </comment>
    <comment ref="Q152" authorId="1" shapeId="0" xr:uid="{57BBB2A8-D0EA-4999-AE94-214211B22619}">
      <text>
        <r>
          <rPr>
            <b/>
            <sz val="9"/>
            <color indexed="81"/>
            <rFont val="Tahoma"/>
            <family val="2"/>
          </rPr>
          <t>Valdes, Amnerys:</t>
        </r>
        <r>
          <rPr>
            <sz val="9"/>
            <color indexed="81"/>
            <rFont val="Tahoma"/>
            <family val="2"/>
          </rPr>
          <t xml:space="preserve">
don't have to adjust for the Excess related to OCI since it never hit expense (see Rpt 54515)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Valdes, Amnerys</author>
  </authors>
  <commentList>
    <comment ref="D18" authorId="0" shapeId="0" xr:uid="{970C03C3-3610-4DE6-B38C-159D18FD0E79}">
      <text>
        <r>
          <rPr>
            <b/>
            <sz val="9"/>
            <color indexed="81"/>
            <rFont val="Tahoma"/>
            <family val="2"/>
          </rPr>
          <t>Valdes, Amnerys:</t>
        </r>
        <r>
          <rPr>
            <sz val="9"/>
            <color indexed="81"/>
            <rFont val="Tahoma"/>
            <family val="2"/>
          </rPr>
          <t xml:space="preserve">
keep until a reclass is made between Protected &amp; Unprotected balances</t>
        </r>
      </text>
    </comment>
    <comment ref="G18" authorId="0" shapeId="0" xr:uid="{0F089910-D52A-4E35-8BFB-3BFEBD9F58F5}">
      <text>
        <r>
          <rPr>
            <b/>
            <sz val="9"/>
            <color indexed="81"/>
            <rFont val="Tahoma"/>
            <family val="2"/>
          </rPr>
          <t>Valdes, Amnerys:</t>
        </r>
        <r>
          <rPr>
            <sz val="9"/>
            <color indexed="81"/>
            <rFont val="Tahoma"/>
            <family val="2"/>
          </rPr>
          <t xml:space="preserve">
keep until a reclass is made between Protected &amp; Unprotected balances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Valdes, Amnerys</author>
  </authors>
  <commentList>
    <comment ref="D18" authorId="0" shapeId="0" xr:uid="{0AA18582-61FD-4497-811D-A9986B9DD418}">
      <text>
        <r>
          <rPr>
            <b/>
            <sz val="9"/>
            <color indexed="81"/>
            <rFont val="Tahoma"/>
            <family val="2"/>
          </rPr>
          <t>Valdes, Amnerys:</t>
        </r>
        <r>
          <rPr>
            <sz val="9"/>
            <color indexed="81"/>
            <rFont val="Tahoma"/>
            <family val="2"/>
          </rPr>
          <t xml:space="preserve">
keep until a reclass is made between Protected &amp; Unprotected balances</t>
        </r>
      </text>
    </comment>
    <comment ref="G18" authorId="0" shapeId="0" xr:uid="{A5FFFE23-DB62-47E6-B43D-73BB50E68EC6}">
      <text>
        <r>
          <rPr>
            <b/>
            <sz val="9"/>
            <color indexed="81"/>
            <rFont val="Tahoma"/>
            <family val="2"/>
          </rPr>
          <t>Valdes, Amnerys:</t>
        </r>
        <r>
          <rPr>
            <sz val="9"/>
            <color indexed="81"/>
            <rFont val="Tahoma"/>
            <family val="2"/>
          </rPr>
          <t xml:space="preserve">
keep until a reclass is made between Protected &amp; Unprotected balances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Valdes, Amnerys</author>
  </authors>
  <commentList>
    <comment ref="G33" authorId="0" shapeId="0" xr:uid="{9447587E-E527-4E36-A83E-A6A8F781FE30}">
      <text>
        <r>
          <rPr>
            <b/>
            <sz val="9"/>
            <color indexed="81"/>
            <rFont val="Tahoma"/>
            <family val="2"/>
          </rPr>
          <t>Valdes, Amnerys:</t>
        </r>
        <r>
          <rPr>
            <sz val="9"/>
            <color indexed="81"/>
            <rFont val="Tahoma"/>
            <family val="2"/>
          </rPr>
          <t xml:space="preserve">
don't have to adjust for the Excess related to OCI since it never hit expense (see Rpt 54515)</t>
        </r>
      </text>
    </comment>
  </commentList>
</comments>
</file>

<file path=xl/sharedStrings.xml><?xml version="1.0" encoding="utf-8"?>
<sst xmlns="http://schemas.openxmlformats.org/spreadsheetml/2006/main" count="1478" uniqueCount="573">
  <si>
    <t>SCHEDULE C-25</t>
  </si>
  <si>
    <t>DEFERRED TAX ADJUSTMENT</t>
  </si>
  <si>
    <t>FLORIDA PUBLIC SERVICE COMMISSION</t>
  </si>
  <si>
    <t xml:space="preserve">                  EXPLANATION:</t>
  </si>
  <si>
    <t>To provide information required to present the excess/deficient deferred  tax balances due to protected and</t>
  </si>
  <si>
    <t xml:space="preserve">       Type of data shown:</t>
  </si>
  <si>
    <t>unprotected timing differences at statutory tax rates different from the current tax rate.  The protected</t>
  </si>
  <si>
    <t>XX</t>
  </si>
  <si>
    <t>Projected Test Year Ended 12/31/2025</t>
  </si>
  <si>
    <t>COMPANY: TAMPA ELECTRIC COMPANY</t>
  </si>
  <si>
    <t>deferred tax balances represent timing differences due to Life and Method effect on depreciation rates.</t>
  </si>
  <si>
    <t>Projected Prior Year Ended 12/31/2024</t>
  </si>
  <si>
    <t>Historical Prior Year Ended 12/31/2023</t>
  </si>
  <si>
    <t>(Dollars in 000's)</t>
  </si>
  <si>
    <t>Line</t>
  </si>
  <si>
    <t>Total</t>
  </si>
  <si>
    <t>No.</t>
  </si>
  <si>
    <t>Protected</t>
  </si>
  <si>
    <t>Unprotected</t>
  </si>
  <si>
    <t>Excess/(Deficient)</t>
  </si>
  <si>
    <t>Balance at Beginning of Historical Year</t>
  </si>
  <si>
    <t>Historical Year Amortization</t>
  </si>
  <si>
    <t>Balance at Beginning of Historical Year + 1</t>
  </si>
  <si>
    <t>Projected Test Year Amortization</t>
  </si>
  <si>
    <t>Balance at Beginning of Projected Test Year</t>
  </si>
  <si>
    <t>Balance at End of Projected Test Year</t>
  </si>
  <si>
    <t>DM 2 14 24</t>
  </si>
  <si>
    <t>Total may not foot due to rounding.</t>
  </si>
  <si>
    <t>Supporting Schedules:</t>
  </si>
  <si>
    <t>Recap Schedules:</t>
  </si>
  <si>
    <t>SOURCE:</t>
  </si>
  <si>
    <t>H:\ELECTRIC\2023\TEC FORM 1\TEC TCJA FERC DISCLOSURE\FORM 1 DISCLOSURE\2023 TEC WORK FILE - TCJA DISCLOSURE.xlsx</t>
  </si>
  <si>
    <t>2023 BALANCES</t>
  </si>
  <si>
    <t>Exclude ITC and AFUDC</t>
  </si>
  <si>
    <t>RAN RPT 51040</t>
  </si>
  <si>
    <t>PROV CASE 390</t>
  </si>
  <si>
    <t>PROV CASE 397</t>
  </si>
  <si>
    <t>RAN EXCLUDING FLOW THROUGH</t>
  </si>
  <si>
    <t>BAL @ 2023</t>
  </si>
  <si>
    <t>BAL @ 2022</t>
  </si>
  <si>
    <t>AMORTIZATION</t>
  </si>
  <si>
    <t>RAN EXCLUDING NU</t>
  </si>
  <si>
    <t>PROTECTED</t>
  </si>
  <si>
    <t>ARAM</t>
  </si>
  <si>
    <t>UNPROTECTED - FEDERAL</t>
  </si>
  <si>
    <t>10 YEARS</t>
  </si>
  <si>
    <t>Balances By GL Account</t>
  </si>
  <si>
    <t>UNPROTECTED - STATE</t>
  </si>
  <si>
    <t>5 YEARS</t>
  </si>
  <si>
    <t xml:space="preserve">*  2023 Provision </t>
  </si>
  <si>
    <t>Tampa Electric</t>
  </si>
  <si>
    <t>UNPROTECTED - STATE - RATE REMEASUREMENT</t>
  </si>
  <si>
    <t>For the Months of: January - FAS 158 Adj</t>
  </si>
  <si>
    <t>Beg Balance For_x000D_
January</t>
  </si>
  <si>
    <t>Activity For_x000D_
January - FAS 158 Adj</t>
  </si>
  <si>
    <t>YTD Ending_x000D_
FAS 158 Adj</t>
  </si>
  <si>
    <t>End Balance For_x000D_
FAS 158 Adj</t>
  </si>
  <si>
    <t>M Description</t>
  </si>
  <si>
    <t>From Company</t>
  </si>
  <si>
    <t>2820610 DIT Other Prop - FAS109</t>
  </si>
  <si>
    <t>Agrees to Rpt 51052</t>
  </si>
  <si>
    <t>PROTECTED CY 2023 ACTIVITY</t>
  </si>
  <si>
    <t>PowerTax Subledger DIT</t>
  </si>
  <si>
    <t>Prior Period TU</t>
  </si>
  <si>
    <t>NOL</t>
  </si>
  <si>
    <t>DEF SEP CO - EMERA FED NOL-PROTECTED</t>
  </si>
  <si>
    <t>UNPROTECTED - FD CY 2023 ACTIVITY</t>
  </si>
  <si>
    <t>T500</t>
  </si>
  <si>
    <t>DEPRECIATION - BOOK</t>
  </si>
  <si>
    <t>UNPROTECTED - ST CY 2023 ACTIVITY</t>
  </si>
  <si>
    <t>T502</t>
  </si>
  <si>
    <t>DEPRECIATION - BOOK TAX DIFF FED</t>
  </si>
  <si>
    <t>T503</t>
  </si>
  <si>
    <t>DEPRECIATION - BOOK TAX DIFF STATE</t>
  </si>
  <si>
    <t>DIFF</t>
  </si>
  <si>
    <t>T560</t>
  </si>
  <si>
    <t>CIAC</t>
  </si>
  <si>
    <t>Total For 2820610 DIT Other Prop - FAS109:</t>
  </si>
  <si>
    <t>Total For PowerTax Subledger DIT:</t>
  </si>
  <si>
    <t>Total For Tampa Electric:</t>
  </si>
  <si>
    <t>Per Reconciliation ---&gt;&gt;  12+0 for Dec Closeout Provision Input schedule</t>
  </si>
  <si>
    <t>Rpt # Tax Accrual - 51040</t>
  </si>
  <si>
    <t>2019 RTP Excess adjust error between Protected &amp; Unprotected</t>
  </si>
  <si>
    <t>beg bal agrees to 2022 end bal</t>
  </si>
  <si>
    <t>Corrected balance</t>
  </si>
  <si>
    <t>2023 Current Activity</t>
  </si>
  <si>
    <t>2022 RTP - PY TU</t>
  </si>
  <si>
    <t>Total Current + TU</t>
  </si>
  <si>
    <t>PROTECTED EXCESS DIT</t>
  </si>
  <si>
    <t>UNPROTECTED EXCESS DIT</t>
  </si>
  <si>
    <t>UNPROTECTED EXCESS DIT-State</t>
  </si>
  <si>
    <t>TIES TO PTAX RPT 260</t>
  </si>
  <si>
    <t>N</t>
  </si>
  <si>
    <t>190 FL RATE CHG 2019-2021 5.5% offset</t>
  </si>
  <si>
    <t>190 FL RATE CHG 2019-2021 Exp to Reg Liab</t>
  </si>
  <si>
    <t>281 FL RATE CHG 2019-2021 4.458%</t>
  </si>
  <si>
    <t>281 FL RATE CHG 2019-2021 5.5% offset</t>
  </si>
  <si>
    <t xml:space="preserve">281 FL RATE CHG 2019-2021 Exp to Reg Liab </t>
  </si>
  <si>
    <t>281 FL RATE CHG 2021 3.535%</t>
  </si>
  <si>
    <t xml:space="preserve">282 FL RATE CHG 2019-2021 4.458% </t>
  </si>
  <si>
    <t>282 FL RATE CHG 2019-2021 5.5% offset</t>
  </si>
  <si>
    <t>282 FL RATE CHG 2019-2021 Exp to Reg Liab</t>
  </si>
  <si>
    <t>283 FL RATE CHG 2019-2021 5.5% offset</t>
  </si>
  <si>
    <t xml:space="preserve">283 FL RATE CHG 2019-2021 Exp to Reg Liab </t>
  </si>
  <si>
    <t>283 FL RATE CHG 2021 3.535%</t>
  </si>
  <si>
    <t>AMORTIZATION STATE</t>
  </si>
  <si>
    <t>DEF SEP CO - FED NOL - UNPROTECTED</t>
  </si>
  <si>
    <t>DEF SEP CO - FL NOL - UNPROTECTED</t>
  </si>
  <si>
    <t xml:space="preserve">FAS 106 FAS 158 </t>
  </si>
  <si>
    <t>FAS 106 FAS 158 - C</t>
  </si>
  <si>
    <t>FAS 106 FAS 158 - C 283</t>
  </si>
  <si>
    <t>FAS 106 FAS 158 - NC</t>
  </si>
  <si>
    <t>FAS 106 FAS 158 - NC 283</t>
  </si>
  <si>
    <t>OCI FAS 133 - C</t>
  </si>
  <si>
    <t>OCI FAS 133 - C 283</t>
  </si>
  <si>
    <t>OCI FAS 133 - NC</t>
  </si>
  <si>
    <t>OCI FAS 133 - NC 283</t>
  </si>
  <si>
    <t>OCI FAS 133 INTEREST - NC</t>
  </si>
  <si>
    <t>PENSION FAS 158</t>
  </si>
  <si>
    <t>PENSION FAS 158 - NC</t>
  </si>
  <si>
    <t>PENSION FAS 158 - NC 283</t>
  </si>
  <si>
    <t>RESTORATION PLAN FAS 158 - NC</t>
  </si>
  <si>
    <t>RESTORATION PLAN FAS 158 - NC 283</t>
  </si>
  <si>
    <t>SERP FAS 158</t>
  </si>
  <si>
    <t>SERP FAS 158 - C</t>
  </si>
  <si>
    <t>SERP FAS 158 - C 283</t>
  </si>
  <si>
    <t>SERP FAS 158 - NC</t>
  </si>
  <si>
    <t>SERP FAS 158 - NC 283</t>
  </si>
  <si>
    <t>T100</t>
  </si>
  <si>
    <t>401K - PERFORMANCE MATCH</t>
  </si>
  <si>
    <t>T105</t>
  </si>
  <si>
    <t>ACCRUED BONUS</t>
  </si>
  <si>
    <t>T110</t>
  </si>
  <si>
    <t xml:space="preserve">DEFERRED COMP </t>
  </si>
  <si>
    <t>T115</t>
  </si>
  <si>
    <t>FAS 106 - NC</t>
  </si>
  <si>
    <t>T120</t>
  </si>
  <si>
    <t>FAS 112</t>
  </si>
  <si>
    <t>T122</t>
  </si>
  <si>
    <t>LONG TERM INCENTIVE</t>
  </si>
  <si>
    <t>T125</t>
  </si>
  <si>
    <t>PENSION - NC</t>
  </si>
  <si>
    <t>T128</t>
  </si>
  <si>
    <t>RESTORATION PLAN</t>
  </si>
  <si>
    <t>T140</t>
  </si>
  <si>
    <t>SERP - NC</t>
  </si>
  <si>
    <t>T150</t>
  </si>
  <si>
    <t>VACATION ACCRUAL</t>
  </si>
  <si>
    <t>T201</t>
  </si>
  <si>
    <t>AMORT - SECTION 174</t>
  </si>
  <si>
    <t>T205</t>
  </si>
  <si>
    <t>AMORT - BOND DISCOUNT</t>
  </si>
  <si>
    <t>T210</t>
  </si>
  <si>
    <t>AMORT - BOND ISSUE COSTS</t>
  </si>
  <si>
    <t>T215</t>
  </si>
  <si>
    <t>AMORT - BOND PREMIUM</t>
  </si>
  <si>
    <t>T216</t>
  </si>
  <si>
    <t>AMORT - BOND PUT OPTION</t>
  </si>
  <si>
    <t>T225</t>
  </si>
  <si>
    <t>AMORT - FRANCHISE FEE</t>
  </si>
  <si>
    <t>T255</t>
  </si>
  <si>
    <t>BAD DEBT</t>
  </si>
  <si>
    <t>T267</t>
  </si>
  <si>
    <t>DEDUCTIBLE CONTRIBUTION</t>
  </si>
  <si>
    <t>T270</t>
  </si>
  <si>
    <t>DEFERRED FUEL</t>
  </si>
  <si>
    <t>T280</t>
  </si>
  <si>
    <t>DEFERRED LEASE - NC</t>
  </si>
  <si>
    <t>T282</t>
  </si>
  <si>
    <t>LEASE - ROU ASSET - OPER</t>
  </si>
  <si>
    <t>T283</t>
  </si>
  <si>
    <t>LEASE LIABILITY - OPER</t>
  </si>
  <si>
    <t>T285</t>
  </si>
  <si>
    <t>DEFERRED REVENUE</t>
  </si>
  <si>
    <t>T290</t>
  </si>
  <si>
    <t>DREDGING</t>
  </si>
  <si>
    <t>T300</t>
  </si>
  <si>
    <t>EMISSION ALLOWANCES</t>
  </si>
  <si>
    <t>T320</t>
  </si>
  <si>
    <t>FIBER OPTIC</t>
  </si>
  <si>
    <t>T330</t>
  </si>
  <si>
    <t>INSURANCE RESERVE - NC</t>
  </si>
  <si>
    <t>T331</t>
  </si>
  <si>
    <t>INSURANCE RESERVE - C</t>
  </si>
  <si>
    <t>T345</t>
  </si>
  <si>
    <t>LEGAL EXPENSES</t>
  </si>
  <si>
    <t>T350</t>
  </si>
  <si>
    <t>LOSS FROM GRANTOR TRUST</t>
  </si>
  <si>
    <t>T375</t>
  </si>
  <si>
    <t>RATE CASE EXPENSE - NC</t>
  </si>
  <si>
    <t>T380</t>
  </si>
  <si>
    <t>RATE REFUND</t>
  </si>
  <si>
    <t>T404</t>
  </si>
  <si>
    <t>STORM PROTECTION CLAUSE</t>
  </si>
  <si>
    <t>T410</t>
  </si>
  <si>
    <t>UNBILLED CONSERVATION REV</t>
  </si>
  <si>
    <t>T415</t>
  </si>
  <si>
    <t>UNBILLED ENVIRONMENTAL REV</t>
  </si>
  <si>
    <t>T420</t>
  </si>
  <si>
    <t>UNBILLED REVENUE/FUEL</t>
  </si>
  <si>
    <t>T435</t>
  </si>
  <si>
    <t>DEFERRED INTEREST - BONDS</t>
  </si>
  <si>
    <t>T504</t>
  </si>
  <si>
    <t>AMORTIZATION FED</t>
  </si>
  <si>
    <t>T562</t>
  </si>
  <si>
    <t>CETM - CLEAN ENERGY TRANS MECH</t>
  </si>
  <si>
    <t>T565</t>
  </si>
  <si>
    <t>COST OF REMOVAL</t>
  </si>
  <si>
    <t>T570</t>
  </si>
  <si>
    <t>DISMANTLEMENT COSTS</t>
  </si>
  <si>
    <t>T575</t>
  </si>
  <si>
    <t>G/L - SALE OF ASSETS</t>
  </si>
  <si>
    <t>T580</t>
  </si>
  <si>
    <t>REPAIRS CAPITALIZED ON BOOKS</t>
  </si>
  <si>
    <t>T590</t>
  </si>
  <si>
    <t>SEC 263A INTEREST CAP</t>
  </si>
  <si>
    <t>T591</t>
  </si>
  <si>
    <t>SEC 263A INDIRECT COSTS</t>
  </si>
  <si>
    <t>z</t>
  </si>
  <si>
    <t>z MISCELLANEOUS - DO NOT USE</t>
  </si>
  <si>
    <t>NON-UTILITY Deferred Lease</t>
  </si>
  <si>
    <t>OCI Interest</t>
  </si>
  <si>
    <t>ITC</t>
  </si>
  <si>
    <t>AFUDC</t>
  </si>
  <si>
    <t>All Accounts</t>
  </si>
  <si>
    <t>2024 Budget TEC RC v2</t>
  </si>
  <si>
    <t>For the Months of: January - Q4 Unitary Adj</t>
  </si>
  <si>
    <t>Activity For_x000D_
January - Q4 Unitary Adj</t>
  </si>
  <si>
    <t>YTD Ending_x000D_
Q4 Unitary Adj</t>
  </si>
  <si>
    <t>End Balance For_x000D_
Q4 Unitary Adj</t>
  </si>
  <si>
    <t>2025 Budget TEC RC - 02.11.24</t>
  </si>
  <si>
    <t>For the Months of: January - Q4 AETR</t>
  </si>
  <si>
    <t>Activity For_x000D_
January - Q4 AETR</t>
  </si>
  <si>
    <t>YTD Ending_x000D_
Q4 AETR</t>
  </si>
  <si>
    <t>End Balance For_x000D_
Q4 AETR</t>
  </si>
  <si>
    <t>Jurisdiction :</t>
  </si>
  <si>
    <t>Federal</t>
  </si>
  <si>
    <t>Timing Diff Activity</t>
  </si>
  <si>
    <t>DFIT Activity</t>
  </si>
  <si>
    <t>FAS109 Activity</t>
  </si>
  <si>
    <t>FT Activity</t>
  </si>
  <si>
    <t>Excess Activity</t>
  </si>
  <si>
    <t>Tax Year :</t>
  </si>
  <si>
    <t>FL OPS MASTER CASE</t>
  </si>
  <si>
    <t>PowerTax Deferred Tax Summary Report</t>
  </si>
  <si>
    <t>Grouped By: Total Tax Classes</t>
  </si>
  <si>
    <t>COR Reserve</t>
  </si>
  <si>
    <t>Fed Method/Life</t>
  </si>
  <si>
    <t>Federal Amortization</t>
  </si>
  <si>
    <t>Total Tax Classes</t>
  </si>
  <si>
    <t>Amortization Type Depreciation Difference Totals:</t>
  </si>
  <si>
    <t>CT Tax Exp CPI Reversal Book 1</t>
  </si>
  <si>
    <t>Fed AFUDC DEBT</t>
  </si>
  <si>
    <t>Fed AFUDC EQUITY FT</t>
  </si>
  <si>
    <t>Fed ANTI-CHURNING</t>
  </si>
  <si>
    <t>Fed BOOK ONLY</t>
  </si>
  <si>
    <t>Fed BOOK ONLY FED</t>
  </si>
  <si>
    <t>Fed BOOK ONLY NO DIT FED FT</t>
  </si>
  <si>
    <t>Fed FAS106-BOOK</t>
  </si>
  <si>
    <t>Fed FAS112-BOOK</t>
  </si>
  <si>
    <t>Fed HANDICAP FACILITIES</t>
  </si>
  <si>
    <t>Fed PENSIONS</t>
  </si>
  <si>
    <t>Fed RECONCILE DIFF FED</t>
  </si>
  <si>
    <t>Fed Repair 481A Adds</t>
  </si>
  <si>
    <t>Fed Repair 481A Adds Stat Sample</t>
  </si>
  <si>
    <t>Fed Repair 481A Ret Stat Sample</t>
  </si>
  <si>
    <t>Fed REPAIR ALLOWANCE</t>
  </si>
  <si>
    <t>Fed STORM</t>
  </si>
  <si>
    <t>Fed Tax Expensing</t>
  </si>
  <si>
    <t>Amortization Type Book Overhead Totals:</t>
  </si>
  <si>
    <t>Fed ADMIN &amp; GEN CAPITALIZED</t>
  </si>
  <si>
    <t xml:space="preserve">Fed AMORT ACQUISITION ADJUSTMENT - </t>
  </si>
  <si>
    <t>Fed CAP BOOK DEPR</t>
  </si>
  <si>
    <t>Fed CAP DEPR - FED</t>
  </si>
  <si>
    <t>Fed CAPT INTEREST FOR TAX (CPI)</t>
  </si>
  <si>
    <t>Fed CIAC</t>
  </si>
  <si>
    <t>Fed COR/Dismantlement Capitalized f</t>
  </si>
  <si>
    <t>Fed FAS106-TAX</t>
  </si>
  <si>
    <t>Fed ITC SOLAR FT</t>
  </si>
  <si>
    <t>Fed PENSION-TAX</t>
  </si>
  <si>
    <t>Fed RECONCILE TAX DIFF</t>
  </si>
  <si>
    <t>Fed Repair 481A Adds Bonus Adjs</t>
  </si>
  <si>
    <t>Fed SOLAR ITC FT</t>
  </si>
  <si>
    <t>Fed TAX ADJUSTMENTS</t>
  </si>
  <si>
    <t>Fed TAX BASIS ADJ - SPECIFIC RETIRE</t>
  </si>
  <si>
    <t>Fed Tax Expensing CPI Reversal</t>
  </si>
  <si>
    <t>Fed TAX ONLY</t>
  </si>
  <si>
    <t>Fed TAX ONLY FED</t>
  </si>
  <si>
    <t>Fed VACATION</t>
  </si>
  <si>
    <t>Amortization Type Tax Overhead Totals:</t>
  </si>
  <si>
    <t>Jurisdiction Totals:</t>
  </si>
  <si>
    <t>Company Totals:</t>
  </si>
  <si>
    <t>01/06/2024 at 3:29 am</t>
  </si>
  <si>
    <t>PwrTax - 260</t>
  </si>
  <si>
    <t>Grand Totals:</t>
  </si>
  <si>
    <t>TEC RATE CASE 2024-2025</t>
  </si>
  <si>
    <t>02/03/2024 at 1:06 am</t>
  </si>
  <si>
    <t>02/04/2024 at 5:08 pm</t>
  </si>
  <si>
    <t>TOTAL Deferred Taxes Balance Report</t>
  </si>
  <si>
    <t>Current Law</t>
  </si>
  <si>
    <t>Proposed Rate</t>
  </si>
  <si>
    <t>offset</t>
  </si>
  <si>
    <t>* 2017 Provision</t>
  </si>
  <si>
    <t>state</t>
  </si>
  <si>
    <t>fed</t>
  </si>
  <si>
    <t>ACROSS OPERATING INDICATORS</t>
  </si>
  <si>
    <t>st + offset</t>
  </si>
  <si>
    <t>Rate Change Beg Bal Trueup Through Rate Change YTD Trueup</t>
  </si>
  <si>
    <t>fed stat.</t>
  </si>
  <si>
    <t>Schedule M Items</t>
  </si>
  <si>
    <t>Deferred Taxes</t>
  </si>
  <si>
    <t>Net Fed &amp; State</t>
  </si>
  <si>
    <t>Norm Gross Up</t>
  </si>
  <si>
    <t>gross timing 12/31/2017</t>
  </si>
  <si>
    <t>life to date reclass for plant and true ups</t>
  </si>
  <si>
    <t>at 38.575</t>
  </si>
  <si>
    <t>current year 2017 at lower rate</t>
  </si>
  <si>
    <t>col D at old rate</t>
  </si>
  <si>
    <t>beg bal at lower rate</t>
  </si>
  <si>
    <t>M Item</t>
  </si>
  <si>
    <t>"Beginning _x000D_
Balance"</t>
  </si>
  <si>
    <t>"Current_x000D_
Activity"</t>
  </si>
  <si>
    <t>"True-Up_x000D_
Activity"</t>
  </si>
  <si>
    <t>"Adjustment_x000D_
Activity"</t>
  </si>
  <si>
    <t>Gross Timing Difference</t>
  </si>
  <si>
    <t>"DIT Beginning _x000D_
Balance"</t>
  </si>
  <si>
    <t>Reclass</t>
  </si>
  <si>
    <t>After Tax Deferred Tax Liability</t>
  </si>
  <si>
    <t>Rate</t>
  </si>
  <si>
    <t>Normalization</t>
  </si>
  <si>
    <t>Excess DTL</t>
  </si>
  <si>
    <t>Original Grossup</t>
  </si>
  <si>
    <t>True-Up Activity Grossup</t>
  </si>
  <si>
    <t>Total Grossup</t>
  </si>
  <si>
    <t>ACC DEF ITC 10% - 1975 - GT</t>
  </si>
  <si>
    <t>ACC DEF ITC 10% - 1980</t>
  </si>
  <si>
    <t>ACC DEF ITC 10% - 1981 - NU</t>
  </si>
  <si>
    <t>ACC DEF ITC 10% - 1982</t>
  </si>
  <si>
    <t>ACC DEF ITC 10% - 1982 - NU</t>
  </si>
  <si>
    <t>ACC DEF ITC 10% - 1984</t>
  </si>
  <si>
    <t>ACC DEF ITC 10% - 1984 - GT</t>
  </si>
  <si>
    <t>ACC DEF ITC 10% - 1985 - GT</t>
  </si>
  <si>
    <t>ACC DEF ITC 10% - 1986</t>
  </si>
  <si>
    <t>ACC DEF ITC 10% - 1986 - GT</t>
  </si>
  <si>
    <t>ACC DEF ITC 10% - 1987</t>
  </si>
  <si>
    <t>ACC DEF ITC 10% - 1988</t>
  </si>
  <si>
    <t>ACC DEF ITC 10% - 1989</t>
  </si>
  <si>
    <t>ACC DEF ITC 10% - 1990</t>
  </si>
  <si>
    <t>ACC DEF ITC 30% - 2015 - SOLAR</t>
  </si>
  <si>
    <t xml:space="preserve">ACC DEF ITC 30% - 2016 - SOLAR </t>
  </si>
  <si>
    <t xml:space="preserve">ACC DEF ITC 30% - 2017- SOLAR </t>
  </si>
  <si>
    <t>ACC DEF ITC 8% - 1983</t>
  </si>
  <si>
    <t>ACC DEF ITC 8% - 1983 - GT</t>
  </si>
  <si>
    <t>ACC DEF ITC 8% - 1984</t>
  </si>
  <si>
    <t>ACC DEF ITC 8% - 1985</t>
  </si>
  <si>
    <t>ACC DEF ITC BB4 10% - 1981</t>
  </si>
  <si>
    <t>ACC DEF ITC BB4 10% - 1982</t>
  </si>
  <si>
    <t>ACC DEF ITC BB4 10% - 1984</t>
  </si>
  <si>
    <t>ACC DEF ITC BB4 10% - 1986</t>
  </si>
  <si>
    <t>ACC DEF ITC BB4 10% - 1987</t>
  </si>
  <si>
    <t>ACC DEF ITC BB4 8% - 1983</t>
  </si>
  <si>
    <t>Total ITC</t>
  </si>
  <si>
    <t>ACC DEF ITC BB4 8% - 1984</t>
  </si>
  <si>
    <t>ACC DEF ITC BB4 8% - 1985</t>
  </si>
  <si>
    <t>AFUDC EQUITY</t>
  </si>
  <si>
    <t>AFUDC EQUITY - DEPR</t>
  </si>
  <si>
    <t>Code Sec 169 Unprotected</t>
  </si>
  <si>
    <t xml:space="preserve">CURRENCY ADJ - UNREAL G/L </t>
  </si>
  <si>
    <t xml:space="preserve">DEF SEP CO - EMERA FED NOL </t>
  </si>
  <si>
    <t>DEF SEP CO - FL NOL</t>
  </si>
  <si>
    <t>GENERAL BUSINESS CREDIT</t>
  </si>
  <si>
    <t>ITC 30% - SOLAR</t>
  </si>
  <si>
    <t>SOLAR ITC</t>
  </si>
  <si>
    <t>REG ASSET MED D -FAS109 ACCT</t>
  </si>
  <si>
    <t>Rpt # Tax Accrual - 51051</t>
  </si>
  <si>
    <t>Unamortized Balance</t>
  </si>
  <si>
    <t>Excludes Gross Up</t>
  </si>
  <si>
    <t>acct 2820610 and 1900610</t>
  </si>
  <si>
    <t>Difference</t>
  </si>
  <si>
    <t>Annual Activity</t>
  </si>
  <si>
    <t xml:space="preserve"> </t>
  </si>
  <si>
    <t>Account 1900305</t>
  </si>
  <si>
    <t>Account 1900307</t>
  </si>
  <si>
    <t xml:space="preserve">Total </t>
  </si>
  <si>
    <t xml:space="preserve">ITC  </t>
  </si>
  <si>
    <t>diff- currency g/l adj pass acct</t>
  </si>
  <si>
    <t>Original</t>
  </si>
  <si>
    <t>Original Includes Deferred Lease Non Utility</t>
  </si>
  <si>
    <t>Row Labels</t>
  </si>
  <si>
    <t>Sum of Excess DTL</t>
  </si>
  <si>
    <t>Sum of Activity For_x000D_
Rate Change Beg Bal Trueup - Rate Change YTD Trueup</t>
  </si>
  <si>
    <t>Grand Total</t>
  </si>
  <si>
    <t>Protected Amort</t>
  </si>
  <si>
    <t>Unprotected Amort</t>
  </si>
  <si>
    <t>Revised</t>
  </si>
  <si>
    <t>Sum of "True-Up_x000D_
Activity"2</t>
  </si>
  <si>
    <t>Sum of Total Grossup</t>
  </si>
  <si>
    <t>Revenue Requirement</t>
  </si>
  <si>
    <t>Summary</t>
  </si>
  <si>
    <t>Adjustment</t>
  </si>
  <si>
    <t xml:space="preserve">1/5 amortization </t>
  </si>
  <si>
    <t>grossed up</t>
  </si>
  <si>
    <t>*   2021 Provision ALL US</t>
  </si>
  <si>
    <t>FL Def Tax Adj #1</t>
  </si>
  <si>
    <t>FL Def Tax Adj #2</t>
  </si>
  <si>
    <t>FL Def Tax Adj JE's</t>
  </si>
  <si>
    <t>"Ending _x000D_
Balance"</t>
  </si>
  <si>
    <t>Total 2021 Adjust / TU</t>
  </si>
  <si>
    <t>1900300 DTA - Federal</t>
  </si>
  <si>
    <t xml:space="preserve">190 FL RATE CHG 2019-2021 4.458% </t>
  </si>
  <si>
    <t>190 FL RATE CHG 2021 3.535%</t>
  </si>
  <si>
    <t>Total For 1900300 DTA - Federal:</t>
  </si>
  <si>
    <t>2830300 DTL - Federal</t>
  </si>
  <si>
    <t>1900400 DTA - State</t>
  </si>
  <si>
    <t>Total For 2830300 DTL - Federal:</t>
  </si>
  <si>
    <t>2830400 DTL - State</t>
  </si>
  <si>
    <t>Total For 1900400 DTA - State:</t>
  </si>
  <si>
    <t>2810300 DIT Federal Accelerated Amo</t>
  </si>
  <si>
    <t>Total For 2830400 DTL - State:</t>
  </si>
  <si>
    <t>2830610 DTL - FAS109 - Other</t>
  </si>
  <si>
    <t>Total For 2810300 DIT Federal Accelerated Amo:</t>
  </si>
  <si>
    <t>Total For 2830610 DTL - FAS109 - Other:</t>
  </si>
  <si>
    <t>2810400 DIT State Accelerated Amort</t>
  </si>
  <si>
    <t>Total For 2810400 DIT State Accelerated Amort:</t>
  </si>
  <si>
    <t>2820300 DIT Other Prop - Fed</t>
  </si>
  <si>
    <t>282 FL RATE CHG 2021 3.535%</t>
  </si>
  <si>
    <t>Total For 2820300 DIT Other Prop - Fed:</t>
  </si>
  <si>
    <t>2820400 DIT Other Prop - St</t>
  </si>
  <si>
    <t>Total For 2820400 DIT Other Prop - St:</t>
  </si>
  <si>
    <t>283 FL RATE CHG 2019-2021 4.458%</t>
  </si>
  <si>
    <t>Deficient state  deferrred taxes 12/31/2021</t>
  </si>
  <si>
    <t>Acc 2820610</t>
  </si>
  <si>
    <t>To record initial impact</t>
  </si>
  <si>
    <t>Dr</t>
  </si>
  <si>
    <t>Cr</t>
  </si>
  <si>
    <t>2025 End Bal</t>
  </si>
  <si>
    <t>2026 End Bal</t>
  </si>
  <si>
    <t>2027 End Bal</t>
  </si>
  <si>
    <t>2028 End Bal</t>
  </si>
  <si>
    <t>2029 End Bal</t>
  </si>
  <si>
    <t>DTL (acct 2820610)</t>
  </si>
  <si>
    <t>DTL 2830610 Gross Up</t>
  </si>
  <si>
    <t xml:space="preserve"> Reg tax liabilities acct 2540610</t>
  </si>
  <si>
    <t>To amortize deficient state DIT over 5 years</t>
  </si>
  <si>
    <t>Monthly</t>
  </si>
  <si>
    <t xml:space="preserve"> State Deferred income tax exp 8010410</t>
  </si>
  <si>
    <t xml:space="preserve">  DTL 283 Gross Up</t>
  </si>
  <si>
    <t>5 years</t>
  </si>
  <si>
    <t>20 years</t>
  </si>
  <si>
    <t>diff higher rev req</t>
  </si>
  <si>
    <t>addl tax expense in 2025</t>
  </si>
  <si>
    <t>Beg Balance</t>
  </si>
  <si>
    <t>January</t>
  </si>
  <si>
    <t>February</t>
  </si>
  <si>
    <t>March</t>
  </si>
  <si>
    <t>Q1 AETR</t>
  </si>
  <si>
    <t>April</t>
  </si>
  <si>
    <t>May</t>
  </si>
  <si>
    <t>June</t>
  </si>
  <si>
    <t>Q2 AETR</t>
  </si>
  <si>
    <t>June TEC change</t>
  </si>
  <si>
    <t>July</t>
  </si>
  <si>
    <t>August</t>
  </si>
  <si>
    <t>September</t>
  </si>
  <si>
    <t>Q3 AETR</t>
  </si>
  <si>
    <t>Sept TEC Change</t>
  </si>
  <si>
    <t>Sept TEC Reopen</t>
  </si>
  <si>
    <t>October</t>
  </si>
  <si>
    <t>2022 RTP Adj</t>
  </si>
  <si>
    <t>November</t>
  </si>
  <si>
    <t>December</t>
  </si>
  <si>
    <t>Q4 AETR</t>
  </si>
  <si>
    <t>FAS 158 Adj</t>
  </si>
  <si>
    <t>End Balance</t>
  </si>
  <si>
    <t>Deferred Tax Rollforward by Month - Report #51052</t>
  </si>
  <si>
    <t>All January Through Return to Provision Activity</t>
  </si>
  <si>
    <t>========================================</t>
  </si>
  <si>
    <t xml:space="preserve">   N 190 FL RATE CHG 2019-2021 5.5% offset</t>
  </si>
  <si>
    <t xml:space="preserve">   N 190 FL RATE CHG 2019-2021 Exp to Reg Liab</t>
  </si>
  <si>
    <t xml:space="preserve">   N 281 FL RATE CHG 2019-2021 4.458%</t>
  </si>
  <si>
    <t xml:space="preserve">   N 281 FL RATE CHG 2019-2021 5.5% offset</t>
  </si>
  <si>
    <t xml:space="preserve">   N 281 FL RATE CHG 2019-2021 Exp to Reg Liab </t>
  </si>
  <si>
    <t xml:space="preserve">   N 281 FL RATE CHG 2021 3.535%</t>
  </si>
  <si>
    <t xml:space="preserve">   N 282 FL RATE CHG 2019-2021 4.458% </t>
  </si>
  <si>
    <t>Unprotected - ST</t>
  </si>
  <si>
    <t xml:space="preserve">   N 282 FL RATE CHG 2019-2021 5.5% offset</t>
  </si>
  <si>
    <t xml:space="preserve">   N 282 FL RATE CHG 2019-2021 Exp to Reg Liab</t>
  </si>
  <si>
    <t xml:space="preserve">   N 283 FL RATE CHG 2019-2021 5.5% offset</t>
  </si>
  <si>
    <t xml:space="preserve">   N 283 FL RATE CHG 2019-2021 Exp to Reg Liab </t>
  </si>
  <si>
    <t xml:space="preserve">   N 283 FL RATE CHG 2021 3.535%</t>
  </si>
  <si>
    <t xml:space="preserve">   N AMORTIZATION STATE</t>
  </si>
  <si>
    <t xml:space="preserve">   N DEF SEP CO - FED NOL - UNPROTECTED</t>
  </si>
  <si>
    <t xml:space="preserve">   N DEF SEP CO - FL NOL - UNPROTECTED</t>
  </si>
  <si>
    <t xml:space="preserve">   N FAS 106 FAS 158 </t>
  </si>
  <si>
    <t xml:space="preserve">   N FAS 106 FAS 158 - C</t>
  </si>
  <si>
    <t xml:space="preserve">   N FAS 106 FAS 158 - C 283</t>
  </si>
  <si>
    <t xml:space="preserve">   N FAS 106 FAS 158 - NC</t>
  </si>
  <si>
    <t xml:space="preserve">   N FAS 106 FAS 158 - NC 283</t>
  </si>
  <si>
    <t xml:space="preserve">   N OCI FAS 133 - C</t>
  </si>
  <si>
    <t xml:space="preserve">   N OCI FAS 133 - C 283</t>
  </si>
  <si>
    <t xml:space="preserve">   N OCI FAS 133 - NC</t>
  </si>
  <si>
    <t xml:space="preserve">   N OCI FAS 133 - NC 283</t>
  </si>
  <si>
    <t xml:space="preserve">   N OCI FAS 133 INTEREST - NC</t>
  </si>
  <si>
    <t xml:space="preserve">   N PENSION FAS 158</t>
  </si>
  <si>
    <t xml:space="preserve">   N PENSION FAS 158 - NC</t>
  </si>
  <si>
    <t xml:space="preserve">   N PENSION FAS 158 - NC 283</t>
  </si>
  <si>
    <t xml:space="preserve">   N RESTORATION PLAN FAS 158 - NC</t>
  </si>
  <si>
    <t xml:space="preserve">   N RESTORATION PLAN FAS 158 - NC 283</t>
  </si>
  <si>
    <t xml:space="preserve">   N SERP FAS 158</t>
  </si>
  <si>
    <t xml:space="preserve">   N SERP FAS 158 - C</t>
  </si>
  <si>
    <t xml:space="preserve">   N SERP FAS 158 - C 283</t>
  </si>
  <si>
    <t xml:space="preserve">   N SERP FAS 158 - NC</t>
  </si>
  <si>
    <t xml:space="preserve">   N SERP FAS 158 - NC 283</t>
  </si>
  <si>
    <t xml:space="preserve">   NOL DEF SEP CO - EMERA FED NOL-PROTECTED</t>
  </si>
  <si>
    <t xml:space="preserve">   T100 401K - PERFORMANCE MATCH</t>
  </si>
  <si>
    <t xml:space="preserve">   T105 ACCRUED BONUS</t>
  </si>
  <si>
    <t xml:space="preserve">   T110 DEFERRED COMP </t>
  </si>
  <si>
    <t xml:space="preserve">   T115 FAS 106 - NC</t>
  </si>
  <si>
    <t xml:space="preserve">   T120 FAS 112</t>
  </si>
  <si>
    <t xml:space="preserve">   T122 LONG TERM INCENTIVE</t>
  </si>
  <si>
    <t xml:space="preserve">   T125 PENSION - NC</t>
  </si>
  <si>
    <t xml:space="preserve">   T128 RESTORATION PLAN</t>
  </si>
  <si>
    <t xml:space="preserve">   T140 SERP - NC</t>
  </si>
  <si>
    <t xml:space="preserve">   T150 VACATION ACCRUAL</t>
  </si>
  <si>
    <t xml:space="preserve">   T201 AMORT - SECTION 174</t>
  </si>
  <si>
    <t xml:space="preserve">   T205 AMORT - BOND DISCOUNT</t>
  </si>
  <si>
    <t xml:space="preserve">   T210 AMORT - BOND ISSUE COSTS</t>
  </si>
  <si>
    <t xml:space="preserve">   T215 AMORT - BOND PREMIUM</t>
  </si>
  <si>
    <t xml:space="preserve">   T216 AMORT - BOND PUT OPTION</t>
  </si>
  <si>
    <t xml:space="preserve">   T225 AMORT - FRANCHISE FEE</t>
  </si>
  <si>
    <t xml:space="preserve">   T255 BAD DEBT</t>
  </si>
  <si>
    <t xml:space="preserve">   T267 DEDUCTIBLE CONTRIBUTION</t>
  </si>
  <si>
    <t xml:space="preserve">   T270 DEFERRED FUEL</t>
  </si>
  <si>
    <t xml:space="preserve">   T280 DEFERRED LEASE - NC</t>
  </si>
  <si>
    <t xml:space="preserve">   T282 LEASE - ROU ASSET - OPER</t>
  </si>
  <si>
    <t xml:space="preserve">   T283 LEASE LIABILITY - OPER</t>
  </si>
  <si>
    <t xml:space="preserve">   T285 DEFERRED REVENUE</t>
  </si>
  <si>
    <t xml:space="preserve">   T290 DREDGING</t>
  </si>
  <si>
    <t xml:space="preserve">   T300 EMISSION ALLOWANCES</t>
  </si>
  <si>
    <t xml:space="preserve">   T320 FIBER OPTIC</t>
  </si>
  <si>
    <t xml:space="preserve">   T330 INSURANCE RESERVE - NC</t>
  </si>
  <si>
    <t xml:space="preserve">   T331 INSURANCE RESERVE - C</t>
  </si>
  <si>
    <t xml:space="preserve">   T345 LEGAL EXPENSES</t>
  </si>
  <si>
    <t xml:space="preserve">   T350 LOSS FROM GRANTOR TRUST</t>
  </si>
  <si>
    <t xml:space="preserve">   T375 RATE CASE EXPENSE - NC</t>
  </si>
  <si>
    <t xml:space="preserve">   T380 RATE REFUND</t>
  </si>
  <si>
    <t xml:space="preserve">   T404 STORM PROTECTION CLAUSE</t>
  </si>
  <si>
    <t xml:space="preserve">   T410 UNBILLED CONSERVATION REV</t>
  </si>
  <si>
    <t xml:space="preserve">   T415 UNBILLED ENVIRONMENTAL REV</t>
  </si>
  <si>
    <t xml:space="preserve">   T420 UNBILLED REVENUE/FUEL</t>
  </si>
  <si>
    <t xml:space="preserve">   T422 UNBILLED STORM PROTECTION PLAN</t>
  </si>
  <si>
    <t xml:space="preserve">   T435 DEFERRED INTEREST - BONDS</t>
  </si>
  <si>
    <t xml:space="preserve">   T500 DEPRECIATION - BOOK</t>
  </si>
  <si>
    <t xml:space="preserve">   T502 DEPRECIATION - BOOK TAX DIFF FED</t>
  </si>
  <si>
    <t xml:space="preserve">   T503 DEPRECIATION - BOOK TAX DIFF STATE</t>
  </si>
  <si>
    <t xml:space="preserve">   T504 AMORTIZATION FED</t>
  </si>
  <si>
    <t xml:space="preserve">   T560 CIAC</t>
  </si>
  <si>
    <t xml:space="preserve">   T562 CETM - CLEAN ENERGY TRANS MECH</t>
  </si>
  <si>
    <t xml:space="preserve">   T565 COST OF REMOVAL</t>
  </si>
  <si>
    <t xml:space="preserve">   T570 DISMANTLEMENT COSTS</t>
  </si>
  <si>
    <t xml:space="preserve">   T575 G/L - SALE OF ASSETS</t>
  </si>
  <si>
    <t xml:space="preserve">   T580 REPAIRS CAPITALIZED ON BOOKS</t>
  </si>
  <si>
    <t xml:space="preserve">   T590 SEC 263A INTEREST CAP</t>
  </si>
  <si>
    <t xml:space="preserve">   T591 SEC 263A INDIRECT COSTS</t>
  </si>
  <si>
    <t xml:space="preserve">   z z MISCELLANEOUS - DO NOT USE</t>
  </si>
  <si>
    <t>Total 2820610 DIT Other Prop - FAS109</t>
  </si>
  <si>
    <t>02/13/2024 16:02:18:227</t>
  </si>
  <si>
    <t>Non-Utility Deferred Lease</t>
  </si>
  <si>
    <t>BEGINNING BALANCE</t>
  </si>
  <si>
    <t>02/13/2024 16:27:13:862</t>
  </si>
  <si>
    <t>02/13/2024 16:37:20:931</t>
  </si>
  <si>
    <t>DOCKET No. 20240026-EI</t>
  </si>
  <si>
    <t>Witness: V. Strickland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</si>
</sst>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"/>
    <numFmt numFmtId="166" formatCode="0.000000"/>
    <numFmt numFmtId="167" formatCode="_(* #,##0.00000_);_(* \(#,##0.00000\);_(* &quot;-&quot;??_);_(@_)"/>
    <numFmt numFmtId="168" formatCode="0.000%"/>
    <numFmt numFmtId="169" formatCode="_(* #,##0.00_);_(* \(#,##0.00\);_(* &quot;-&quot;_);_(@_)"/>
    <numFmt numFmtId="170" formatCode="_(* #,##0.0_);_(* \(#,##0.0\);_(* &quot;-&quot;??_);_(@_)"/>
    <numFmt numFmtId="171" formatCode="_(&quot;$&quot;* #,##0_);_(&quot;$&quot;* \(#,##0\);_(&quot;$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FF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i/>
      <sz val="11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B0F0"/>
      <name val="Arial"/>
      <family val="2"/>
    </font>
    <font>
      <b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E2C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DDDDFF"/>
        <bgColor indexed="64"/>
      </patternFill>
    </fill>
    <fill>
      <patternFill patternType="solid">
        <fgColor rgb="FF99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3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98">
    <xf numFmtId="0" fontId="0" fillId="0" borderId="0" xfId="0"/>
    <xf numFmtId="164" fontId="0" fillId="0" borderId="0" xfId="1" applyNumberFormat="1" applyFont="1"/>
    <xf numFmtId="6" fontId="0" fillId="0" borderId="0" xfId="0" applyNumberFormat="1"/>
    <xf numFmtId="164" fontId="2" fillId="2" borderId="1" xfId="1" applyNumberFormat="1" applyFont="1" applyFill="1" applyBorder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2" borderId="0" xfId="0" applyFill="1"/>
    <xf numFmtId="0" fontId="4" fillId="0" borderId="0" xfId="0" applyFont="1"/>
    <xf numFmtId="0" fontId="2" fillId="2" borderId="0" xfId="0" applyFont="1" applyFill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5" fillId="0" borderId="0" xfId="0" applyFont="1" applyAlignment="1">
      <alignment horizontal="center" wrapText="1"/>
    </xf>
    <xf numFmtId="8" fontId="0" fillId="0" borderId="0" xfId="0" applyNumberFormat="1"/>
    <xf numFmtId="167" fontId="0" fillId="0" borderId="0" xfId="1" applyNumberFormat="1" applyFont="1"/>
    <xf numFmtId="8" fontId="0" fillId="3" borderId="0" xfId="0" applyNumberFormat="1" applyFill="1"/>
    <xf numFmtId="43" fontId="0" fillId="0" borderId="0" xfId="1" applyFont="1"/>
    <xf numFmtId="8" fontId="0" fillId="4" borderId="0" xfId="0" applyNumberFormat="1" applyFill="1"/>
    <xf numFmtId="8" fontId="0" fillId="5" borderId="0" xfId="0" applyNumberFormat="1" applyFill="1"/>
    <xf numFmtId="8" fontId="0" fillId="2" borderId="0" xfId="0" applyNumberFormat="1" applyFill="1"/>
    <xf numFmtId="8" fontId="0" fillId="6" borderId="0" xfId="0" applyNumberFormat="1" applyFill="1"/>
    <xf numFmtId="8" fontId="0" fillId="0" borderId="0" xfId="1" applyNumberFormat="1" applyFont="1"/>
    <xf numFmtId="41" fontId="0" fillId="0" borderId="0" xfId="0" applyNumberFormat="1"/>
    <xf numFmtId="168" fontId="0" fillId="0" borderId="0" xfId="2" applyNumberFormat="1" applyFont="1"/>
    <xf numFmtId="169" fontId="0" fillId="0" borderId="0" xfId="0" applyNumberFormat="1"/>
    <xf numFmtId="43" fontId="0" fillId="0" borderId="0" xfId="0" applyNumberFormat="1"/>
    <xf numFmtId="8" fontId="0" fillId="0" borderId="2" xfId="0" applyNumberForma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2" fontId="0" fillId="0" borderId="0" xfId="0" applyNumberFormat="1"/>
    <xf numFmtId="43" fontId="2" fillId="0" borderId="3" xfId="1" applyFont="1" applyBorder="1"/>
    <xf numFmtId="8" fontId="2" fillId="0" borderId="0" xfId="0" applyNumberFormat="1" applyFont="1"/>
    <xf numFmtId="8" fontId="2" fillId="2" borderId="0" xfId="0" applyNumberFormat="1" applyFont="1" applyFill="1"/>
    <xf numFmtId="170" fontId="0" fillId="0" borderId="0" xfId="1" applyNumberFormat="1" applyFont="1"/>
    <xf numFmtId="6" fontId="2" fillId="0" borderId="0" xfId="0" applyNumberFormat="1" applyFont="1"/>
    <xf numFmtId="43" fontId="2" fillId="0" borderId="0" xfId="0" applyNumberFormat="1" applyFont="1"/>
    <xf numFmtId="8" fontId="0" fillId="0" borderId="4" xfId="0" applyNumberFormat="1" applyBorder="1"/>
    <xf numFmtId="170" fontId="0" fillId="0" borderId="0" xfId="0" applyNumberFormat="1"/>
    <xf numFmtId="0" fontId="6" fillId="0" borderId="0" xfId="0" applyFont="1"/>
    <xf numFmtId="0" fontId="6" fillId="0" borderId="0" xfId="0" applyFont="1" applyAlignment="1">
      <alignment horizontal="left"/>
    </xf>
    <xf numFmtId="43" fontId="0" fillId="0" borderId="0" xfId="1" applyFont="1" applyAlignment="1">
      <alignment horizontal="right"/>
    </xf>
    <xf numFmtId="0" fontId="2" fillId="7" borderId="0" xfId="0" applyFont="1" applyFill="1" applyAlignment="1">
      <alignment horizontal="center"/>
    </xf>
    <xf numFmtId="4" fontId="7" fillId="0" borderId="0" xfId="1" applyNumberFormat="1" applyFont="1"/>
    <xf numFmtId="0" fontId="0" fillId="7" borderId="0" xfId="0" applyFill="1"/>
    <xf numFmtId="4" fontId="7" fillId="7" borderId="0" xfId="1" applyNumberFormat="1" applyFont="1" applyFill="1"/>
    <xf numFmtId="43" fontId="0" fillId="7" borderId="0" xfId="1" applyFont="1" applyFill="1"/>
    <xf numFmtId="43" fontId="2" fillId="8" borderId="5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5" borderId="0" xfId="0" applyFill="1" applyAlignment="1">
      <alignment horizontal="center"/>
    </xf>
    <xf numFmtId="8" fontId="0" fillId="11" borderId="0" xfId="0" applyNumberFormat="1" applyFill="1"/>
    <xf numFmtId="8" fontId="0" fillId="11" borderId="2" xfId="0" applyNumberFormat="1" applyFill="1" applyBorder="1"/>
    <xf numFmtId="8" fontId="2" fillId="9" borderId="0" xfId="0" applyNumberFormat="1" applyFont="1" applyFill="1"/>
    <xf numFmtId="8" fontId="2" fillId="10" borderId="0" xfId="0" applyNumberFormat="1" applyFont="1" applyFill="1"/>
    <xf numFmtId="8" fontId="2" fillId="5" borderId="0" xfId="0" applyNumberFormat="1" applyFont="1" applyFill="1"/>
    <xf numFmtId="164" fontId="0" fillId="0" borderId="0" xfId="0" applyNumberFormat="1"/>
    <xf numFmtId="0" fontId="8" fillId="0" borderId="0" xfId="0" applyFont="1"/>
    <xf numFmtId="164" fontId="7" fillId="0" borderId="0" xfId="1" applyNumberFormat="1" applyFont="1" applyFill="1"/>
    <xf numFmtId="43" fontId="3" fillId="0" borderId="0" xfId="1" applyFont="1"/>
    <xf numFmtId="43" fontId="3" fillId="0" borderId="0" xfId="0" applyNumberFormat="1" applyFont="1"/>
    <xf numFmtId="164" fontId="2" fillId="0" borderId="3" xfId="0" applyNumberFormat="1" applyFont="1" applyBorder="1"/>
    <xf numFmtId="164" fontId="3" fillId="0" borderId="0" xfId="0" applyNumberFormat="1" applyFont="1"/>
    <xf numFmtId="164" fontId="2" fillId="0" borderId="0" xfId="0" applyNumberFormat="1" applyFont="1"/>
    <xf numFmtId="164" fontId="0" fillId="0" borderId="6" xfId="0" applyNumberFormat="1" applyBorder="1"/>
    <xf numFmtId="0" fontId="0" fillId="0" borderId="0" xfId="0" applyAlignment="1">
      <alignment horizontal="center" vertical="center" wrapText="1"/>
    </xf>
    <xf numFmtId="0" fontId="9" fillId="0" borderId="0" xfId="0" applyFont="1"/>
    <xf numFmtId="43" fontId="2" fillId="0" borderId="0" xfId="1" applyFont="1"/>
    <xf numFmtId="6" fontId="0" fillId="2" borderId="0" xfId="0" applyNumberFormat="1" applyFill="1"/>
    <xf numFmtId="14" fontId="0" fillId="0" borderId="0" xfId="0" applyNumberFormat="1"/>
    <xf numFmtId="21" fontId="0" fillId="0" borderId="0" xfId="0" applyNumberFormat="1"/>
    <xf numFmtId="164" fontId="0" fillId="0" borderId="0" xfId="1" applyNumberFormat="1" applyFont="1" applyFill="1"/>
    <xf numFmtId="6" fontId="0" fillId="12" borderId="0" xfId="0" applyNumberFormat="1" applyFill="1"/>
    <xf numFmtId="0" fontId="10" fillId="0" borderId="0" xfId="0" applyFont="1"/>
    <xf numFmtId="164" fontId="2" fillId="0" borderId="3" xfId="1" applyNumberFormat="1" applyFont="1" applyBorder="1"/>
    <xf numFmtId="164" fontId="4" fillId="0" borderId="0" xfId="1" applyNumberFormat="1" applyFont="1" applyFill="1"/>
    <xf numFmtId="16" fontId="2" fillId="0" borderId="0" xfId="0" quotePrefix="1" applyNumberFormat="1" applyFont="1"/>
    <xf numFmtId="164" fontId="2" fillId="0" borderId="0" xfId="1" applyNumberFormat="1" applyFont="1"/>
    <xf numFmtId="164" fontId="7" fillId="0" borderId="0" xfId="0" applyNumberFormat="1" applyFont="1"/>
    <xf numFmtId="0" fontId="14" fillId="0" borderId="0" xfId="4" applyFont="1" applyAlignment="1">
      <alignment horizontal="right" wrapText="1"/>
    </xf>
    <xf numFmtId="0" fontId="14" fillId="0" borderId="0" xfId="4" applyFont="1" applyAlignment="1">
      <alignment wrapText="1"/>
    </xf>
    <xf numFmtId="164" fontId="12" fillId="0" borderId="0" xfId="6" applyNumberFormat="1" applyFont="1" applyFill="1" applyBorder="1"/>
    <xf numFmtId="164" fontId="12" fillId="0" borderId="4" xfId="6" applyNumberFormat="1" applyFont="1" applyFill="1" applyBorder="1"/>
    <xf numFmtId="164" fontId="12" fillId="0" borderId="0" xfId="6" applyNumberFormat="1" applyFont="1" applyFill="1"/>
    <xf numFmtId="171" fontId="12" fillId="0" borderId="9" xfId="6" applyNumberFormat="1" applyFont="1" applyFill="1" applyBorder="1"/>
    <xf numFmtId="0" fontId="14" fillId="0" borderId="0" xfId="4" quotePrefix="1" applyFont="1" applyAlignment="1">
      <alignment horizontal="right" wrapText="1"/>
    </xf>
    <xf numFmtId="37" fontId="12" fillId="0" borderId="4" xfId="5" applyNumberFormat="1" applyFont="1" applyFill="1" applyBorder="1"/>
    <xf numFmtId="171" fontId="0" fillId="13" borderId="10" xfId="7" applyNumberFormat="1" applyFont="1" applyFill="1" applyBorder="1"/>
    <xf numFmtId="164" fontId="12" fillId="0" borderId="0" xfId="1" applyNumberFormat="1" applyFont="1" applyFill="1" applyBorder="1"/>
    <xf numFmtId="0" fontId="12" fillId="0" borderId="8" xfId="0" applyFont="1" applyBorder="1"/>
    <xf numFmtId="0" fontId="12" fillId="0" borderId="0" xfId="8" applyFont="1"/>
    <xf numFmtId="0" fontId="12" fillId="0" borderId="8" xfId="9" applyFont="1" applyBorder="1"/>
    <xf numFmtId="0" fontId="12" fillId="0" borderId="8" xfId="8" applyFont="1" applyBorder="1"/>
    <xf numFmtId="0" fontId="12" fillId="0" borderId="8" xfId="8" applyFont="1" applyBorder="1" applyAlignment="1">
      <alignment horizontal="center"/>
    </xf>
    <xf numFmtId="0" fontId="12" fillId="0" borderId="7" xfId="8" applyFont="1" applyBorder="1" applyAlignment="1">
      <alignment horizontal="left"/>
    </xf>
    <xf numFmtId="0" fontId="12" fillId="0" borderId="0" xfId="8" applyFont="1" applyAlignment="1">
      <alignment horizontal="left"/>
    </xf>
    <xf numFmtId="0" fontId="12" fillId="0" borderId="0" xfId="8" applyFont="1" applyAlignment="1">
      <alignment horizontal="right"/>
    </xf>
    <xf numFmtId="0" fontId="12" fillId="0" borderId="0" xfId="8" applyFont="1" applyAlignment="1">
      <alignment horizontal="center"/>
    </xf>
    <xf numFmtId="0" fontId="12" fillId="0" borderId="0" xfId="8" quotePrefix="1" applyFont="1" applyAlignment="1">
      <alignment horizontal="center"/>
    </xf>
    <xf numFmtId="14" fontId="12" fillId="0" borderId="8" xfId="8" applyNumberFormat="1" applyFont="1" applyBorder="1" applyAlignment="1">
      <alignment horizontal="center"/>
    </xf>
    <xf numFmtId="14" fontId="12" fillId="0" borderId="8" xfId="9" applyNumberFormat="1" applyFont="1" applyBorder="1" applyAlignment="1">
      <alignment horizontal="center"/>
    </xf>
    <xf numFmtId="14" fontId="12" fillId="0" borderId="8" xfId="9" quotePrefix="1" applyNumberFormat="1" applyFont="1" applyBorder="1" applyAlignment="1">
      <alignment horizontal="center"/>
    </xf>
    <xf numFmtId="14" fontId="12" fillId="0" borderId="8" xfId="8" quotePrefix="1" applyNumberFormat="1" applyFont="1" applyBorder="1" applyAlignment="1">
      <alignment horizontal="center"/>
    </xf>
    <xf numFmtId="0" fontId="12" fillId="0" borderId="8" xfId="8" quotePrefix="1" applyFont="1" applyBorder="1" applyAlignment="1">
      <alignment horizontal="center"/>
    </xf>
    <xf numFmtId="171" fontId="12" fillId="0" borderId="0" xfId="10" applyNumberFormat="1" applyFont="1"/>
    <xf numFmtId="171" fontId="12" fillId="0" borderId="0" xfId="10" applyNumberFormat="1" applyFont="1" applyBorder="1"/>
    <xf numFmtId="171" fontId="12" fillId="0" borderId="0" xfId="10" applyNumberFormat="1" applyFont="1" applyFill="1" applyBorder="1"/>
    <xf numFmtId="171" fontId="12" fillId="0" borderId="0" xfId="11" applyNumberFormat="1" applyFont="1"/>
    <xf numFmtId="0" fontId="12" fillId="0" borderId="0" xfId="9" applyFont="1"/>
    <xf numFmtId="164" fontId="12" fillId="0" borderId="0" xfId="12" quotePrefix="1" applyNumberFormat="1" applyFont="1" applyFill="1" applyBorder="1" applyAlignment="1">
      <alignment horizontal="center"/>
    </xf>
    <xf numFmtId="164" fontId="12" fillId="0" borderId="0" xfId="12" applyNumberFormat="1" applyFont="1" applyFill="1" applyBorder="1"/>
    <xf numFmtId="164" fontId="12" fillId="0" borderId="0" xfId="13" quotePrefix="1" applyNumberFormat="1" applyFont="1" applyFill="1" applyBorder="1" applyAlignment="1">
      <alignment horizontal="right"/>
    </xf>
    <xf numFmtId="164" fontId="12" fillId="0" borderId="0" xfId="13" applyNumberFormat="1" applyFont="1" applyFill="1" applyBorder="1"/>
    <xf numFmtId="164" fontId="12" fillId="0" borderId="0" xfId="13" applyNumberFormat="1" applyFont="1" applyBorder="1"/>
    <xf numFmtId="171" fontId="12" fillId="0" borderId="0" xfId="13" applyNumberFormat="1" applyFont="1" applyFill="1" applyBorder="1"/>
    <xf numFmtId="171" fontId="12" fillId="0" borderId="0" xfId="12" applyNumberFormat="1" applyFont="1" applyFill="1" applyBorder="1"/>
    <xf numFmtId="164" fontId="12" fillId="0" borderId="0" xfId="13" applyNumberFormat="1" applyFont="1"/>
    <xf numFmtId="41" fontId="12" fillId="0" borderId="0" xfId="8" applyNumberFormat="1" applyFont="1" applyAlignment="1">
      <alignment horizontal="left"/>
    </xf>
    <xf numFmtId="0" fontId="19" fillId="0" borderId="0" xfId="8" applyFont="1" applyAlignment="1">
      <alignment horizontal="right"/>
    </xf>
    <xf numFmtId="164" fontId="19" fillId="0" borderId="0" xfId="12" quotePrefix="1" applyNumberFormat="1" applyFont="1" applyFill="1" applyBorder="1" applyAlignment="1">
      <alignment horizontal="right"/>
    </xf>
    <xf numFmtId="0" fontId="2" fillId="14" borderId="0" xfId="0" applyFont="1" applyFill="1"/>
    <xf numFmtId="0" fontId="0" fillId="14" borderId="0" xfId="0" applyFill="1"/>
    <xf numFmtId="164" fontId="4" fillId="0" borderId="0" xfId="1" applyNumberFormat="1" applyFont="1"/>
    <xf numFmtId="0" fontId="0" fillId="0" borderId="4" xfId="0" applyBorder="1"/>
    <xf numFmtId="164" fontId="3" fillId="0" borderId="0" xfId="1" applyNumberFormat="1" applyFont="1"/>
    <xf numFmtId="0" fontId="0" fillId="0" borderId="11" xfId="0" applyBorder="1" applyAlignment="1">
      <alignment horizontal="right"/>
    </xf>
    <xf numFmtId="164" fontId="2" fillId="0" borderId="6" xfId="0" applyNumberFormat="1" applyFont="1" applyBorder="1"/>
    <xf numFmtId="164" fontId="2" fillId="0" borderId="12" xfId="0" applyNumberFormat="1" applyFont="1" applyBorder="1"/>
    <xf numFmtId="164" fontId="20" fillId="0" borderId="0" xfId="0" applyNumberFormat="1" applyFont="1" applyAlignment="1">
      <alignment horizontal="center"/>
    </xf>
    <xf numFmtId="164" fontId="0" fillId="0" borderId="6" xfId="1" applyNumberFormat="1" applyFont="1" applyFill="1" applyBorder="1"/>
    <xf numFmtId="6" fontId="0" fillId="11" borderId="0" xfId="0" applyNumberFormat="1" applyFill="1"/>
    <xf numFmtId="0" fontId="21" fillId="0" borderId="4" xfId="0" applyFont="1" applyBorder="1" applyAlignment="1">
      <alignment horizontal="center"/>
    </xf>
    <xf numFmtId="0" fontId="22" fillId="0" borderId="0" xfId="0" applyFont="1"/>
    <xf numFmtId="6" fontId="0" fillId="2" borderId="3" xfId="0" applyNumberFormat="1" applyFill="1" applyBorder="1"/>
    <xf numFmtId="164" fontId="0" fillId="0" borderId="3" xfId="1" applyNumberFormat="1" applyFont="1" applyFill="1" applyBorder="1"/>
    <xf numFmtId="0" fontId="22" fillId="0" borderId="0" xfId="0" applyFont="1" applyAlignment="1">
      <alignment horizontal="right"/>
    </xf>
    <xf numFmtId="43" fontId="0" fillId="0" borderId="0" xfId="1" applyFont="1" applyFill="1"/>
    <xf numFmtId="164" fontId="4" fillId="0" borderId="0" xfId="1" applyNumberFormat="1" applyFont="1" applyFill="1" applyBorder="1"/>
    <xf numFmtId="6" fontId="3" fillId="12" borderId="4" xfId="0" applyNumberFormat="1" applyFont="1" applyFill="1" applyBorder="1"/>
    <xf numFmtId="164" fontId="23" fillId="0" borderId="0" xfId="12" quotePrefix="1" applyNumberFormat="1" applyFont="1" applyFill="1" applyBorder="1" applyAlignment="1">
      <alignment horizontal="right"/>
    </xf>
    <xf numFmtId="0" fontId="24" fillId="15" borderId="0" xfId="0" applyFont="1" applyFill="1"/>
    <xf numFmtId="0" fontId="24" fillId="16" borderId="0" xfId="0" applyFont="1" applyFill="1"/>
    <xf numFmtId="0" fontId="22" fillId="0" borderId="0" xfId="0" applyFont="1" applyAlignment="1">
      <alignment wrapText="1"/>
    </xf>
    <xf numFmtId="0" fontId="21" fillId="15" borderId="0" xfId="0" applyFont="1" applyFill="1" applyAlignment="1">
      <alignment horizontal="center" wrapText="1"/>
    </xf>
    <xf numFmtId="8" fontId="22" fillId="0" borderId="0" xfId="0" applyNumberFormat="1" applyFont="1"/>
    <xf numFmtId="8" fontId="22" fillId="15" borderId="0" xfId="0" applyNumberFormat="1" applyFont="1" applyFill="1"/>
    <xf numFmtId="8" fontId="22" fillId="2" borderId="0" xfId="0" applyNumberFormat="1" applyFont="1" applyFill="1"/>
    <xf numFmtId="8" fontId="22" fillId="16" borderId="0" xfId="0" applyNumberFormat="1" applyFont="1" applyFill="1"/>
    <xf numFmtId="6" fontId="0" fillId="2" borderId="10" xfId="0" applyNumberFormat="1" applyFill="1" applyBorder="1"/>
    <xf numFmtId="22" fontId="22" fillId="0" borderId="0" xfId="0" applyNumberFormat="1" applyFont="1"/>
    <xf numFmtId="43" fontId="25" fillId="0" borderId="0" xfId="1" applyFont="1"/>
    <xf numFmtId="43" fontId="22" fillId="0" borderId="0" xfId="0" applyNumberFormat="1" applyFont="1"/>
    <xf numFmtId="6" fontId="0" fillId="0" borderId="1" xfId="0" applyNumberFormat="1" applyBorder="1"/>
    <xf numFmtId="0" fontId="2" fillId="17" borderId="0" xfId="0" applyFont="1" applyFill="1"/>
    <xf numFmtId="0" fontId="2" fillId="17" borderId="0" xfId="0" applyFont="1" applyFill="1" applyAlignment="1">
      <alignment horizontal="center"/>
    </xf>
    <xf numFmtId="0" fontId="2" fillId="0" borderId="0" xfId="0" quotePrefix="1" applyFont="1"/>
    <xf numFmtId="0" fontId="0" fillId="17" borderId="0" xfId="0" applyFill="1"/>
    <xf numFmtId="6" fontId="0" fillId="17" borderId="0" xfId="0" applyNumberFormat="1" applyFill="1"/>
    <xf numFmtId="0" fontId="0" fillId="0" borderId="0" xfId="0" quotePrefix="1"/>
    <xf numFmtId="0" fontId="0" fillId="15" borderId="0" xfId="0" applyFill="1"/>
    <xf numFmtId="6" fontId="0" fillId="15" borderId="0" xfId="0" applyNumberFormat="1" applyFill="1"/>
    <xf numFmtId="0" fontId="0" fillId="18" borderId="0" xfId="0" applyFill="1" applyAlignment="1">
      <alignment horizontal="center"/>
    </xf>
    <xf numFmtId="8" fontId="2" fillId="18" borderId="0" xfId="0" applyNumberFormat="1" applyFont="1" applyFill="1"/>
    <xf numFmtId="0" fontId="0" fillId="19" borderId="0" xfId="0" applyFill="1" applyAlignment="1">
      <alignment horizontal="center"/>
    </xf>
    <xf numFmtId="8" fontId="2" fillId="19" borderId="0" xfId="0" applyNumberFormat="1" applyFont="1" applyFill="1"/>
    <xf numFmtId="16" fontId="2" fillId="0" borderId="0" xfId="0" quotePrefix="1" applyNumberFormat="1" applyFont="1" applyAlignment="1">
      <alignment horizontal="right"/>
    </xf>
    <xf numFmtId="0" fontId="26" fillId="0" borderId="0" xfId="0" applyFont="1"/>
    <xf numFmtId="0" fontId="27" fillId="0" borderId="0" xfId="14"/>
    <xf numFmtId="164" fontId="4" fillId="0" borderId="0" xfId="0" applyNumberFormat="1" applyFont="1"/>
    <xf numFmtId="0" fontId="28" fillId="0" borderId="0" xfId="0" applyFont="1"/>
    <xf numFmtId="0" fontId="0" fillId="0" borderId="4" xfId="0" applyBorder="1" applyAlignment="1">
      <alignment horizontal="center"/>
    </xf>
    <xf numFmtId="0" fontId="0" fillId="0" borderId="13" xfId="0" applyBorder="1"/>
    <xf numFmtId="164" fontId="0" fillId="0" borderId="14" xfId="1" applyNumberFormat="1" applyFont="1" applyBorder="1"/>
    <xf numFmtId="164" fontId="0" fillId="0" borderId="14" xfId="0" applyNumberFormat="1" applyBorder="1"/>
    <xf numFmtId="0" fontId="0" fillId="0" borderId="15" xfId="0" applyBorder="1"/>
    <xf numFmtId="0" fontId="0" fillId="0" borderId="14" xfId="0" applyBorder="1"/>
    <xf numFmtId="164" fontId="0" fillId="0" borderId="15" xfId="0" applyNumberFormat="1" applyBorder="1"/>
    <xf numFmtId="164" fontId="2" fillId="2" borderId="15" xfId="1" applyNumberFormat="1" applyFont="1" applyFill="1" applyBorder="1"/>
    <xf numFmtId="164" fontId="0" fillId="0" borderId="15" xfId="1" applyNumberFormat="1" applyFont="1" applyBorder="1"/>
    <xf numFmtId="164" fontId="0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6" xfId="1" applyNumberFormat="1" applyFont="1" applyBorder="1"/>
    <xf numFmtId="164" fontId="0" fillId="0" borderId="12" xfId="1" applyNumberFormat="1" applyFont="1" applyBorder="1"/>
    <xf numFmtId="164" fontId="2" fillId="13" borderId="1" xfId="0" applyNumberFormat="1" applyFont="1" applyFill="1" applyBorder="1"/>
    <xf numFmtId="0" fontId="0" fillId="20" borderId="0" xfId="0" applyFill="1" applyAlignment="1">
      <alignment horizontal="center"/>
    </xf>
    <xf numFmtId="8" fontId="2" fillId="20" borderId="0" xfId="0" applyNumberFormat="1" applyFont="1" applyFill="1"/>
    <xf numFmtId="0" fontId="3" fillId="0" borderId="0" xfId="0" applyFont="1"/>
    <xf numFmtId="171" fontId="12" fillId="0" borderId="0" xfId="10" applyNumberFormat="1" applyFont="1" applyFill="1"/>
    <xf numFmtId="0" fontId="12" fillId="0" borderId="8" xfId="8" applyFont="1" applyBorder="1" applyAlignment="1">
      <alignment horizontal="center"/>
    </xf>
    <xf numFmtId="0" fontId="14" fillId="0" borderId="8" xfId="4" applyFont="1" applyBorder="1" applyAlignment="1">
      <alignment horizontal="center" wrapText="1"/>
    </xf>
    <xf numFmtId="0" fontId="12" fillId="0" borderId="0" xfId="8" applyFont="1" applyAlignment="1">
      <alignment horizontal="center"/>
    </xf>
    <xf numFmtId="0" fontId="30" fillId="0" borderId="4" xfId="0" applyFont="1" applyBorder="1" applyAlignment="1">
      <alignment horizontal="center"/>
    </xf>
    <xf numFmtId="0" fontId="12" fillId="0" borderId="0" xfId="8" applyFont="1" applyFill="1"/>
    <xf numFmtId="0" fontId="12" fillId="0" borderId="8" xfId="8" applyFont="1" applyFill="1" applyBorder="1"/>
  </cellXfs>
  <cellStyles count="15">
    <cellStyle name="Comma" xfId="1" builtinId="3"/>
    <cellStyle name="Comma 2" xfId="6" xr:uid="{BD9BA129-F584-44ED-8F9C-F7BE1CE54E8F}"/>
    <cellStyle name="Comma 2 2" xfId="12" xr:uid="{BADA1091-F862-4850-BD04-CD5433ADEFE5}"/>
    <cellStyle name="Comma 3" xfId="13" xr:uid="{594CB664-BE98-486B-A831-AA31D6E73CA9}"/>
    <cellStyle name="Currency" xfId="7" builtinId="4"/>
    <cellStyle name="Currency 2" xfId="5" xr:uid="{8F53E4E6-2198-49BD-8754-364DD26A248C}"/>
    <cellStyle name="Currency 2 2" xfId="11" xr:uid="{F2CE1551-43D5-4DDA-8C64-200F2B0C55B5}"/>
    <cellStyle name="Currency 3" xfId="10" xr:uid="{DCD68B32-3598-4E27-A58E-AEFFDF5FB3C3}"/>
    <cellStyle name="Hyperlink" xfId="14" builtinId="8"/>
    <cellStyle name="Normal" xfId="0" builtinId="0"/>
    <cellStyle name="Normal 2" xfId="3" xr:uid="{ED4CBF98-922E-4A32-82C9-23A96C2EE32E}"/>
    <cellStyle name="Normal 2 2" xfId="9" xr:uid="{6EDC5E50-B26A-4EAD-A428-EC13484A8AF7}"/>
    <cellStyle name="Normal 3" xfId="8" xr:uid="{D5927F8F-DAC7-4FAF-BCDB-2844DFD51B02}"/>
    <cellStyle name="Normal_Sheet1" xfId="4" xr:uid="{24F34F7C-0EB1-43B7-89DE-29255A287719}"/>
    <cellStyle name="Percent" xfId="2" builtinId="5"/>
  </cellStyles>
  <dxfs count="7">
    <dxf>
      <fill>
        <patternFill patternType="none">
          <bgColor auto="1"/>
        </patternFill>
      </fill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3" formatCode="0%"/>
    </dxf>
  </dxfs>
  <tableStyles count="1" defaultTableStyle="TableStyleMedium2" defaultPivotStyle="PivotStyleLight16">
    <tableStyle name="Invisible" pivot="0" table="0" count="0" xr9:uid="{88CD5F7B-4216-4886-9A21-22217F9F802F}"/>
  </tableStyles>
  <colors>
    <mruColors>
      <color rgb="FF99FFCC"/>
      <color rgb="FFFFCCCC"/>
      <color rgb="FF0000FF"/>
      <color rgb="FF66FF66"/>
      <color rgb="FF00FFFF"/>
      <color rgb="FFDDDDFF"/>
      <color rgb="FF9999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7.xml"/><Relationship Id="rId34" Type="http://schemas.openxmlformats.org/officeDocument/2006/relationships/pivotCacheDefinition" Target="pivotCache/pivotCacheDefinition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pivotCacheDefinition" Target="pivotCache/pivotCacheDefinition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pivotCacheDefinition" Target="pivotCache/pivotCacheDefinition3.xml"/><Relationship Id="rId38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609600</xdr:colOff>
      <xdr:row>25</xdr:row>
      <xdr:rowOff>152400</xdr:rowOff>
    </xdr:from>
    <xdr:to>
      <xdr:col>13</xdr:col>
      <xdr:colOff>609600</xdr:colOff>
      <xdr:row>27</xdr:row>
      <xdr:rowOff>6350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4866B37C-05ED-4B3B-9E37-1573682C4AE1}"/>
            </a:ext>
          </a:extLst>
        </xdr:cNvPr>
        <xdr:cNvCxnSpPr/>
      </xdr:nvCxnSpPr>
      <xdr:spPr>
        <a:xfrm flipV="1">
          <a:off x="19834860" y="4556760"/>
          <a:ext cx="0" cy="21971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737659</xdr:colOff>
      <xdr:row>140</xdr:row>
      <xdr:rowOff>10583</xdr:rowOff>
    </xdr:from>
    <xdr:to>
      <xdr:col>13</xdr:col>
      <xdr:colOff>737659</xdr:colOff>
      <xdr:row>141</xdr:row>
      <xdr:rowOff>44450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D2AF56D-C9E2-4DA6-8A53-B2ED4E34D89E}"/>
            </a:ext>
          </a:extLst>
        </xdr:cNvPr>
        <xdr:cNvCxnSpPr/>
      </xdr:nvCxnSpPr>
      <xdr:spPr>
        <a:xfrm flipV="1">
          <a:off x="19962919" y="26208143"/>
          <a:ext cx="0" cy="21674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838200</xdr:colOff>
      <xdr:row>54</xdr:row>
      <xdr:rowOff>161925</xdr:rowOff>
    </xdr:from>
    <xdr:to>
      <xdr:col>13</xdr:col>
      <xdr:colOff>838200</xdr:colOff>
      <xdr:row>56</xdr:row>
      <xdr:rowOff>15875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DC54C18-9B9B-4F88-8C0C-6E9E673A04D1}"/>
            </a:ext>
          </a:extLst>
        </xdr:cNvPr>
        <xdr:cNvCxnSpPr/>
      </xdr:nvCxnSpPr>
      <xdr:spPr>
        <a:xfrm flipV="1">
          <a:off x="20063460" y="10266045"/>
          <a:ext cx="0" cy="21971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1304925</xdr:colOff>
      <xdr:row>29</xdr:row>
      <xdr:rowOff>114300</xdr:rowOff>
    </xdr:from>
    <xdr:to>
      <xdr:col>1</xdr:col>
      <xdr:colOff>695325</xdr:colOff>
      <xdr:row>35</xdr:row>
      <xdr:rowOff>9525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0BD5B1C-23DD-40D3-BEE0-B55CE0597D59}"/>
            </a:ext>
          </a:extLst>
        </xdr:cNvPr>
        <xdr:cNvCxnSpPr/>
      </xdr:nvCxnSpPr>
      <xdr:spPr>
        <a:xfrm flipH="1">
          <a:off x="1304925" y="5265420"/>
          <a:ext cx="2415540" cy="100774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737659</xdr:colOff>
      <xdr:row>141</xdr:row>
      <xdr:rowOff>10583</xdr:rowOff>
    </xdr:from>
    <xdr:to>
      <xdr:col>13</xdr:col>
      <xdr:colOff>737659</xdr:colOff>
      <xdr:row>142</xdr:row>
      <xdr:rowOff>44450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C22A7CC1-D2C2-48EA-AAF9-4635023B4C86}"/>
            </a:ext>
          </a:extLst>
        </xdr:cNvPr>
        <xdr:cNvCxnSpPr/>
      </xdr:nvCxnSpPr>
      <xdr:spPr>
        <a:xfrm flipV="1">
          <a:off x="19962919" y="26391023"/>
          <a:ext cx="0" cy="21674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838200</xdr:colOff>
      <xdr:row>54</xdr:row>
      <xdr:rowOff>161925</xdr:rowOff>
    </xdr:from>
    <xdr:to>
      <xdr:col>13</xdr:col>
      <xdr:colOff>838200</xdr:colOff>
      <xdr:row>56</xdr:row>
      <xdr:rowOff>15875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112ED6E0-BBE6-414C-8314-88CB1F702B8D}"/>
            </a:ext>
          </a:extLst>
        </xdr:cNvPr>
        <xdr:cNvCxnSpPr/>
      </xdr:nvCxnSpPr>
      <xdr:spPr>
        <a:xfrm flipV="1">
          <a:off x="20063460" y="10266045"/>
          <a:ext cx="0" cy="21971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1304925</xdr:colOff>
      <xdr:row>29</xdr:row>
      <xdr:rowOff>114300</xdr:rowOff>
    </xdr:from>
    <xdr:to>
      <xdr:col>1</xdr:col>
      <xdr:colOff>695325</xdr:colOff>
      <xdr:row>35</xdr:row>
      <xdr:rowOff>9525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9D4FA3FF-D6A4-4953-9A11-F2BCA508A6E9}"/>
            </a:ext>
          </a:extLst>
        </xdr:cNvPr>
        <xdr:cNvCxnSpPr/>
      </xdr:nvCxnSpPr>
      <xdr:spPr>
        <a:xfrm flipH="1">
          <a:off x="1304925" y="5265420"/>
          <a:ext cx="2415540" cy="100774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737659</xdr:colOff>
      <xdr:row>26</xdr:row>
      <xdr:rowOff>10583</xdr:rowOff>
    </xdr:from>
    <xdr:to>
      <xdr:col>13</xdr:col>
      <xdr:colOff>737659</xdr:colOff>
      <xdr:row>27</xdr:row>
      <xdr:rowOff>44450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E5D45BFA-0505-45FB-98DD-EF9F793CBB30}"/>
            </a:ext>
          </a:extLst>
        </xdr:cNvPr>
        <xdr:cNvCxnSpPr/>
      </xdr:nvCxnSpPr>
      <xdr:spPr>
        <a:xfrm flipV="1">
          <a:off x="19962919" y="4597823"/>
          <a:ext cx="0" cy="21674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39</xdr:row>
      <xdr:rowOff>0</xdr:rowOff>
    </xdr:from>
    <xdr:to>
      <xdr:col>8</xdr:col>
      <xdr:colOff>859988</xdr:colOff>
      <xdr:row>68</xdr:row>
      <xdr:rowOff>133660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819475E-BA81-66AB-FC95-0868A825C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276167"/>
          <a:ext cx="12078321" cy="6039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4</xdr:col>
      <xdr:colOff>402630</xdr:colOff>
      <xdr:row>15</xdr:row>
      <xdr:rowOff>2827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4AD29E-09FC-40B6-AC79-25CD2C27F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0"/>
          <a:ext cx="4768255" cy="27333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78</xdr:row>
      <xdr:rowOff>177799</xdr:rowOff>
    </xdr:from>
    <xdr:to>
      <xdr:col>14</xdr:col>
      <xdr:colOff>346188</xdr:colOff>
      <xdr:row>101</xdr:row>
      <xdr:rowOff>17296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28FB23-2DA4-46A7-A627-F9169ACF2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928089"/>
          <a:ext cx="6734923" cy="3790467"/>
        </a:xfrm>
        <a:prstGeom prst="rect">
          <a:avLst/>
        </a:prstGeom>
      </xdr:spPr>
    </xdr:pic>
    <xdr:clientData/>
  </xdr:twoCellAnchor>
  <xdr:twoCellAnchor editAs="oneCell">
    <xdr:from>
      <xdr:col>29</xdr:col>
      <xdr:colOff>67733</xdr:colOff>
      <xdr:row>78</xdr:row>
      <xdr:rowOff>151099</xdr:rowOff>
    </xdr:from>
    <xdr:to>
      <xdr:col>40</xdr:col>
      <xdr:colOff>249411</xdr:colOff>
      <xdr:row>100</xdr:row>
      <xdr:rowOff>18198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6D3501-FF43-4EA8-B431-30477AE5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4903" y="13905199"/>
          <a:ext cx="7127308" cy="36428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16</xdr:col>
      <xdr:colOff>484495</xdr:colOff>
      <xdr:row>44</xdr:row>
      <xdr:rowOff>61895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AC9042-2255-4809-A154-A0F015EB2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10238095" cy="77733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15</xdr:col>
      <xdr:colOff>243840</xdr:colOff>
      <xdr:row>84</xdr:row>
      <xdr:rowOff>146121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66EA0C-5B90-48BA-829C-1D442BBAD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442960"/>
          <a:ext cx="9387840" cy="7095561"/>
        </a:xfrm>
        <a:prstGeom prst="rect">
          <a:avLst/>
        </a:prstGeom>
      </xdr:spPr>
    </xdr:pic>
    <xdr:clientData/>
  </xdr:twoCellAnchor>
  <xdr:twoCellAnchor editAs="oneCell">
    <xdr:from>
      <xdr:col>18</xdr:col>
      <xdr:colOff>236219</xdr:colOff>
      <xdr:row>28</xdr:row>
      <xdr:rowOff>101748</xdr:rowOff>
    </xdr:from>
    <xdr:to>
      <xdr:col>25</xdr:col>
      <xdr:colOff>213</xdr:colOff>
      <xdr:row>49</xdr:row>
      <xdr:rowOff>107850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9F589D-43ED-46EF-8565-AEBF2570F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09019" y="5252868"/>
          <a:ext cx="8852749" cy="38465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1200150</xdr:colOff>
      <xdr:row>8</xdr:row>
      <xdr:rowOff>66675</xdr:rowOff>
    </xdr:from>
    <xdr:to>
      <xdr:col>25</xdr:col>
      <xdr:colOff>200024</xdr:colOff>
      <xdr:row>20</xdr:row>
      <xdr:rowOff>4082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4BF9374C-767E-4D60-B132-0FCCFA0CC080}"/>
            </a:ext>
          </a:extLst>
        </xdr:cNvPr>
        <xdr:cNvSpPr/>
      </xdr:nvSpPr>
      <xdr:spPr>
        <a:xfrm>
          <a:off x="26637615" y="1512570"/>
          <a:ext cx="262889" cy="2112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1200150</xdr:colOff>
      <xdr:row>8</xdr:row>
      <xdr:rowOff>66675</xdr:rowOff>
    </xdr:from>
    <xdr:to>
      <xdr:col>19</xdr:col>
      <xdr:colOff>200024</xdr:colOff>
      <xdr:row>20</xdr:row>
      <xdr:rowOff>4082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6B804C77-D50E-4A02-9097-3D295AA592B1}"/>
            </a:ext>
          </a:extLst>
        </xdr:cNvPr>
        <xdr:cNvSpPr/>
      </xdr:nvSpPr>
      <xdr:spPr>
        <a:xfrm>
          <a:off x="21617940" y="1512570"/>
          <a:ext cx="262889" cy="2112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1200150</xdr:colOff>
      <xdr:row>8</xdr:row>
      <xdr:rowOff>66675</xdr:rowOff>
    </xdr:from>
    <xdr:to>
      <xdr:col>19</xdr:col>
      <xdr:colOff>200024</xdr:colOff>
      <xdr:row>20</xdr:row>
      <xdr:rowOff>4082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ED365A25-838D-42DC-8776-E35EE74CB969}"/>
            </a:ext>
          </a:extLst>
        </xdr:cNvPr>
        <xdr:cNvSpPr/>
      </xdr:nvSpPr>
      <xdr:spPr>
        <a:xfrm>
          <a:off x="18909030" y="1529715"/>
          <a:ext cx="257174" cy="213196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OSEOUT/PAGES/2006/FEB%202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KAXV/AppData/Local/Microsoft/Windows/Temporary%20Internet%20Files/Content.Outlook/R0XXJMNP/mfr_template_2014_budget_122012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TXB/Thuy/Check%20Financial%20pages/0905%20CHECK%20PAGE%201%20TO%20%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krbk/LOCALS~1/Temp/MFR_2008%20Actu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txb/Desktop/SR%202007%20Budget_Final_FILED_022707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ELECTRIC\2023\TEC%20FORM%201\TEC%20TCJA%20FERC%20DISCLOSURE\FORM%201%20DISCLOSURE\2023%20TEC%20WORK%20FILE%20-%20TCJA%20DISCLOSURE.xlsx" TargetMode="External"/><Relationship Id="rId1" Type="http://schemas.openxmlformats.org/officeDocument/2006/relationships/externalLinkPath" Target="https://tecoenergy.sharepoint.com/ELECTRIC/2023/TEC%20FORM%201/TEC%20TCJA%20FERC%20DISCLOSURE/FORM%201%20DISCLOSURE/2023%20TEC%20WORK%20FILE%20-%20TCJA%20DISCLOSURE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ELECTRIC\Rate%20Case\2024%20Rate%20Case\state%20deficient%20ADIT%20amortization.xlsx" TargetMode="External"/><Relationship Id="rId1" Type="http://schemas.openxmlformats.org/officeDocument/2006/relationships/externalLinkPath" Target="https://tecoenergy.sharepoint.com/ELECTRIC/Rate%20Case/2024%20Rate%20Case/state%20deficient%20ADIT%20amortization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ELECTRIC\2022\TEC%20FORM%201\TEC%20TCJA%20FERC%20DISCLOSURE\FORM%201%20DISCLOSURE\2022%20TEC%20WORK%20FILE%20-%20TCJA%20DISCLOSURE.xlsx" TargetMode="External"/><Relationship Id="rId1" Type="http://schemas.openxmlformats.org/officeDocument/2006/relationships/externalLinkPath" Target="https://tecoenergy.sharepoint.com/ELECTRIC/2022/TEC%20FORM%201/TEC%20TCJA%20FERC%20DISCLOSURE/FORM%201%20DISCLOSURE/2022%20TEC%20WORK%20FILE%20-%20TCJA%20DISCLOSU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FCAS/LOCALS~1/Temp/MFR_E_BJ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13%20Rate%20Case%20Documents\MFRs\2014%20MFRs\FINAL_MFRs_2014_0205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BUDGET/UPDATE/2007/EARNINGS%20ESTIMATES/2007_12&amp;0_EE%20Decemb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txb/Desktop/xSurv-06Dec_021407_FIL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AZA7\SYS\TAXS\SHARDATA\ELECTRIC\Rate%20Case\2022%20Rate%20Case\2020-2022%20RATE%20CASE%20FINAL%20MFRS\2022%20RATE%20CASE%20Tax%20MFR's_incl%202021%20&amp;%202022%20Budget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HARDATA\ELECTRIC\Rate%20Case\2022%20Rate%20Case\2022%20RATE%20CASE%20DRY%20RUN\Copy%20of%202022%20RATE%20CASE%20Tax%20MFR'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Regulatory\2021%20Rate%20Case\MFR\Final%20Versions\2021%20Rate%20Case%20MFR%20-%20All%20Templates%20-%20Linke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CLOSEOUT/PAGES/2004/FIN%20REPORT/JUNE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 VEHICLE DEPREC"/>
      <sheetName val="Download"/>
      <sheetName val="Reformat Cons"/>
      <sheetName val="New Template Consolidation"/>
      <sheetName val="DOWNLOAD05"/>
      <sheetName val="Consolidated BS"/>
      <sheetName val="Consolidated IS"/>
      <sheetName val="PEC Income Stmt"/>
      <sheetName val="IS Worksheet"/>
      <sheetName val="PEC Budg IS WKT"/>
      <sheetName val="BS Worksheet"/>
      <sheetName val="&quot;other&quot; RECON"/>
      <sheetName val="181 query"/>
      <sheetName val="CF-RANDY"/>
      <sheetName val="New CF Pres"/>
      <sheetName val="Page 3"/>
      <sheetName val="CONSOL. CF"/>
      <sheetName val="CF Template"/>
      <sheetName val="NEW CF"/>
      <sheetName val="REG. A. L."/>
      <sheetName val="Reg A.L. ST-LT"/>
      <sheetName val="Estimate"/>
      <sheetName val="Page 1"/>
      <sheetName val="Page 2"/>
      <sheetName val="Page 4"/>
      <sheetName val="Page 5"/>
      <sheetName val="Page 6"/>
      <sheetName val="Page 7"/>
      <sheetName val="Page 8"/>
      <sheetName val="Page 9"/>
      <sheetName val="Page 10"/>
      <sheetName val="Detail of Int Expense"/>
      <sheetName val="BUDGET"/>
      <sheetName val="ESOP GOALS"/>
      <sheetName val="2005 cash flow goal"/>
      <sheetName val="Page RE"/>
      <sheetName val="download03"/>
      <sheetName val="PEC Budget IS"/>
      <sheetName val="CJ 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LH_Notes"/>
      <sheetName val="MFR_SUMMARY"/>
      <sheetName val="MFR_EXTRACT"/>
      <sheetName val="B-7"/>
      <sheetName val="B-9"/>
      <sheetName val="SOP worksht"/>
      <sheetName val="&lt;&lt;not_used&gt;&gt;"/>
      <sheetName val="BALSHT"/>
      <sheetName val="acq_adj"/>
      <sheetName val="TST_DISMANTL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last month YTD"/>
      <sheetName val="Page 1 curren month"/>
      <sheetName val="Page 1 CHECK"/>
      <sheetName val="DL TO CHECK IS &amp; BS"/>
      <sheetName val="Current month check IS"/>
      <sheetName val="SHEET 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1"/>
      <sheetName val="A-4"/>
      <sheetName val="B-1"/>
      <sheetName val="B-2"/>
      <sheetName val="B-5"/>
      <sheetName val="B-17"/>
      <sheetName val="C-1"/>
      <sheetName val="C-2"/>
      <sheetName val="C-3"/>
      <sheetName val="C-4"/>
      <sheetName val="C-2 (2)"/>
      <sheetName val="C-18"/>
      <sheetName val="C-23"/>
      <sheetName val="C-44"/>
      <sheetName val="D-1a"/>
      <sheetName val="D-1b"/>
      <sheetName val="D-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Download"/>
      <sheetName val="IS Download"/>
      <sheetName val="DAT ACCOUNTS"/>
      <sheetName val="T.O.C."/>
      <sheetName val="SURV ACCOUNTS"/>
      <sheetName val="SURV REPORT"/>
      <sheetName val="SURV INPUTS"/>
      <sheetName val="Update Sep Factors"/>
      <sheetName val="TRANS SEP"/>
      <sheetName val="WC INPUTS"/>
      <sheetName val="PRINTING"/>
      <sheetName val="WC"/>
      <sheetName val="NOTE"/>
      <sheetName val="RB vs CAP"/>
      <sheetName val="COMP vs 9+3"/>
      <sheetName val="COMP vs Sep"/>
      <sheetName val="COMP vs Tefis"/>
      <sheetName val="COMP Plan"/>
      <sheetName val="COMP Stretch"/>
      <sheetName val="JSC Request"/>
      <sheetName val="ROE Ratios"/>
      <sheetName val="ROR Adjustments"/>
      <sheetName val="Equity Adjustments"/>
      <sheetName val="ROE Recon"/>
      <sheetName val="ROE Recon Budget"/>
      <sheetName val="Recon Summary"/>
      <sheetName val="NI Summary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closure"/>
      <sheetName val="ADIT Change"/>
      <sheetName val="PROTECTED VS NON BALANCES"/>
      <sheetName val="FD Unamortiz Unprotected Bal"/>
      <sheetName val="ST Unprotec def per stipulation"/>
      <sheetName val="2021 51051 - Def Tax Adj"/>
      <sheetName val="2023 51052 2820610 NO FT"/>
      <sheetName val="2023 PTAX RPT 260"/>
      <sheetName val="TIP"/>
      <sheetName val="TEC 2017 Deferred Tax"/>
      <sheetName val="FL EXCESS "/>
    </sheetNames>
    <sheetDataSet>
      <sheetData sheetId="0"/>
      <sheetData sheetId="1"/>
      <sheetData sheetId="2"/>
      <sheetData sheetId="3">
        <row r="116">
          <cell r="Z116">
            <v>47660083.963580772</v>
          </cell>
        </row>
      </sheetData>
      <sheetData sheetId="4"/>
      <sheetData sheetId="5"/>
      <sheetData sheetId="6">
        <row r="104">
          <cell r="B104">
            <v>341285542.87212396</v>
          </cell>
          <cell r="X104">
            <v>315938408.93212402</v>
          </cell>
        </row>
      </sheetData>
      <sheetData sheetId="7"/>
      <sheetData sheetId="8"/>
      <sheetData sheetId="9">
        <row r="12">
          <cell r="O12">
            <v>2.3199999999999998</v>
          </cell>
        </row>
        <row r="13">
          <cell r="O13">
            <v>-3454.1</v>
          </cell>
        </row>
        <row r="14">
          <cell r="O14">
            <v>-101.3</v>
          </cell>
        </row>
        <row r="15">
          <cell r="O15">
            <v>-67081.14</v>
          </cell>
        </row>
        <row r="16">
          <cell r="O16">
            <v>-213.25</v>
          </cell>
        </row>
        <row r="17">
          <cell r="O17">
            <v>-42819</v>
          </cell>
        </row>
        <row r="18">
          <cell r="O18">
            <v>-5144.78</v>
          </cell>
        </row>
        <row r="19">
          <cell r="O19">
            <v>-1446.57</v>
          </cell>
        </row>
        <row r="20">
          <cell r="O20">
            <v>-86453.83</v>
          </cell>
        </row>
        <row r="21">
          <cell r="O21">
            <v>-114.55000000000001</v>
          </cell>
        </row>
        <row r="22">
          <cell r="O22">
            <v>-36185.17</v>
          </cell>
        </row>
        <row r="23">
          <cell r="O23">
            <v>-34348.159999999996</v>
          </cell>
        </row>
        <row r="24">
          <cell r="O24">
            <v>-6163.78</v>
          </cell>
        </row>
        <row r="25">
          <cell r="O25">
            <v>-605.05999999999995</v>
          </cell>
        </row>
        <row r="26">
          <cell r="O26">
            <v>35316.410000000003</v>
          </cell>
        </row>
        <row r="27">
          <cell r="O27">
            <v>13777.62</v>
          </cell>
        </row>
        <row r="28">
          <cell r="O28">
            <v>94557.9</v>
          </cell>
        </row>
        <row r="29">
          <cell r="O29">
            <v>-37413.479999999996</v>
          </cell>
        </row>
        <row r="30">
          <cell r="O30">
            <v>-658.71</v>
          </cell>
        </row>
        <row r="31">
          <cell r="O31">
            <v>-318971.49</v>
          </cell>
        </row>
        <row r="32">
          <cell r="O32">
            <v>-202866.1</v>
          </cell>
        </row>
        <row r="33">
          <cell r="O33">
            <v>-48714.51</v>
          </cell>
        </row>
        <row r="34">
          <cell r="O34">
            <v>-371284.81</v>
          </cell>
        </row>
        <row r="35">
          <cell r="O35">
            <v>-212702.25999999998</v>
          </cell>
        </row>
        <row r="36">
          <cell r="O36">
            <v>-8130.76</v>
          </cell>
        </row>
        <row r="37">
          <cell r="O37">
            <v>-7621.9900000000007</v>
          </cell>
        </row>
        <row r="38">
          <cell r="O38">
            <v>-579665.91999999993</v>
          </cell>
        </row>
        <row r="39">
          <cell r="O39">
            <v>-155734.51</v>
          </cell>
        </row>
        <row r="40">
          <cell r="O40">
            <v>-75043.899999999994</v>
          </cell>
        </row>
        <row r="42">
          <cell r="O42">
            <v>25131973.189999998</v>
          </cell>
        </row>
        <row r="43">
          <cell r="O43">
            <v>-8929811.9578759987</v>
          </cell>
        </row>
        <row r="82">
          <cell r="O82">
            <v>-4156629.6799999997</v>
          </cell>
        </row>
        <row r="108">
          <cell r="O108">
            <v>-36248.449999999997</v>
          </cell>
        </row>
      </sheetData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 years"/>
      <sheetName val="5 years"/>
    </sheetNames>
    <sheetDataSet>
      <sheetData sheetId="0">
        <row r="15">
          <cell r="V15">
            <v>1054337.2517039999</v>
          </cell>
        </row>
        <row r="16">
          <cell r="U16">
            <v>795798.3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closure"/>
      <sheetName val="ADIT Change"/>
      <sheetName val="PROTECTED VS NON BALANCES"/>
      <sheetName val="FD Unamortiz Unprotected Bal"/>
      <sheetName val="ST Unprotec def per stipulation"/>
      <sheetName val="2021 51051 - Def Tax Adj"/>
      <sheetName val="2022 51052 2820610 NO FT"/>
      <sheetName val="2022 PTAX RPT 260"/>
      <sheetName val="TIP"/>
      <sheetName val="TEC 2017 Deferred Tax"/>
      <sheetName val="FL EXCESS "/>
    </sheetNames>
    <sheetDataSet>
      <sheetData sheetId="0"/>
      <sheetData sheetId="1"/>
      <sheetData sheetId="2">
        <row r="148">
          <cell r="Q148">
            <v>-6352163.0099999998</v>
          </cell>
        </row>
        <row r="149">
          <cell r="Q149">
            <v>16202161.232123999</v>
          </cell>
        </row>
      </sheetData>
      <sheetData sheetId="3">
        <row r="116">
          <cell r="Y116">
            <v>60956095.173337974</v>
          </cell>
        </row>
        <row r="118">
          <cell r="O118">
            <v>16202161.232123999</v>
          </cell>
        </row>
        <row r="119">
          <cell r="O119">
            <v>-6352163.0099999998</v>
          </cell>
        </row>
      </sheetData>
      <sheetData sheetId="4"/>
      <sheetData sheetId="5"/>
      <sheetData sheetId="6">
        <row r="84">
          <cell r="T84">
            <v>-565505</v>
          </cell>
        </row>
      </sheetData>
      <sheetData sheetId="7">
        <row r="55">
          <cell r="I55">
            <v>-12053731.869999999</v>
          </cell>
        </row>
      </sheetData>
      <sheetData sheetId="8"/>
      <sheetData sheetId="9">
        <row r="12">
          <cell r="O12">
            <v>2.3199999999999998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3"/>
      <sheetName val="E-13a"/>
      <sheetName val="E-13b"/>
      <sheetName val="E-13c"/>
      <sheetName val="E-13d"/>
      <sheetName val="F-14"/>
      <sheetName val="E-16"/>
      <sheetName val="F-4"/>
      <sheetName val="Data-Historic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_FAC"/>
      <sheetName val="SEPSTUDY"/>
      <sheetName val="O_M"/>
      <sheetName val="Cap Struct"/>
      <sheetName val="BALSHT"/>
      <sheetName val="D-1b"/>
      <sheetName val="A-1"/>
      <sheetName val="B-1"/>
      <sheetName val="B-2"/>
      <sheetName val="B-3"/>
      <sheetName val="B-3_page #"/>
      <sheetName val="B-17"/>
      <sheetName val="B-6"/>
      <sheetName val="NOI"/>
      <sheetName val="C-1"/>
      <sheetName val="C-2"/>
      <sheetName val="C-3"/>
      <sheetName val="C-4"/>
      <sheetName val="C-5"/>
      <sheetName val="C-11"/>
      <sheetName val="C-23"/>
      <sheetName val="C-44"/>
      <sheetName val="D-1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CF 9&amp;3 VS BUDGET"/>
      <sheetName val="DOWNLOAD"/>
      <sheetName val="MEMO"/>
      <sheetName val="New format"/>
      <sheetName val="QTR RECON"/>
      <sheetName val="RECONS Variance"/>
      <sheetName val="O_INC_DED"/>
      <sheetName val="MTHLY RECON"/>
      <sheetName val="OTHER"/>
      <sheetName val="INCOME STAT."/>
      <sheetName val="OTHER INC."/>
      <sheetName val="BALANCE SH."/>
      <sheetName val="BALANCE SH. (new)"/>
      <sheetName val="BS ACCTS"/>
      <sheetName val="IS ACCTS"/>
      <sheetName val="CASH FLOWS"/>
      <sheetName val="CASH FLOWS BKUP"/>
      <sheetName val="CF for SS"/>
      <sheetName val="New CF Pres"/>
      <sheetName val="CF (FAS 95)"/>
      <sheetName val="CF BKUP (FAS 95)"/>
      <sheetName val="PLANT"/>
      <sheetName val="O M"/>
      <sheetName val="Cash Pres 1"/>
      <sheetName val="Cash Pres 2"/>
      <sheetName val="Cash Pres 3"/>
      <sheetName val="Cash Pres 4"/>
      <sheetName val="CF GOALS"/>
      <sheetName val="FOR INCENTIVE GOAL"/>
      <sheetName val="CF BKUP TECO ENERGY"/>
      <sheetName val="OOR"/>
      <sheetName val="CAPITAL"/>
      <sheetName val="OTHER (2)"/>
      <sheetName val="Estimates Recon"/>
      <sheetName val="STOCK"/>
      <sheetName val="REVENUE"/>
      <sheetName val="CONS ROI"/>
      <sheetName val="ENVIR ROI"/>
      <sheetName val="OBBSACCTS"/>
      <sheetName val="VBSACCTS"/>
      <sheetName val="VPYBSACCTS"/>
      <sheetName val="PYBSACCTS"/>
      <sheetName val="OBISACCTS"/>
      <sheetName val="VISACCTS"/>
      <sheetName val="VPYISACCTS"/>
      <sheetName val="PYISACCTS"/>
      <sheetName val="GOAL 7 BUD"/>
      <sheetName val="OOR TEFIS"/>
      <sheetName val="O_INC_DED TEFIS"/>
      <sheetName val="DEF REV INT 99"/>
      <sheetName val="DEF REV INT 98"/>
      <sheetName val="DEF REV JE"/>
      <sheetName val="REV REFUND "/>
      <sheetName val="INT ANALYSIS"/>
      <sheetName val="DEF REV INT 95"/>
      <sheetName val="DEF REV INT 96"/>
      <sheetName val="DEF REV INT 97"/>
      <sheetName val="OOR MEMO"/>
      <sheetName val="ROE"/>
      <sheetName val="OTL"/>
      <sheetName val="PROCEDURES"/>
      <sheetName val="PE_C_actual"/>
      <sheetName val="PE_C Bud"/>
      <sheetName val="MACRO"/>
      <sheetName val="HEADING"/>
      <sheetName val="Business Plan"/>
      <sheetName val="Fin. Stmts"/>
      <sheetName val="ENRGY PLAN BOOK"/>
      <sheetName val="RECONS"/>
      <sheetName val="RANGENAMES"/>
      <sheetName val="Polk_recon"/>
      <sheetName val="OBINCOME STAT."/>
      <sheetName val="OBREVENUE"/>
      <sheetName val="OOR VAR"/>
      <sheetName val="BUDGET RECON"/>
      <sheetName val="ENRGYCONSOL"/>
      <sheetName val="ASSUMPTIONS"/>
      <sheetName val="INTEREST EXP"/>
      <sheetName val="INT EXP"/>
      <sheetName val="FUEL RECON"/>
      <sheetName val="TESAM FINANCIALS"/>
      <sheetName val="EE Procedures"/>
      <sheetName val="Quarterly Recons Budget"/>
      <sheetName val="CF Recon (Budget)"/>
      <sheetName val="CF Recon (Forecast)"/>
      <sheetName val="CF Recon (Forbackup)"/>
      <sheetName val="DL1206"/>
      <sheetName val="DL1205"/>
      <sheetName val="216.01"/>
      <sheetName val="2007 CF Budget"/>
      <sheetName val="07 CF BUD WKST"/>
      <sheetName val="CF to TECO"/>
      <sheetName val="Unadj. CF fr. TECO"/>
      <sheetName val="2007 BS A Budget (FINAL)"/>
      <sheetName val="2007 BS L Budget (FINAL)"/>
      <sheetName val="BS TO TECO"/>
      <sheetName val="2007 IS Budget  (FINAL)"/>
      <sheetName val="IS TO TECO"/>
      <sheetName val="Unadj. CF (link)"/>
      <sheetName val="2007 BS A Budget"/>
      <sheetName val="2007 BS L Budget"/>
      <sheetName val="2007 IS Budget "/>
      <sheetName val="Unadj. CF"/>
      <sheetName val="DL0906"/>
      <sheetName val="Review sheet"/>
      <sheetName val="2007 BUDGET tax py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 ACCOUNTS"/>
      <sheetName val="SURV INPUTS"/>
      <sheetName val="SURV ACCOUNTS"/>
      <sheetName val="T.O.C."/>
      <sheetName val="SURV REPORT"/>
      <sheetName val="TRANS SEP"/>
      <sheetName val="New Sep Factors"/>
      <sheetName val="WC INPUTS"/>
      <sheetName val="WC"/>
      <sheetName val="PRINTING"/>
      <sheetName val="NOTE"/>
      <sheetName val="RB vs CAP"/>
      <sheetName val="COMPARISON to Bud"/>
      <sheetName val="COMPARISON to Act"/>
      <sheetName val="ROE Ratios"/>
      <sheetName val="ROR Adjustments"/>
      <sheetName val="Equity Adjustments"/>
      <sheetName val="Book-Surv Summary"/>
      <sheetName val="ROE Recon"/>
      <sheetName val="ROE Recon w-Budget"/>
      <sheetName val="Recon verbal descrip"/>
      <sheetName val="historical compare"/>
      <sheetName val="Recon Summary"/>
      <sheetName val="NI Summary"/>
      <sheetName val="Rev_Exp_Variances"/>
      <sheetName val="Test Wrkst"/>
      <sheetName val="Meeting Not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22Formatted"/>
      <sheetName val="B-22draft"/>
      <sheetName val="B-23 Formatted"/>
      <sheetName val="B-23draft"/>
      <sheetName val="C-20 (from Brady G.)"/>
      <sheetName val="C-21 (from Brady G.)"/>
      <sheetName val="C-22Formatted"/>
      <sheetName val="C-23 from Hal"/>
      <sheetName val="C-22draft"/>
      <sheetName val="C-25"/>
      <sheetName val="C-26"/>
      <sheetName val="C-27"/>
      <sheetName val="C-28"/>
      <sheetName val="from Others ---&gt;&gt;"/>
      <sheetName val="G-12 (see C-22 (12-31-06)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22"/>
      <sheetName val="B-23"/>
      <sheetName val="C-20 (from Brady G.)"/>
      <sheetName val="C-21 (from Brady G.)"/>
      <sheetName val="C-23 (Hal B.)"/>
      <sheetName val="C-22"/>
      <sheetName val="C-25"/>
      <sheetName val="C-26"/>
      <sheetName val="C-27"/>
      <sheetName val="C-28"/>
      <sheetName val="from Others ---&gt;&gt;"/>
      <sheetName val="G-12 (see C-22 (12-31-06)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Data"/>
      <sheetName val="Schedules"/>
      <sheetName val="A-1"/>
      <sheetName val="A-2"/>
      <sheetName val="A-3"/>
      <sheetName val="A-4"/>
      <sheetName val="A-5"/>
      <sheetName val="BalDat"/>
      <sheetName val="BsWksHY"/>
      <sheetName val="B-1"/>
      <sheetName val="B-2"/>
      <sheetName val="B-3"/>
      <sheetName val="B-4"/>
      <sheetName val="B-5"/>
      <sheetName val="B-6"/>
      <sheetName val="B-7"/>
      <sheetName val="B-8"/>
      <sheetName val="B-9"/>
      <sheetName val="B-10"/>
      <sheetName val="B-11"/>
      <sheetName val="B-12"/>
      <sheetName val="B-13"/>
      <sheetName val="B-14"/>
      <sheetName val="B-15"/>
      <sheetName val="B-16"/>
      <sheetName val="B-17"/>
      <sheetName val="B-18"/>
      <sheetName val="B-19"/>
      <sheetName val="B-20"/>
      <sheetName val="B-21"/>
      <sheetName val="B-22"/>
      <sheetName val="B-23"/>
      <sheetName val="B-24"/>
      <sheetName val="B-25"/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"/>
      <sheetName val="C-26"/>
      <sheetName val="C-27"/>
      <sheetName val="C-28"/>
      <sheetName val="C-29"/>
      <sheetName val="C-30"/>
      <sheetName val="C-31"/>
      <sheetName val="C-32"/>
      <sheetName val="C-33"/>
      <sheetName val="C-34"/>
      <sheetName val="C-35"/>
      <sheetName val="C-36"/>
      <sheetName val="C-37"/>
      <sheetName val="C-38"/>
      <sheetName val="C-39"/>
      <sheetName val="C-40"/>
      <sheetName val="C-41"/>
      <sheetName val="C-42"/>
      <sheetName val="C-43"/>
      <sheetName val="C-44"/>
      <sheetName val="D-1a"/>
      <sheetName val="D-4a"/>
      <sheetName val="D-4b"/>
      <sheetName val="D-5"/>
      <sheetName val="D-6"/>
      <sheetName val="D-7"/>
      <sheetName val="D-8"/>
      <sheetName val="D-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Download"/>
      <sheetName val="Reformat Cons"/>
      <sheetName val="DOWNLOAD03"/>
      <sheetName val="Consolidated IS"/>
      <sheetName val="PEC Income Stmt"/>
      <sheetName val="IS Worksheet"/>
      <sheetName val="PEC Budget IS"/>
      <sheetName val="PEC Budg IS WKT"/>
      <sheetName val="Consolidated BS"/>
      <sheetName val="BS Worksheet"/>
      <sheetName val="Page 4"/>
      <sheetName val="&quot;other&quot; RECON"/>
      <sheetName val="181 query"/>
      <sheetName val=" VEHICLE DEPREC"/>
      <sheetName val="CF Pres"/>
      <sheetName val="CF-RANDY"/>
      <sheetName val="CONSOL. CF"/>
      <sheetName val="Estimate"/>
      <sheetName val="Page 1"/>
      <sheetName val="Page 2"/>
      <sheetName val="Page 3"/>
      <sheetName val="Page 5"/>
      <sheetName val="Page 6"/>
      <sheetName val="Page 7"/>
      <sheetName val="Page 8"/>
      <sheetName val="Page 9"/>
      <sheetName val="Page 10"/>
      <sheetName val="Page 11"/>
      <sheetName val="Detail of Int Expense"/>
      <sheetName val="REG. A. L."/>
      <sheetName val="RECONCILATION"/>
      <sheetName val="BUDGET"/>
      <sheetName val="ESOP GOALS"/>
      <sheetName val="2004 cash flow goal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cDonald, Derrick S." id="{EBA5AEEA-6B1A-4E23-9E17-514CF0D8162D}" userId="S-1-5-21-1739600508-1680686236-2130403006-137949" providerId="AD"/>
</personList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coenergy.sharepoint.com/ELECTRIC/Tax%20Reform/Excess%20deferreds%20calcs/TEC%20Report%2051051%20Tax%20Reform%20Check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coenergy.sharepoint.com/ELECTRIC/Tax%20Reform/Docket%2020180045/VS-%20TEC%20%20PGS%202017%20Total%20Deferred%20Tax%20Adj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coenergy.sharepoint.com/ELECTRIC/Tax%20Reform/Docket%2020180045/VS-%20TEC%20%20PGS%202017%20Total%20Deferred%20Tax%20Adj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coenergy.sharepoint.com/ELECTRIC/Tax%20Reform/Excess%20deferreds%20calcs/TEC%20Report%2051051%20Tax%20Reform%20Check.xlsx" TargetMode="External"/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vellan, David" refreshedDate="43188.360158333337" createdVersion="6" refreshedVersion="6" minRefreshableVersion="3" recordCount="104" xr:uid="{7CF773AE-1379-4228-9ABD-03FD854F1369}">
  <cacheSource type="worksheet">
    <worksheetSource ref="A10:N114" sheet="Report 51051" r:id="rId2"/>
  </cacheSource>
  <cacheFields count="14">
    <cacheField name="M Item" numFmtId="0">
      <sharedItems/>
    </cacheField>
    <cacheField name="&quot;Beginning _x000d__x000a_Balance&quot;" numFmtId="8">
      <sharedItems containsSemiMixedTypes="0" containsString="0" containsNumber="1" minValue="-2467663268.46" maxValue="268538363"/>
    </cacheField>
    <cacheField name="&quot;Current_x000d__x000a_Activity&quot;" numFmtId="8">
      <sharedItems containsSemiMixedTypes="0" containsString="0" containsNumber="1" containsInteger="1" minValue="0" maxValue="0"/>
    </cacheField>
    <cacheField name="&quot;True-Up_x000d__x000a_Activity&quot;" numFmtId="8">
      <sharedItems containsSemiMixedTypes="0" containsString="0" containsNumber="1" containsInteger="1" minValue="0" maxValue="0"/>
    </cacheField>
    <cacheField name="&quot;Adjustment_x000d__x000a_Activity&quot;" numFmtId="8">
      <sharedItems containsSemiMixedTypes="0" containsString="0" containsNumber="1" containsInteger="1" minValue="0" maxValue="0"/>
    </cacheField>
    <cacheField name="Gross Timing Difference" numFmtId="8">
      <sharedItems containsSemiMixedTypes="0" containsString="0" containsNumber="1" minValue="-2467663268.46" maxValue="268538363"/>
    </cacheField>
    <cacheField name="&quot;DIT Beginning _x000d__x000a_Balance&quot;" numFmtId="8">
      <sharedItems containsSemiMixedTypes="0" containsString="0" containsNumber="1" minValue="-863682143.96000004" maxValue="83587514.109999999"/>
    </cacheField>
    <cacheField name="&quot;Current_x000d__x000a_Activity&quot;2" numFmtId="8">
      <sharedItems containsSemiMixedTypes="0" containsString="0" containsNumber="1" minValue="-19783342.280000001" maxValue="50072377.409999996"/>
    </cacheField>
    <cacheField name="&quot;True-Up_x000d__x000a_Activity&quot;2" numFmtId="8">
      <sharedItems containsSemiMixedTypes="0" containsString="0" containsNumber="1" containsInteger="1" minValue="0" maxValue="0"/>
    </cacheField>
    <cacheField name="&quot;Adjustment_x000d__x000a_Activity&quot;2" numFmtId="8">
      <sharedItems containsSemiMixedTypes="0" containsString="0" containsNumber="1" minValue="-28576069.850000001" maxValue="295400480.17000002"/>
    </cacheField>
    <cacheField name="After Tax Deferred Tax Liability" numFmtId="8">
      <sharedItems containsSemiMixedTypes="0" containsString="0" containsNumber="1" minValue="-518209286.38" maxValue="54919651.200000003"/>
    </cacheField>
    <cacheField name="Rate" numFmtId="0">
      <sharedItems containsMixedTypes="1" containsNumber="1" minValue="0" maxValue="0.28129961999999997"/>
    </cacheField>
    <cacheField name="Normalization" numFmtId="0">
      <sharedItems count="2">
        <s v="Unprotected"/>
        <s v="Protected"/>
      </sharedItems>
    </cacheField>
    <cacheField name="Excess DTL" numFmtId="8">
      <sharedItems containsSemiMixedTypes="0" containsString="0" containsNumber="1" minValue="-28667862.91" maxValue="345472857.58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vellan, David" refreshedDate="43224.432131597219" createdVersion="6" refreshedVersion="6" minRefreshableVersion="3" recordCount="105" xr:uid="{10320449-117F-4687-8D35-DBC3730CD18F}">
  <cacheSource type="worksheet">
    <worksheetSource ref="N10:R114" sheet="TEC Total Deferred Taxes" r:id="rId2"/>
  </cacheSource>
  <cacheFields count="5">
    <cacheField name="Normalization" numFmtId="0">
      <sharedItems count="2">
        <s v="Unprotected"/>
        <s v="Protected"/>
      </sharedItems>
    </cacheField>
    <cacheField name="Excess DTL" numFmtId="8">
      <sharedItems containsString="0" containsBlank="1" containsNumber="1" minValue="-27759511.457740992" maxValue="395187966.17559999"/>
    </cacheField>
    <cacheField name="Original Grossup" numFmtId="8">
      <sharedItems containsString="0" containsBlank="1" containsNumber="1" minValue="-10669553.640000001" maxValue="112367960.79000001"/>
    </cacheField>
    <cacheField name="True-Up Activity Grossup" numFmtId="8">
      <sharedItems containsSemiMixedTypes="0" containsString="0" containsNumber="1" minValue="-32527046.809221022" maxValue="16878031.308760051"/>
    </cacheField>
    <cacheField name="Total Grossup" numFmtId="8">
      <sharedItems containsSemiMixedTypes="0" containsString="0" containsNumber="1" minValue="-10342922.398073368" maxValue="129245992.09876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vellan, David" refreshedDate="43237.470620601853" createdVersion="6" refreshedVersion="6" minRefreshableVersion="3" recordCount="103" xr:uid="{F8A83270-2A1A-412C-9D53-5FD52CE2AA64}">
  <cacheSource type="worksheet">
    <worksheetSource ref="A10:O113" sheet="TEC Total Deferred Taxes" r:id="rId2"/>
  </cacheSource>
  <cacheFields count="14">
    <cacheField name="M Item" numFmtId="0">
      <sharedItems/>
    </cacheField>
    <cacheField name="&quot;Beginning _x000d__x000a_Balance&quot;" numFmtId="8">
      <sharedItems containsSemiMixedTypes="0" containsString="0" containsNumber="1" minValue="-2467663268.46" maxValue="268538363"/>
    </cacheField>
    <cacheField name="&quot;Current_x000d__x000a_Activity&quot;" numFmtId="8">
      <sharedItems containsSemiMixedTypes="0" containsString="0" containsNumber="1" containsInteger="1" minValue="0" maxValue="0"/>
    </cacheField>
    <cacheField name="&quot;True-Up_x000d__x000a_Activity&quot;" numFmtId="0">
      <sharedItems containsSemiMixedTypes="0" containsString="0" containsNumber="1" minValue="-397264729.1400001" maxValue="724188117.67000008"/>
    </cacheField>
    <cacheField name="&quot;Adjustment_x000d__x000a_Activity&quot;" numFmtId="8">
      <sharedItems containsSemiMixedTypes="0" containsString="0" containsNumber="1" containsInteger="1" minValue="0" maxValue="0"/>
    </cacheField>
    <cacheField name="Gross Timing Difference" numFmtId="8">
      <sharedItems containsSemiMixedTypes="0" containsString="0" containsNumber="1" minValue="-2822771187" maxValue="268538363"/>
    </cacheField>
    <cacheField name="&quot;DIT Beginning _x000d__x000a_Balance&quot;" numFmtId="8">
      <sharedItems containsSemiMixedTypes="0" containsString="0" containsNumber="1" minValue="-863682143.96000004" maxValue="83587514.109999999"/>
    </cacheField>
    <cacheField name="&quot;Current_x000d__x000a_Activity&quot;2" numFmtId="8">
      <sharedItems containsSemiMixedTypes="0" containsString="0" containsNumber="1" minValue="-19783342.280000001" maxValue="50072377.409999996"/>
    </cacheField>
    <cacheField name="&quot;True-Up_x000d__x000a_Activity&quot;2" numFmtId="8">
      <sharedItems containsSemiMixedTypes="0" containsString="0" containsNumber="1" minValue="-95810087.967740998" maxValue="49715108.595599987"/>
    </cacheField>
    <cacheField name="&quot;Adjustment_x000d__x000a_Activity&quot;2" numFmtId="8">
      <sharedItems containsSemiMixedTypes="0" containsString="0" containsNumber="1" minValue="-28576069.850000001" maxValue="295400480.17000002"/>
    </cacheField>
    <cacheField name="After Tax Deferred Tax Liability" numFmtId="8">
      <sharedItems containsSemiMixedTypes="0" containsString="0" containsNumber="1" minValue="-468494177.78440005" maxValue="75562943.073413998"/>
    </cacheField>
    <cacheField name="Rate" numFmtId="0">
      <sharedItems containsMixedTypes="1" containsNumber="1" minValue="0" maxValue="0.28129961999999997"/>
    </cacheField>
    <cacheField name="Normalization" numFmtId="0">
      <sharedItems count="2">
        <s v="Unprotected"/>
        <s v="Protected"/>
      </sharedItems>
    </cacheField>
    <cacheField name="Excess DTL" numFmtId="8">
      <sharedItems containsSemiMixedTypes="0" containsString="0" containsNumber="1" minValue="-27759511.457740992" maxValue="395187966.1755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vellan, David" refreshedDate="43188.360571759258" createdVersion="6" refreshedVersion="6" minRefreshableVersion="3" recordCount="70" xr:uid="{AA00F81B-20BB-4242-9F2E-593EE01B6250}">
  <cacheSource type="worksheet">
    <worksheetSource ref="A6:F76" sheet="Gross up" r:id="rId2"/>
  </cacheSource>
  <cacheFields count="6">
    <cacheField name="M Description" numFmtId="0">
      <sharedItems/>
    </cacheField>
    <cacheField name="Beg Balance For_x000d__x000a_Rate Change Beg Bal Trueup" numFmtId="8">
      <sharedItems containsSemiMixedTypes="0" containsString="0" containsNumber="1" minValue="-46018604.840000004" maxValue="15914732.550000001"/>
    </cacheField>
    <cacheField name="Activity For_x000d__x000a_Rate Change Beg Bal Trueup - Rate Change YTD Trueup" numFmtId="8">
      <sharedItems containsSemiMixedTypes="0" containsString="0" containsNumber="1" minValue="-10669553.640000001" maxValue="112367960.79000001"/>
    </cacheField>
    <cacheField name="YTD Ending_x000d__x000a_Rate Change YTD Trueup" numFmtId="8">
      <sharedItems containsSemiMixedTypes="0" containsString="0" containsNumber="1" minValue="-10669597.789999999" maxValue="112065183.08"/>
    </cacheField>
    <cacheField name="End Balance For_x000d__x000a_Rate Change YTD Trueup" numFmtId="8">
      <sharedItems containsSemiMixedTypes="0" containsString="0" containsNumber="1" minValue="-16345282.65" maxValue="123073892.58"/>
    </cacheField>
    <cacheField name="Normalization" numFmtId="0">
      <sharedItems count="2">
        <s v="Unprotected"/>
        <s v="Protecte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">
  <r>
    <s v="401K - PERFORMANCE MATCH"/>
    <n v="1413314.26"/>
    <n v="0"/>
    <n v="0"/>
    <n v="0"/>
    <n v="1413314.26"/>
    <n v="545185.97"/>
    <n v="-147820.67000000001"/>
    <n v="0"/>
    <n v="-39160.81"/>
    <n v="358204.49"/>
    <n v="0.25344999000000001"/>
    <x v="0"/>
    <n v="-186981.48"/>
  </r>
  <r>
    <s v="ACC DEF ITC 10% - 1975 - GT"/>
    <n v="-8"/>
    <n v="0"/>
    <n v="0"/>
    <n v="0"/>
    <n v="-8"/>
    <n v="-4.5599999999999996"/>
    <n v="0"/>
    <n v="0"/>
    <n v="2.3199999999999998"/>
    <n v="-2.2400000000000002"/>
    <n v="0.28000000000000003"/>
    <x v="0"/>
    <n v="2.3199999999999998"/>
  </r>
  <r>
    <s v="ACC DEF ITC 10% - 1980"/>
    <n v="11972.36"/>
    <n v="0"/>
    <n v="0"/>
    <n v="0"/>
    <n v="11972.36"/>
    <n v="6821.86"/>
    <n v="108.69"/>
    <n v="0"/>
    <n v="-3562.79"/>
    <n v="3367.76"/>
    <n v="0.28129458000000002"/>
    <x v="0"/>
    <n v="-3454.1"/>
  </r>
  <r>
    <s v="ACC DEF ITC 10% - 1981 - NU"/>
    <n v="351.1"/>
    <n v="0"/>
    <n v="0"/>
    <n v="0"/>
    <n v="351.1"/>
    <n v="200.06"/>
    <n v="5"/>
    <n v="0"/>
    <n v="-106.3"/>
    <n v="98.76"/>
    <n v="0.28128737999999998"/>
    <x v="0"/>
    <n v="-101.3"/>
  </r>
  <r>
    <s v="ACC DEF ITC 10% - 1982"/>
    <n v="232511.59"/>
    <n v="0"/>
    <n v="0"/>
    <n v="0"/>
    <n v="232511.59"/>
    <n v="132485.24"/>
    <n v="3197.4"/>
    <n v="0"/>
    <n v="-70278.539999999994"/>
    <n v="65404.1"/>
    <n v="0.28129393000000003"/>
    <x v="0"/>
    <n v="-67081.14"/>
  </r>
  <r>
    <s v="ACC DEF ITC 10% - 1982 - NU"/>
    <n v="739.16"/>
    <n v="0"/>
    <n v="0"/>
    <n v="0"/>
    <n v="739.16"/>
    <n v="421.17"/>
    <n v="10.1"/>
    <n v="0"/>
    <n v="-223.35"/>
    <n v="207.92"/>
    <n v="0.28129228000000001"/>
    <x v="0"/>
    <n v="-213.25"/>
  </r>
  <r>
    <s v="ACC DEF ITC 10% - 1984"/>
    <n v="148416.04"/>
    <n v="0"/>
    <n v="0"/>
    <n v="0"/>
    <n v="148416.04"/>
    <n v="84567.53"/>
    <n v="1905.32"/>
    <n v="0"/>
    <n v="-44724.32"/>
    <n v="41748.53"/>
    <n v="0.28129391999999998"/>
    <x v="0"/>
    <n v="-42819"/>
  </r>
  <r>
    <s v="ACC DEF ITC 10% - 1984 - GT"/>
    <n v="17832.46"/>
    <n v="0"/>
    <n v="0"/>
    <n v="0"/>
    <n v="17832.46"/>
    <n v="10160.94"/>
    <n v="228.79"/>
    <n v="0"/>
    <n v="-5373.57"/>
    <n v="5016.16"/>
    <n v="0.28129377999999999"/>
    <x v="0"/>
    <n v="-5144.78"/>
  </r>
  <r>
    <s v="ACC DEF ITC 10% - 1985 - GT"/>
    <n v="5014.01"/>
    <n v="0"/>
    <n v="0"/>
    <n v="0"/>
    <n v="5014.01"/>
    <n v="2856.98"/>
    <n v="61.75"/>
    <n v="0"/>
    <n v="-1508.32"/>
    <n v="1410.41"/>
    <n v="0.28129380999999998"/>
    <x v="0"/>
    <n v="-1446.57"/>
  </r>
  <r>
    <s v="ACC DEF ITC 10% - 1986"/>
    <n v="299659.84000000003"/>
    <n v="0"/>
    <n v="0"/>
    <n v="0"/>
    <n v="299659.84000000003"/>
    <n v="170746.34"/>
    <n v="3557.59"/>
    <n v="0"/>
    <n v="-90011.42"/>
    <n v="84292.51"/>
    <n v="0.28129398"/>
    <x v="0"/>
    <n v="-86453.83"/>
  </r>
  <r>
    <s v="ACC DEF ITC 10% - 1986 - GT"/>
    <n v="397.09"/>
    <n v="0"/>
    <n v="0"/>
    <n v="0"/>
    <n v="397.09"/>
    <n v="226.25"/>
    <n v="4.93"/>
    <n v="0"/>
    <n v="-119.48"/>
    <n v="111.7"/>
    <n v="0.28129642999999999"/>
    <x v="0"/>
    <n v="-114.55000000000001"/>
  </r>
  <r>
    <s v="ACC DEF ITC 10% - 1987"/>
    <n v="125422.32"/>
    <n v="0"/>
    <n v="0"/>
    <n v="0"/>
    <n v="125422.32"/>
    <n v="71465.710000000006"/>
    <n v="1433.3"/>
    <n v="0"/>
    <n v="-37618.47"/>
    <n v="35280.54"/>
    <n v="0.28129395000000001"/>
    <x v="0"/>
    <n v="-36185.17"/>
  </r>
  <r>
    <s v="ACC DEF ITC 10% - 1988"/>
    <n v="119054.97"/>
    <n v="0"/>
    <n v="0"/>
    <n v="0"/>
    <n v="119054.97"/>
    <n v="67837.600000000006"/>
    <n v="1310.4000000000001"/>
    <n v="0"/>
    <n v="-35658.559999999998"/>
    <n v="33489.440000000002"/>
    <n v="0.28129393000000003"/>
    <x v="0"/>
    <n v="-34348.159999999996"/>
  </r>
  <r>
    <s v="ACC DEF ITC 10% - 1989"/>
    <n v="21364.42"/>
    <n v="0"/>
    <n v="0"/>
    <n v="0"/>
    <n v="21364.42"/>
    <n v="12173.46"/>
    <n v="226.76"/>
    <n v="0"/>
    <n v="-6390.54"/>
    <n v="6009.68"/>
    <n v="0.28129385000000001"/>
    <x v="0"/>
    <n v="-6163.78"/>
  </r>
  <r>
    <s v="ACC DEF ITC 10% - 1990"/>
    <n v="2097.23"/>
    <n v="0"/>
    <n v="0"/>
    <n v="0"/>
    <n v="2097.23"/>
    <n v="1195.01"/>
    <n v="21.57"/>
    <n v="0"/>
    <n v="-626.63"/>
    <n v="589.95000000000005"/>
    <n v="0.28129961999999997"/>
    <x v="0"/>
    <n v="-605.05999999999995"/>
  </r>
  <r>
    <s v="ACC DEF ITC 30% - 2015 - SOLAR"/>
    <n v="-122411.12"/>
    <n v="0"/>
    <n v="0"/>
    <n v="0"/>
    <n v="-122411.12"/>
    <n v="-69749.919999999998"/>
    <n v="17297.73"/>
    <n v="0"/>
    <n v="18018.68"/>
    <n v="-34433.51"/>
    <n v="0.28129397"/>
    <x v="0"/>
    <n v="35316.410000000003"/>
  </r>
  <r>
    <s v="ACC DEF ITC 30% - 2016 - SOLAR "/>
    <n v="-47754.96"/>
    <n v="0"/>
    <n v="0"/>
    <n v="0"/>
    <n v="-47754.96"/>
    <n v="-27210.799999999999"/>
    <n v="13227.93"/>
    <n v="0"/>
    <n v="549.69000000000005"/>
    <n v="-13433.18"/>
    <n v="0.28129391999999998"/>
    <x v="0"/>
    <n v="13777.62"/>
  </r>
  <r>
    <s v="ACC DEF ITC 30% - 2017- SOLAR "/>
    <n v="-327749.51"/>
    <n v="0"/>
    <n v="0"/>
    <n v="0"/>
    <n v="-327749.51"/>
    <n v="-186751.86"/>
    <n v="94557.9"/>
    <n v="0"/>
    <n v="0"/>
    <n v="-92193.96"/>
    <n v="0.28129397"/>
    <x v="0"/>
    <n v="94557.9"/>
  </r>
  <r>
    <s v="ACC DEF ITC 8% - 1983"/>
    <n v="129679.79"/>
    <n v="0"/>
    <n v="0"/>
    <n v="0"/>
    <n v="129679.79"/>
    <n v="73891.63"/>
    <n v="1728.72"/>
    <n v="0"/>
    <n v="-39142.199999999997"/>
    <n v="36478.15"/>
    <n v="0.28129401999999998"/>
    <x v="0"/>
    <n v="-37413.479999999996"/>
  </r>
  <r>
    <s v="ACC DEF ITC 8% - 1983 - GT"/>
    <n v="2283.15"/>
    <n v="0"/>
    <n v="0"/>
    <n v="0"/>
    <n v="2283.15"/>
    <n v="1300.94"/>
    <n v="30.3"/>
    <n v="0"/>
    <n v="-689.01"/>
    <n v="642.23"/>
    <n v="0.28129120000000002"/>
    <x v="0"/>
    <n v="-658.71"/>
  </r>
  <r>
    <s v="ACC DEF ITC 8% - 1984"/>
    <n v="1105595.05"/>
    <n v="0"/>
    <n v="0"/>
    <n v="0"/>
    <n v="1105595.05"/>
    <n v="629968.68999999994"/>
    <n v="14192.8"/>
    <n v="0"/>
    <n v="-333164.28999999998"/>
    <n v="310997.2"/>
    <n v="0.28129395000000001"/>
    <x v="0"/>
    <n v="-318971.49"/>
  </r>
  <r>
    <s v="ACC DEF ITC 8% - 1985"/>
    <n v="703159.24"/>
    <n v="0"/>
    <n v="0"/>
    <n v="0"/>
    <n v="703159.24"/>
    <n v="400660.53"/>
    <n v="8680.8799999999992"/>
    <n v="0"/>
    <n v="-211546.98"/>
    <n v="197794.43"/>
    <n v="0.28129394000000002"/>
    <x v="0"/>
    <n v="-202866.1"/>
  </r>
  <r>
    <s v="ACC DEF ITC BB4 10% - 1981"/>
    <n v="168850.53"/>
    <n v="0"/>
    <n v="0"/>
    <n v="0"/>
    <n v="168850.53"/>
    <n v="96211.13"/>
    <n v="2084.4699999999998"/>
    <n v="0"/>
    <n v="-50798.98"/>
    <n v="47496.62"/>
    <n v="0.28129388"/>
    <x v="0"/>
    <n v="-48714.51"/>
  </r>
  <r>
    <s v="ACC DEF ITC BB4 10% - 1982"/>
    <n v="1286919.57"/>
    <n v="0"/>
    <n v="0"/>
    <n v="0"/>
    <n v="1286919.57"/>
    <n v="733287.51"/>
    <n v="15888.05"/>
    <n v="0"/>
    <n v="-387172.86"/>
    <n v="362002.7"/>
    <n v="0.28129396000000001"/>
    <x v="0"/>
    <n v="-371284.81"/>
  </r>
  <r>
    <s v="ACC DEF ITC BB4 10% - 1984"/>
    <n v="737252.64"/>
    <n v="0"/>
    <n v="0"/>
    <n v="0"/>
    <n v="737252.64"/>
    <n v="420086.97"/>
    <n v="9102.1"/>
    <n v="0"/>
    <n v="-221804.36"/>
    <n v="207384.71"/>
    <n v="0.28129395000000001"/>
    <x v="0"/>
    <n v="-212702.25999999998"/>
  </r>
  <r>
    <s v="ACC DEF ITC BB4 10% - 1986"/>
    <n v="28182.23"/>
    <n v="0"/>
    <n v="0"/>
    <n v="0"/>
    <n v="28182.23"/>
    <n v="16058.25"/>
    <n v="334.4"/>
    <n v="0"/>
    <n v="-8465.16"/>
    <n v="7927.49"/>
    <n v="0.28129391999999998"/>
    <x v="0"/>
    <n v="-8130.76"/>
  </r>
  <r>
    <s v="ACC DEF ITC BB4 10% - 1987"/>
    <n v="26418.77"/>
    <n v="0"/>
    <n v="0"/>
    <n v="0"/>
    <n v="26418.77"/>
    <n v="15053.43"/>
    <n v="301.77999999999997"/>
    <n v="0"/>
    <n v="-7923.77"/>
    <n v="7431.44"/>
    <n v="0.28129394000000002"/>
    <x v="0"/>
    <n v="-7621.9900000000007"/>
  </r>
  <r>
    <s v="ACC DEF ITC BB4 8% - 1983"/>
    <n v="2009194.5"/>
    <n v="0"/>
    <n v="0"/>
    <n v="0"/>
    <n v="2009194.5"/>
    <n v="1144840.18"/>
    <n v="24804.93"/>
    <n v="0"/>
    <n v="-604470.85"/>
    <n v="565174.26"/>
    <n v="0.28129395000000001"/>
    <x v="0"/>
    <n v="-579665.91999999993"/>
  </r>
  <r>
    <s v="ACC DEF ITC BB4 8% - 1984"/>
    <n v="539795.27"/>
    <n v="0"/>
    <n v="0"/>
    <n v="0"/>
    <n v="539795.27"/>
    <n v="307575.65000000002"/>
    <n v="6664.21"/>
    <n v="0"/>
    <n v="-162398.72"/>
    <n v="151841.14000000001"/>
    <n v="0.28129394000000002"/>
    <x v="0"/>
    <n v="-155734.51"/>
  </r>
  <r>
    <s v="ACC DEF ITC BB4 8% - 1985"/>
    <n v="260111.54"/>
    <n v="0"/>
    <n v="0"/>
    <n v="0"/>
    <n v="260111.54"/>
    <n v="148211.70000000001"/>
    <n v="3211.36"/>
    <n v="0"/>
    <n v="-78255.259999999995"/>
    <n v="73167.8"/>
    <n v="0.28129394000000002"/>
    <x v="0"/>
    <n v="-75043.899999999994"/>
  </r>
  <r>
    <s v="ACCRUED BONUS"/>
    <n v="13766654.119999999"/>
    <n v="0"/>
    <n v="0"/>
    <n v="0"/>
    <n v="13766654.119999999"/>
    <n v="5310486.83"/>
    <n v="-252249.82"/>
    <n v="0"/>
    <n v="-1569078.52"/>
    <n v="3489158.49"/>
    <n v="0.25345000000000001"/>
    <x v="0"/>
    <n v="-1821328.34"/>
  </r>
  <r>
    <s v="AFUDC EQUITY"/>
    <n v="-189962004.49000001"/>
    <n v="0"/>
    <n v="0"/>
    <n v="0"/>
    <n v="-189962004.49000001"/>
    <n v="-73277843.230000004"/>
    <n v="208610.15"/>
    <n v="0"/>
    <n v="24923363.039999999"/>
    <n v="-48145870.039999999"/>
    <n v="0.25345000000000001"/>
    <x v="0"/>
    <n v="25131973.189999998"/>
  </r>
  <r>
    <s v="AFUDC EQUITY - DEPR"/>
    <n v="65695048.880000003"/>
    <n v="0"/>
    <n v="0"/>
    <n v="0"/>
    <n v="65695048.880000003"/>
    <n v="25341865.109999999"/>
    <n v="-955393.33"/>
    <n v="0"/>
    <n v="-7736061.6399999997"/>
    <n v="16650410.140000001"/>
    <n v="0.25345000000000001"/>
    <x v="0"/>
    <n v="-8691454.9699999988"/>
  </r>
  <r>
    <s v="AMORT - BOND DISCOUNT"/>
    <n v="-584472.07999999996"/>
    <n v="0"/>
    <n v="0"/>
    <n v="0"/>
    <n v="-584472.07999999996"/>
    <n v="-225460.1"/>
    <n v="-15998.39"/>
    <n v="0"/>
    <n v="93324.04"/>
    <n v="-148134.45000000001"/>
    <n v="0.25345000000000001"/>
    <x v="0"/>
    <n v="77325.649999999994"/>
  </r>
  <r>
    <s v="AMORT - BOND ISSUE COSTS"/>
    <n v="-578156.28"/>
    <n v="0"/>
    <n v="0"/>
    <n v="0"/>
    <n v="-578156.28"/>
    <n v="-223023.79"/>
    <n v="-21995.4"/>
    <n v="0"/>
    <n v="98485.48"/>
    <n v="-146533.71"/>
    <n v="0.25345000000000001"/>
    <x v="0"/>
    <n v="76490.079999999987"/>
  </r>
  <r>
    <s v="AMORT - BOND PREMIUM"/>
    <n v="-1008976.78"/>
    <n v="0"/>
    <n v="0"/>
    <n v="0"/>
    <n v="-1008976.78"/>
    <n v="-389212.79"/>
    <n v="-30591.86"/>
    <n v="0"/>
    <n v="164079.49"/>
    <n v="-255725.16"/>
    <n v="0.25345000000000001"/>
    <x v="0"/>
    <n v="133487.63"/>
  </r>
  <r>
    <s v="AMORT - BOND PUT OPTION"/>
    <n v="0"/>
    <n v="0"/>
    <n v="0"/>
    <n v="0"/>
    <n v="0"/>
    <n v="0"/>
    <n v="0"/>
    <n v="0"/>
    <n v="0"/>
    <n v="0"/>
    <n v="0"/>
    <x v="0"/>
    <n v="0"/>
  </r>
  <r>
    <s v="AMORT - FRANCHISE FEE"/>
    <n v="0"/>
    <n v="0"/>
    <n v="0"/>
    <n v="0"/>
    <n v="0"/>
    <n v="0"/>
    <n v="0"/>
    <n v="0"/>
    <n v="0"/>
    <n v="0"/>
    <n v="0"/>
    <x v="0"/>
    <n v="0"/>
  </r>
  <r>
    <s v="AMORTIZATION FED"/>
    <n v="-169004894.06"/>
    <n v="0"/>
    <n v="0"/>
    <n v="0"/>
    <n v="-169004894.06"/>
    <n v="-59151712.920000002"/>
    <n v="-641937.93999999994"/>
    <n v="0"/>
    <n v="24302623.109999999"/>
    <n v="-35491027.75"/>
    <n v="0.21"/>
    <x v="0"/>
    <n v="23660685.169999998"/>
  </r>
  <r>
    <s v="AMORTIZATION STATE"/>
    <n v="-169004894.06"/>
    <n v="0"/>
    <n v="0"/>
    <n v="0"/>
    <n v="-169004894.06"/>
    <n v="-6041924.96"/>
    <n v="35306.58"/>
    <n v="0"/>
    <n v="-1336644.26"/>
    <n v="-7343262.6399999997"/>
    <n v="4.3450000000000003E-2"/>
    <x v="0"/>
    <n v="-1301337.68"/>
  </r>
  <r>
    <s v="BAD DEBT"/>
    <n v="762122.54"/>
    <n v="0"/>
    <n v="0"/>
    <n v="0"/>
    <n v="762122.54"/>
    <n v="293988.77"/>
    <n v="8611.27"/>
    <n v="0"/>
    <n v="-109440.09"/>
    <n v="193159.95"/>
    <n v="0.25344999000000001"/>
    <x v="0"/>
    <n v="-100828.81999999999"/>
  </r>
  <r>
    <s v="CIAC"/>
    <n v="151141690.06"/>
    <n v="0"/>
    <n v="0"/>
    <n v="0"/>
    <n v="151141690.06"/>
    <n v="58302906.939999998"/>
    <n v="-1648607.57"/>
    <n v="0"/>
    <n v="-18347438.030000001"/>
    <n v="38306861.340000004"/>
    <n v="0.25345000000000001"/>
    <x v="0"/>
    <n v="-19996045.600000001"/>
  </r>
  <r>
    <s v="COST OF REMOVAL"/>
    <n v="-514365657.67000002"/>
    <n v="0"/>
    <n v="0"/>
    <n v="0"/>
    <n v="-514365657.67000002"/>
    <n v="-198416552.44"/>
    <n v="6804611.6699999999"/>
    <n v="0"/>
    <n v="61245964.840000004"/>
    <n v="-130365975.93000001"/>
    <n v="0.25345000000000001"/>
    <x v="0"/>
    <n v="68050576.510000005"/>
  </r>
  <r>
    <s v="CURRENCY ADJ - UNREAL G/L "/>
    <n v="6196.45"/>
    <n v="0"/>
    <n v="0"/>
    <n v="0"/>
    <n v="6196.45"/>
    <n v="2390.2800000000002"/>
    <n v="-880.07"/>
    <n v="0"/>
    <n v="60.27"/>
    <n v="1570.48"/>
    <n v="0.25344834999999999"/>
    <x v="0"/>
    <n v="-819.80000000000007"/>
  </r>
  <r>
    <s v="DEF SEP CO - EMERA FED NOL "/>
    <n v="0"/>
    <n v="0"/>
    <n v="0"/>
    <n v="0"/>
    <n v="0"/>
    <n v="0"/>
    <n v="-19783342.280000001"/>
    <n v="0"/>
    <n v="19783342.280000001"/>
    <n v="0"/>
    <n v="0"/>
    <x v="0"/>
    <n v="0"/>
  </r>
  <r>
    <s v="DEF SEP CO - EMERA FED NOL-PROTECTED"/>
    <n v="141309587.74000001"/>
    <n v="0"/>
    <n v="0"/>
    <n v="0"/>
    <n v="141309587.74000001"/>
    <n v="49458355.710000001"/>
    <n v="0"/>
    <n v="0"/>
    <n v="-19783342.280000001"/>
    <n v="29675013.43"/>
    <n v="0.21"/>
    <x v="1"/>
    <n v="-19783342.280000001"/>
  </r>
  <r>
    <s v="DEF SEP CO - FED NOL - UNPROTECTED"/>
    <n v="194143570"/>
    <n v="0"/>
    <n v="0"/>
    <n v="0"/>
    <n v="194143570"/>
    <n v="67950249.5"/>
    <n v="0"/>
    <n v="0"/>
    <n v="-27180099.800000001"/>
    <n v="40770149.700000003"/>
    <n v="0.21"/>
    <x v="0"/>
    <n v="-27180099.800000001"/>
  </r>
  <r>
    <s v="DEF SEP CO - FL NOL"/>
    <n v="0"/>
    <n v="0"/>
    <n v="0"/>
    <n v="0"/>
    <n v="0"/>
    <n v="0.01"/>
    <n v="0"/>
    <n v="0"/>
    <n v="-0.01"/>
    <n v="0"/>
    <n v="0"/>
    <x v="0"/>
    <n v="-0.01"/>
  </r>
  <r>
    <s v="DEF SEP CO - FL NOL - UNPROTECTED"/>
    <n v="268538363"/>
    <n v="0"/>
    <n v="0"/>
    <n v="0"/>
    <n v="268538363"/>
    <n v="9600246.4700000007"/>
    <n v="0"/>
    <n v="0"/>
    <n v="2067745.41"/>
    <n v="11667991.880000001"/>
    <n v="4.3450000000000003E-2"/>
    <x v="0"/>
    <n v="2067745.41"/>
  </r>
  <r>
    <s v="DEFERRED COMP "/>
    <n v="248190.04"/>
    <n v="0"/>
    <n v="0"/>
    <n v="0"/>
    <n v="248190.04"/>
    <n v="95739.3"/>
    <n v="-32835.360000000001"/>
    <n v="0"/>
    <n v="-0.17"/>
    <n v="62903.77"/>
    <n v="0.25345002"/>
    <x v="0"/>
    <n v="-32835.53"/>
  </r>
  <r>
    <s v="DEFERRED FUEL"/>
    <n v="-5364387.37"/>
    <n v="0"/>
    <n v="0"/>
    <n v="0"/>
    <n v="-5364387.37"/>
    <n v="-2069312.43"/>
    <n v="-373436.07"/>
    <n v="0"/>
    <n v="1083144.51"/>
    <n v="-1359603.99"/>
    <n v="0.25345000000000001"/>
    <x v="0"/>
    <n v="709708.44"/>
  </r>
  <r>
    <s v="DEFERRED INTEREST - BONDS"/>
    <n v="-11393068.41"/>
    <n v="0"/>
    <n v="0"/>
    <n v="0"/>
    <n v="-11393068.41"/>
    <n v="-4394876.13"/>
    <n v="-460633.82"/>
    <n v="0"/>
    <n v="1967936.76"/>
    <n v="-2887573.19"/>
    <n v="0.25345000000000001"/>
    <x v="0"/>
    <n v="1507302.94"/>
  </r>
  <r>
    <s v="DEFERRED LEASE - NC"/>
    <n v="678520.98"/>
    <n v="0"/>
    <n v="0"/>
    <n v="0"/>
    <n v="678520.98"/>
    <n v="261739.46"/>
    <n v="-7927.9"/>
    <n v="0"/>
    <n v="-81840.42"/>
    <n v="171971.14"/>
    <n v="0.25345000000000001"/>
    <x v="0"/>
    <n v="-89768.319999999992"/>
  </r>
  <r>
    <s v="DEFERRED LEASE - NONUTILITY"/>
    <n v="476208.91"/>
    <n v="0"/>
    <n v="0"/>
    <n v="0"/>
    <n v="476208.91"/>
    <n v="183697.59"/>
    <n v="-8932.67"/>
    <n v="0"/>
    <n v="-54069.77"/>
    <n v="120695.15"/>
    <n v="0.25345000000000001"/>
    <x v="0"/>
    <n v="-63002.439999999995"/>
  </r>
  <r>
    <s v="DEPRECIATION - BOOK"/>
    <n v="-12596149.34"/>
    <n v="0"/>
    <n v="0"/>
    <n v="0"/>
    <n v="-12596149.34"/>
    <n v="-4858964.6100000003"/>
    <n v="-24400.38"/>
    <n v="0"/>
    <n v="1690870.94"/>
    <n v="-3192494.05"/>
    <n v="0.25345000000000001"/>
    <x v="1"/>
    <n v="1666470.56"/>
  </r>
  <r>
    <s v="DEPRECIATION - BOOK TAX DIFF FED"/>
    <n v="-2467663268.46"/>
    <n v="0"/>
    <n v="0"/>
    <n v="0"/>
    <n v="-2467663268.46"/>
    <n v="-863682143.96000004"/>
    <n v="50072377.409999996"/>
    <n v="0"/>
    <n v="295400480.17000002"/>
    <n v="-518209286.38"/>
    <n v="0.21"/>
    <x v="1"/>
    <n v="345472857.58000004"/>
  </r>
  <r>
    <s v="DEPRECIATION - BOOK TAX DIFF STATE"/>
    <n v="-1793631217.8599999"/>
    <n v="0"/>
    <n v="0"/>
    <n v="0"/>
    <n v="-1793631217.8599999"/>
    <n v="-64122316.039999999"/>
    <n v="-798172.94"/>
    <n v="0"/>
    <n v="-13012787.43"/>
    <n v="-77933276.409999996"/>
    <n v="4.3450000000000003E-2"/>
    <x v="1"/>
    <n v="-13810960.369999999"/>
  </r>
  <r>
    <s v="DISMANTLEMENT COSTS"/>
    <n v="125943563.23999999"/>
    <n v="0"/>
    <n v="0"/>
    <n v="0"/>
    <n v="125943563.23999999"/>
    <n v="48582729.520000003"/>
    <n v="-156920.24"/>
    <n v="0"/>
    <n v="-16505413.18"/>
    <n v="31920396.100000001"/>
    <n v="0.25345000000000001"/>
    <x v="0"/>
    <n v="-16662333.42"/>
  </r>
  <r>
    <s v="DREDGING"/>
    <n v="-2183941.7000000002"/>
    <n v="0"/>
    <n v="0"/>
    <n v="0"/>
    <n v="-2183941.7000000002"/>
    <n v="-842455.51"/>
    <n v="38832.31"/>
    <n v="0"/>
    <n v="250103.18"/>
    <n v="-553520.02"/>
    <n v="0.25345000000000001"/>
    <x v="0"/>
    <n v="288935.49"/>
  </r>
  <r>
    <s v="EMISSION ALLOWANCES"/>
    <n v="0"/>
    <n v="0"/>
    <n v="0"/>
    <n v="0"/>
    <n v="0"/>
    <n v="0"/>
    <n v="0"/>
    <n v="0"/>
    <n v="0"/>
    <n v="0"/>
    <n v="0"/>
    <x v="0"/>
    <n v="0"/>
  </r>
  <r>
    <s v="FAS 106 - NC"/>
    <n v="81591563.310000002"/>
    <n v="0"/>
    <n v="0"/>
    <n v="0"/>
    <n v="81591563.310000002"/>
    <n v="31473945.550000001"/>
    <n v="756479.63"/>
    <n v="0"/>
    <n v="-11551043.460000001"/>
    <n v="20679381.719999999"/>
    <n v="0.25345000000000001"/>
    <x v="0"/>
    <n v="-10794563.83"/>
  </r>
  <r>
    <s v="FAS 106 FAS 158 "/>
    <n v="3119528"/>
    <n v="0"/>
    <n v="0"/>
    <n v="0"/>
    <n v="3119528"/>
    <n v="1203357.93"/>
    <n v="0"/>
    <n v="0"/>
    <n v="-412713.56"/>
    <n v="790644.37"/>
    <n v="0.25345000000000001"/>
    <x v="0"/>
    <n v="-412713.56"/>
  </r>
  <r>
    <s v="FAS 106 FAS 158 - C"/>
    <n v="9640008"/>
    <n v="0"/>
    <n v="0"/>
    <n v="0"/>
    <n v="9640008"/>
    <n v="3718633.09"/>
    <n v="-121384.59"/>
    <n v="0"/>
    <n v="-1153988.47"/>
    <n v="2443260.0299999998"/>
    <n v="0.25345000000000001"/>
    <x v="0"/>
    <n v="-1275373.06"/>
  </r>
  <r>
    <s v="FAS 106 FAS 158 - C 283"/>
    <n v="-9640008"/>
    <n v="0"/>
    <n v="0"/>
    <n v="0"/>
    <n v="-9640008"/>
    <n v="-3718633.09"/>
    <n v="121384.59"/>
    <n v="0"/>
    <n v="1153988.47"/>
    <n v="-2443260.0299999998"/>
    <n v="0.25345000000000001"/>
    <x v="0"/>
    <n v="1275373.06"/>
  </r>
  <r>
    <s v="FAS 106 FAS 158 - NC"/>
    <n v="46775125"/>
    <n v="0"/>
    <n v="0"/>
    <n v="0"/>
    <n v="46775125"/>
    <n v="18043504.469999999"/>
    <n v="-2465563.4300000002"/>
    <n v="0"/>
    <n v="-3722785.6"/>
    <n v="11855155.439999999"/>
    <n v="0.25345000000000001"/>
    <x v="0"/>
    <n v="-6188349.0300000003"/>
  </r>
  <r>
    <s v="FAS 106 FAS 158 - NC 283"/>
    <n v="-46775125"/>
    <n v="0"/>
    <n v="0"/>
    <n v="0"/>
    <n v="-46775125"/>
    <n v="-18043504.469999999"/>
    <n v="2465563.4300000002"/>
    <n v="0"/>
    <n v="3722785.6"/>
    <n v="-11855155.439999999"/>
    <n v="0.25345000000000001"/>
    <x v="0"/>
    <n v="6188349.0300000003"/>
  </r>
  <r>
    <s v="FAS 112"/>
    <n v="13977835"/>
    <n v="0"/>
    <n v="0"/>
    <n v="0"/>
    <n v="13977835"/>
    <n v="5391949.8600000003"/>
    <n v="212172.01"/>
    <n v="0"/>
    <n v="-2061439.58"/>
    <n v="3542682.29"/>
    <n v="0.25345000000000001"/>
    <x v="0"/>
    <n v="-1849267.57"/>
  </r>
  <r>
    <s v="FIBER OPTIC"/>
    <n v="383749.84"/>
    <n v="0"/>
    <n v="0"/>
    <n v="0"/>
    <n v="383749.84"/>
    <n v="148031.5"/>
    <n v="11693.21"/>
    <n v="0"/>
    <n v="-62463.31"/>
    <n v="97261.4"/>
    <n v="0.25345001"/>
    <x v="0"/>
    <n v="-50770.1"/>
  </r>
  <r>
    <s v="G/L - SALE OF ASSETS"/>
    <n v="79543.13"/>
    <n v="0"/>
    <n v="0"/>
    <n v="0"/>
    <n v="79543.13"/>
    <n v="30683.759999999998"/>
    <n v="1957.65"/>
    <n v="0"/>
    <n v="-12481.2"/>
    <n v="20160.21"/>
    <n v="0.25345004999999998"/>
    <x v="0"/>
    <n v="-10523.550000000001"/>
  </r>
  <r>
    <s v="GENERAL BUSINESS CREDIT"/>
    <n v="-22320525.66"/>
    <n v="0"/>
    <n v="0"/>
    <n v="0"/>
    <n v="-22320525.66"/>
    <n v="22320525.66"/>
    <n v="0"/>
    <n v="0"/>
    <n v="0"/>
    <n v="22320525.66"/>
    <s v="-1.00000000"/>
    <x v="0"/>
    <n v="0"/>
  </r>
  <r>
    <s v="INSURANCE RESERVE - C"/>
    <n v="0"/>
    <n v="0"/>
    <n v="0"/>
    <n v="0"/>
    <n v="0"/>
    <n v="0"/>
    <n v="-428223.74"/>
    <n v="0"/>
    <n v="428223.74"/>
    <n v="0"/>
    <n v="0"/>
    <x v="0"/>
    <n v="0"/>
  </r>
  <r>
    <s v="INSURANCE RESERVE - NC"/>
    <n v="-27328771.170000002"/>
    <n v="0"/>
    <n v="0"/>
    <n v="0"/>
    <n v="-27328771.170000002"/>
    <n v="-10542073.470000001"/>
    <n v="13057663.529999999"/>
    <n v="0"/>
    <n v="-9442067.1099999994"/>
    <n v="-6926477.0499999998"/>
    <n v="0.25345000000000001"/>
    <x v="0"/>
    <n v="3615596.42"/>
  </r>
  <r>
    <s v="ITC 30% - SOLAR"/>
    <n v="14407398"/>
    <n v="0"/>
    <n v="0"/>
    <n v="0"/>
    <n v="14407398"/>
    <n v="8209343.5999999996"/>
    <n v="-3241948.01"/>
    <n v="0"/>
    <n v="-914681.67"/>
    <n v="4052713.92"/>
    <n v="0.28129395000000001"/>
    <x v="0"/>
    <n v="-4156629.6799999997"/>
  </r>
  <r>
    <s v="LEGAL EXPENSES"/>
    <n v="404156.98"/>
    <n v="0"/>
    <n v="0"/>
    <n v="0"/>
    <n v="404156.98"/>
    <n v="155903.54999999999"/>
    <n v="-49674.23"/>
    <n v="0"/>
    <n v="-3795.73"/>
    <n v="102433.59"/>
    <n v="0.25345001"/>
    <x v="0"/>
    <n v="-53469.960000000006"/>
  </r>
  <r>
    <s v="LONG TERM INCENTIVE"/>
    <n v="6046167.7199999997"/>
    <n v="0"/>
    <n v="0"/>
    <n v="0"/>
    <n v="6046167.7199999997"/>
    <n v="2332309.19"/>
    <n v="-619195.98"/>
    <n v="0"/>
    <n v="-180712.01"/>
    <n v="1532401.2"/>
    <n v="0.25345000000000001"/>
    <x v="0"/>
    <n v="-799907.99"/>
  </r>
  <r>
    <s v="LOSS FROM GRANTOR TRUST"/>
    <n v="272075"/>
    <n v="0"/>
    <n v="0"/>
    <n v="0"/>
    <n v="272075"/>
    <n v="104952.94"/>
    <n v="0"/>
    <n v="0"/>
    <n v="-35995.53"/>
    <n v="68957.41"/>
    <n v="0.25345000000000001"/>
    <x v="0"/>
    <n v="-35995.53"/>
  </r>
  <r>
    <s v="OCI FAS 133 - C"/>
    <n v="933935"/>
    <n v="0"/>
    <n v="0"/>
    <n v="0"/>
    <n v="933935"/>
    <n v="360265.43"/>
    <n v="1640513.38"/>
    <n v="0"/>
    <n v="-1764072.98"/>
    <n v="236705.83"/>
    <n v="0.25345000000000001"/>
    <x v="0"/>
    <n v="-123559.60000000009"/>
  </r>
  <r>
    <s v="OCI FAS 133 - C 283"/>
    <n v="-933935"/>
    <n v="0"/>
    <n v="0"/>
    <n v="0"/>
    <n v="-933935"/>
    <n v="-360265.43"/>
    <n v="-1640513.38"/>
    <n v="0"/>
    <n v="1764072.98"/>
    <n v="-236705.83"/>
    <n v="0.25345000000000001"/>
    <x v="0"/>
    <n v="123559.60000000009"/>
  </r>
  <r>
    <s v="OCI FAS 133 - NC"/>
    <n v="0"/>
    <n v="0"/>
    <n v="0"/>
    <n v="0"/>
    <n v="0"/>
    <n v="0"/>
    <n v="162434.64000000001"/>
    <n v="0"/>
    <n v="-162434.64000000001"/>
    <n v="0"/>
    <n v="0"/>
    <x v="0"/>
    <n v="0"/>
  </r>
  <r>
    <s v="OCI FAS 133 - NC 283"/>
    <n v="0"/>
    <n v="0"/>
    <n v="0"/>
    <n v="0"/>
    <n v="0"/>
    <n v="0"/>
    <n v="-162434.64000000001"/>
    <n v="0"/>
    <n v="162434.64000000001"/>
    <n v="0"/>
    <n v="0"/>
    <x v="0"/>
    <n v="0"/>
  </r>
  <r>
    <s v="OCI FAS 133 INTEREST - NC"/>
    <n v="2309241.1800000002"/>
    <n v="0"/>
    <n v="0"/>
    <n v="0"/>
    <n v="2309241.1800000002"/>
    <n v="890789.78"/>
    <n v="117265.04"/>
    <n v="0"/>
    <n v="-422777.65"/>
    <n v="585277.17000000004"/>
    <n v="0.25345000000000001"/>
    <x v="0"/>
    <n v="-305512.61000000004"/>
  </r>
  <r>
    <s v="PENSION - NC"/>
    <n v="-176830202.81999999"/>
    <n v="0"/>
    <n v="0"/>
    <n v="0"/>
    <n v="-176830202.81999999"/>
    <n v="-68212250.75"/>
    <n v="-66382.179999999993"/>
    <n v="0"/>
    <n v="23461018.02"/>
    <n v="-44817614.909999996"/>
    <n v="0.25345000000000001"/>
    <x v="0"/>
    <n v="23394635.84"/>
  </r>
  <r>
    <s v="PENSION FAS 158"/>
    <n v="1523058"/>
    <n v="0"/>
    <n v="0"/>
    <n v="0"/>
    <n v="1523058"/>
    <n v="587519.62"/>
    <n v="0"/>
    <n v="0"/>
    <n v="-201500.57"/>
    <n v="386019.05"/>
    <n v="0.25345000000000001"/>
    <x v="0"/>
    <n v="-201500.57"/>
  </r>
  <r>
    <s v="PENSION FAS 158 - NC"/>
    <n v="189213304"/>
    <n v="0"/>
    <n v="0"/>
    <n v="0"/>
    <n v="189213304"/>
    <n v="72989032.019999996"/>
    <n v="1653390.67"/>
    <n v="0"/>
    <n v="-26686310.789999999"/>
    <n v="47956111.899999999"/>
    <n v="0.25345000000000001"/>
    <x v="0"/>
    <n v="-25032920.119999997"/>
  </r>
  <r>
    <s v="PENSION FAS 158 - NC 283"/>
    <n v="-189213304"/>
    <n v="0"/>
    <n v="0"/>
    <n v="0"/>
    <n v="-189213304"/>
    <n v="-72989032.019999996"/>
    <n v="-1653390.67"/>
    <n v="0"/>
    <n v="26686310.789999999"/>
    <n v="-47956111.899999999"/>
    <n v="0.25345000000000001"/>
    <x v="0"/>
    <n v="25032920.119999997"/>
  </r>
  <r>
    <s v="RATE CASE EXPENSE - NC"/>
    <n v="-0.68"/>
    <n v="0"/>
    <n v="0"/>
    <n v="0"/>
    <n v="-0.68"/>
    <n v="-0.27"/>
    <n v="-62609.18"/>
    <n v="0"/>
    <n v="62609.279999999999"/>
    <n v="-0.17"/>
    <n v="0.25"/>
    <x v="0"/>
    <n v="9.9999999998544808E-2"/>
  </r>
  <r>
    <s v="REPAIRS CAPITALIZED ON BOOKS"/>
    <n v="-1213986281.49"/>
    <n v="0"/>
    <n v="0"/>
    <n v="0"/>
    <n v="-1213986281.49"/>
    <n v="-468295208.07999998"/>
    <n v="16769407.33"/>
    <n v="0"/>
    <n v="143840977.71000001"/>
    <n v="-307684823.04000002"/>
    <n v="0.25345000000000001"/>
    <x v="0"/>
    <n v="160610385.04000002"/>
  </r>
  <r>
    <s v="RESTORATION PLAN"/>
    <n v="202435.79"/>
    <n v="0"/>
    <n v="0"/>
    <n v="0"/>
    <n v="202435.79"/>
    <n v="78089.61"/>
    <n v="-7698.94"/>
    <n v="0"/>
    <n v="-19083.310000000001"/>
    <n v="51307.360000000001"/>
    <n v="0.25345003999999999"/>
    <x v="0"/>
    <n v="-26782.25"/>
  </r>
  <r>
    <s v="RESTORATION PLAN FAS 158 - NC"/>
    <n v="381200"/>
    <n v="0"/>
    <n v="0"/>
    <n v="0"/>
    <n v="381200"/>
    <n v="147047.9"/>
    <n v="57749.89"/>
    <n v="0"/>
    <n v="-108182.65"/>
    <n v="96615.14"/>
    <n v="0.25345000000000001"/>
    <x v="0"/>
    <n v="-50432.759999999995"/>
  </r>
  <r>
    <s v="RESTORATION PLAN FAS 158 - NC 283"/>
    <n v="-381200"/>
    <n v="0"/>
    <n v="0"/>
    <n v="0"/>
    <n v="-381200"/>
    <n v="-147047.9"/>
    <n v="-57749.89"/>
    <n v="0"/>
    <n v="108182.65"/>
    <n v="-96615.14"/>
    <n v="0.25345000000000001"/>
    <x v="0"/>
    <n v="50432.759999999995"/>
  </r>
  <r>
    <s v="SEC 263A INDIRECT COSTS"/>
    <n v="41418356.670000002"/>
    <n v="0"/>
    <n v="0"/>
    <n v="0"/>
    <n v="41418356.670000002"/>
    <n v="15977131.08"/>
    <n v="-497543.07"/>
    <n v="0"/>
    <n v="-4982105.51"/>
    <n v="10497482.5"/>
    <n v="0.25345000000000001"/>
    <x v="0"/>
    <n v="-5479648.5800000001"/>
  </r>
  <r>
    <s v="SEC 263A INTEREST CAP"/>
    <n v="216688306.18000001"/>
    <n v="0"/>
    <n v="0"/>
    <n v="0"/>
    <n v="216688306.18000001"/>
    <n v="83587514.109999999"/>
    <n v="-91793.06"/>
    <n v="0"/>
    <n v="-28576069.850000001"/>
    <n v="54919651.200000003"/>
    <n v="0.25345000000000001"/>
    <x v="0"/>
    <n v="-28667862.91"/>
  </r>
  <r>
    <s v="SERP - NC"/>
    <n v="8069212.7000000002"/>
    <n v="0"/>
    <n v="0"/>
    <n v="0"/>
    <n v="8069212.7000000002"/>
    <n v="3112698.81"/>
    <n v="-113746.13"/>
    <n v="0"/>
    <n v="-953810.72"/>
    <n v="2045141.96"/>
    <n v="0.25345000000000001"/>
    <x v="0"/>
    <n v="-1067556.8500000001"/>
  </r>
  <r>
    <s v="SERP FAS 158"/>
    <n v="163086"/>
    <n v="0"/>
    <n v="0"/>
    <n v="0"/>
    <n v="163086"/>
    <n v="62910.42"/>
    <n v="0"/>
    <n v="0"/>
    <n v="-21576.27"/>
    <n v="41334.15"/>
    <n v="0.25345002"/>
    <x v="0"/>
    <n v="-21576.27"/>
  </r>
  <r>
    <s v="SERP FAS 158 - C"/>
    <n v="6335831"/>
    <n v="0"/>
    <n v="0"/>
    <n v="0"/>
    <n v="6335831"/>
    <n v="2444046.81"/>
    <n v="-810181.26"/>
    <n v="0"/>
    <n v="-28049.18"/>
    <n v="1605816.37"/>
    <n v="0.25345000000000001"/>
    <x v="0"/>
    <n v="-838230.44000000006"/>
  </r>
  <r>
    <s v="SERP FAS 158 - C 283"/>
    <n v="-6335831"/>
    <n v="0"/>
    <n v="0"/>
    <n v="0"/>
    <n v="-6335831"/>
    <n v="-2444046.81"/>
    <n v="810181.26"/>
    <n v="0"/>
    <n v="28049.18"/>
    <n v="-1605816.37"/>
    <n v="0.25345000000000001"/>
    <x v="0"/>
    <n v="838230.44000000006"/>
  </r>
  <r>
    <s v="SERP FAS 158 - NC"/>
    <n v="-2920464"/>
    <n v="0"/>
    <n v="0"/>
    <n v="0"/>
    <n v="-2920464"/>
    <n v="-1126568.99"/>
    <n v="928211.51"/>
    <n v="0"/>
    <n v="-541834.12"/>
    <n v="-740191.6"/>
    <n v="0.25345000000000001"/>
    <x v="0"/>
    <n v="386377.39"/>
  </r>
  <r>
    <s v="SERP FAS 158 - NC 283"/>
    <n v="2920464"/>
    <n v="0"/>
    <n v="0"/>
    <n v="0"/>
    <n v="2920464"/>
    <n v="1126568.99"/>
    <n v="-928211.51"/>
    <n v="0"/>
    <n v="541834.12"/>
    <n v="740191.6"/>
    <n v="0.25345000000000001"/>
    <x v="0"/>
    <n v="-386377.39"/>
  </r>
  <r>
    <s v="SOLAR ITC"/>
    <n v="258917.49"/>
    <n v="0"/>
    <n v="0"/>
    <n v="0"/>
    <n v="258917.49"/>
    <n v="90621.119999999995"/>
    <n v="-31435.040000000001"/>
    <n v="0"/>
    <n v="-4813.41"/>
    <n v="54372.67"/>
    <n v="0.20999999"/>
    <x v="0"/>
    <n v="-36248.449999999997"/>
  </r>
  <r>
    <s v="UNBILLED CONSERVATION REV"/>
    <n v="1868924.03"/>
    <n v="0"/>
    <n v="0"/>
    <n v="0"/>
    <n v="1868924.03"/>
    <n v="720937.44"/>
    <n v="-74848.84"/>
    <n v="0"/>
    <n v="-172409.8"/>
    <n v="473678.8"/>
    <n v="0.25345000000000001"/>
    <x v="0"/>
    <n v="-247258.63999999998"/>
  </r>
  <r>
    <s v="UNBILLED ENVIRONMENTAL REV"/>
    <n v="3643458.18"/>
    <n v="0"/>
    <n v="0"/>
    <n v="0"/>
    <n v="3643458.18"/>
    <n v="1405463.99"/>
    <n v="-39132.620000000003"/>
    <n v="0"/>
    <n v="-442896.89"/>
    <n v="923434.48"/>
    <n v="0.25345000000000001"/>
    <x v="0"/>
    <n v="-482029.51"/>
  </r>
  <r>
    <s v="UNBILLED REVENUE/FUEL"/>
    <n v="28071615.890000001"/>
    <n v="0"/>
    <n v="0"/>
    <n v="0"/>
    <n v="28071615.890000001"/>
    <n v="10828625.82"/>
    <n v="171023.03"/>
    <n v="0"/>
    <n v="-3884897.8"/>
    <n v="7114751.0499999998"/>
    <n v="0.25345000000000001"/>
    <x v="0"/>
    <n v="-3713874.77"/>
  </r>
  <r>
    <s v="VACATION ACCRUAL"/>
    <n v="12887665.1"/>
    <n v="0"/>
    <n v="0"/>
    <n v="0"/>
    <n v="12887665.1"/>
    <n v="4971416.82"/>
    <n v="-35401.199999999997"/>
    <n v="0"/>
    <n v="-1669636.9"/>
    <n v="3266378.72"/>
    <n v="0.25345000000000001"/>
    <x v="0"/>
    <n v="-1705038.0999999999"/>
  </r>
  <r>
    <s v="z MISCELLANEOUS - DO NOT USE"/>
    <n v="0"/>
    <n v="0"/>
    <n v="0"/>
    <n v="0"/>
    <n v="0"/>
    <n v="0"/>
    <n v="0"/>
    <n v="0"/>
    <n v="0"/>
    <n v="0"/>
    <n v="0"/>
    <x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">
  <r>
    <x v="0"/>
    <n v="-186981.48"/>
    <n v="-63479.28"/>
    <n v="0"/>
    <n v="-63479.28"/>
  </r>
  <r>
    <x v="0"/>
    <n v="2.3199999999999998"/>
    <m/>
    <n v="0"/>
    <n v="0"/>
  </r>
  <r>
    <x v="0"/>
    <n v="-3454.1"/>
    <m/>
    <n v="0"/>
    <n v="0"/>
  </r>
  <r>
    <x v="0"/>
    <n v="-101.3"/>
    <m/>
    <n v="0"/>
    <n v="0"/>
  </r>
  <r>
    <x v="0"/>
    <n v="-67081.14"/>
    <m/>
    <n v="0"/>
    <n v="0"/>
  </r>
  <r>
    <x v="0"/>
    <n v="-213.25"/>
    <m/>
    <n v="0"/>
    <n v="0"/>
  </r>
  <r>
    <x v="0"/>
    <n v="-42819"/>
    <m/>
    <n v="0"/>
    <n v="0"/>
  </r>
  <r>
    <x v="0"/>
    <n v="-5144.78"/>
    <m/>
    <n v="0"/>
    <n v="0"/>
  </r>
  <r>
    <x v="0"/>
    <n v="-1446.57"/>
    <m/>
    <n v="0"/>
    <n v="0"/>
  </r>
  <r>
    <x v="0"/>
    <n v="-86453.83"/>
    <m/>
    <n v="0"/>
    <n v="0"/>
  </r>
  <r>
    <x v="0"/>
    <n v="-114.55000000000001"/>
    <m/>
    <n v="0"/>
    <n v="0"/>
  </r>
  <r>
    <x v="0"/>
    <n v="-36185.17"/>
    <m/>
    <n v="0"/>
    <n v="0"/>
  </r>
  <r>
    <x v="0"/>
    <n v="-34348.159999999996"/>
    <m/>
    <n v="0"/>
    <n v="0"/>
  </r>
  <r>
    <x v="0"/>
    <n v="-6163.78"/>
    <m/>
    <n v="0"/>
    <n v="0"/>
  </r>
  <r>
    <x v="0"/>
    <n v="-605.05999999999995"/>
    <m/>
    <n v="0"/>
    <n v="0"/>
  </r>
  <r>
    <x v="0"/>
    <n v="35316.410000000003"/>
    <m/>
    <n v="0"/>
    <n v="0"/>
  </r>
  <r>
    <x v="0"/>
    <n v="13777.62"/>
    <m/>
    <n v="0"/>
    <n v="0"/>
  </r>
  <r>
    <x v="0"/>
    <n v="94557.9"/>
    <m/>
    <n v="0"/>
    <n v="0"/>
  </r>
  <r>
    <x v="0"/>
    <n v="-37413.479999999996"/>
    <m/>
    <n v="0"/>
    <n v="0"/>
  </r>
  <r>
    <x v="0"/>
    <n v="-658.71"/>
    <m/>
    <n v="0"/>
    <n v="0"/>
  </r>
  <r>
    <x v="0"/>
    <n v="-318971.49"/>
    <m/>
    <n v="0"/>
    <n v="0"/>
  </r>
  <r>
    <x v="0"/>
    <n v="-202866.1"/>
    <m/>
    <n v="0"/>
    <n v="0"/>
  </r>
  <r>
    <x v="0"/>
    <n v="-48714.51"/>
    <m/>
    <n v="0"/>
    <n v="0"/>
  </r>
  <r>
    <x v="0"/>
    <n v="-371284.81"/>
    <m/>
    <n v="0"/>
    <n v="0"/>
  </r>
  <r>
    <x v="0"/>
    <n v="-212702.25999999998"/>
    <m/>
    <n v="0"/>
    <n v="0"/>
  </r>
  <r>
    <x v="0"/>
    <n v="-8130.76"/>
    <m/>
    <n v="0"/>
    <n v="0"/>
  </r>
  <r>
    <x v="0"/>
    <n v="-7621.9900000000007"/>
    <m/>
    <n v="0"/>
    <n v="0"/>
  </r>
  <r>
    <x v="0"/>
    <n v="-579665.91999999993"/>
    <m/>
    <n v="0"/>
    <n v="0"/>
  </r>
  <r>
    <x v="0"/>
    <n v="-155734.51"/>
    <m/>
    <n v="0"/>
    <n v="0"/>
  </r>
  <r>
    <x v="0"/>
    <n v="-75043.899999999994"/>
    <m/>
    <n v="0"/>
    <n v="0"/>
  </r>
  <r>
    <x v="0"/>
    <n v="-1821328.34"/>
    <n v="-618331.89"/>
    <n v="0"/>
    <n v="-618331.89"/>
  </r>
  <r>
    <x v="0"/>
    <n v="25131973.189999998"/>
    <n v="29673322.190000001"/>
    <n v="0"/>
    <n v="29673322.190000001"/>
  </r>
  <r>
    <x v="0"/>
    <n v="-8929811.9578759987"/>
    <n v="-10262001.390000001"/>
    <n v="-80921.008073366946"/>
    <n v="-10342922.398073368"/>
  </r>
  <r>
    <x v="0"/>
    <n v="77325.649999999994"/>
    <n v="26251.599999999999"/>
    <n v="0"/>
    <n v="26251.599999999999"/>
  </r>
  <r>
    <x v="0"/>
    <n v="76490.079999999987"/>
    <n v="26005.54"/>
    <n v="0"/>
    <n v="26005.54"/>
  </r>
  <r>
    <x v="0"/>
    <n v="133487.63"/>
    <n v="45566.69"/>
    <n v="0"/>
    <n v="45566.69"/>
  </r>
  <r>
    <x v="0"/>
    <n v="0"/>
    <n v="0.01"/>
    <n v="0"/>
    <n v="0.01"/>
  </r>
  <r>
    <x v="0"/>
    <n v="0"/>
    <n v="0.01"/>
    <n v="0"/>
    <n v="0.01"/>
  </r>
  <r>
    <x v="0"/>
    <n v="23833165.441599999"/>
    <n v="10317445.73"/>
    <n v="58556.191597374469"/>
    <n v="10376001.921597375"/>
  </r>
  <r>
    <x v="0"/>
    <n v="-1310824.094938"/>
    <n v="-63182"/>
    <n v="-3220.5905378555954"/>
    <n v="-66402.590537855591"/>
  </r>
  <r>
    <x v="0"/>
    <n v="-100828.81999999999"/>
    <n v="-34262.32"/>
    <n v="0"/>
    <n v="-34262.32"/>
  </r>
  <r>
    <x v="1"/>
    <n v="-10779916.856962003"/>
    <n v="-5389310.9000000004"/>
    <n v="3128829.7232911135"/>
    <n v="-2260481.1767088869"/>
  </r>
  <r>
    <x v="0"/>
    <n v="-27759511.457740992"/>
    <n v="23102831.050000001"/>
    <n v="-32527046.809221022"/>
    <n v="-9424215.7592210211"/>
  </r>
  <r>
    <x v="0"/>
    <n v="-819.80000000000007"/>
    <m/>
    <n v="0"/>
    <n v="0"/>
  </r>
  <r>
    <x v="0"/>
    <n v="0"/>
    <m/>
    <n v="0"/>
    <n v="0"/>
  </r>
  <r>
    <x v="1"/>
    <n v="-19783342.280000001"/>
    <n v="-6716346"/>
    <n v="0"/>
    <n v="-6716346"/>
  </r>
  <r>
    <x v="0"/>
    <n v="-27180099.800000001"/>
    <n v="-9227508.2599999998"/>
    <n v="0"/>
    <n v="-9227508.2599999998"/>
  </r>
  <r>
    <x v="0"/>
    <n v="-0.01"/>
    <m/>
    <n v="0"/>
    <n v="0"/>
  </r>
  <r>
    <x v="0"/>
    <n v="2067745.41"/>
    <n v="701989.23"/>
    <n v="0"/>
    <n v="701989.23"/>
  </r>
  <r>
    <x v="0"/>
    <n v="-32835.53"/>
    <n v="-11147.5"/>
    <n v="0"/>
    <n v="-11147.5"/>
  </r>
  <r>
    <x v="0"/>
    <n v="709708.44"/>
    <n v="240942.48"/>
    <n v="0"/>
    <n v="240942.48"/>
  </r>
  <r>
    <x v="0"/>
    <n v="1507302.94"/>
    <n v="516151.98"/>
    <n v="0"/>
    <n v="516151.98"/>
  </r>
  <r>
    <x v="0"/>
    <n v="-89768.319999999992"/>
    <n v="117164.36"/>
    <n v="0"/>
    <n v="117164.36"/>
  </r>
  <r>
    <x v="0"/>
    <n v="-63002.439999999995"/>
    <n v="62402.01"/>
    <n v="0"/>
    <n v="62402.01"/>
  </r>
  <r>
    <x v="1"/>
    <n v="2.3180004209280014E-3"/>
    <n v="565758.43000000005"/>
    <n v="-565758.4392800252"/>
    <n v="-9.2800251441076398E-3"/>
  </r>
  <r>
    <x v="1"/>
    <n v="395187966.17559999"/>
    <n v="112367960.79000001"/>
    <n v="16878031.308760051"/>
    <n v="129245992.09876005"/>
  </r>
  <r>
    <x v="1"/>
    <n v="-16869898.784378"/>
    <n v="-3310081.38"/>
    <n v="-1038494.3287443629"/>
    <n v="-4348575.7087443629"/>
  </r>
  <r>
    <x v="0"/>
    <n v="-16662333.42"/>
    <n v="-5656779.3799999999"/>
    <n v="0"/>
    <n v="-5656779.3799999999"/>
  </r>
  <r>
    <x v="0"/>
    <n v="288935.49"/>
    <n v="98092.11"/>
    <n v="0"/>
    <n v="98092.11"/>
  </r>
  <r>
    <x v="0"/>
    <n v="0"/>
    <n v="0.12"/>
    <n v="0"/>
    <n v="0.12"/>
  </r>
  <r>
    <x v="0"/>
    <n v="-10794563.83"/>
    <n v="-3664700.52"/>
    <n v="0"/>
    <n v="-3664700.52"/>
  </r>
  <r>
    <x v="0"/>
    <n v="-412713.56"/>
    <n v="-140114.20000000001"/>
    <n v="0"/>
    <n v="-140114.20000000001"/>
  </r>
  <r>
    <x v="0"/>
    <n v="-1275373.06"/>
    <n v="-391773.33"/>
    <n v="0"/>
    <n v="-391773.33"/>
  </r>
  <r>
    <x v="0"/>
    <n v="1275373.06"/>
    <n v="391773.33"/>
    <n v="0"/>
    <n v="391773.33"/>
  </r>
  <r>
    <x v="0"/>
    <n v="-6188349.0300000003"/>
    <n v="-1263867.1299999999"/>
    <n v="0"/>
    <n v="-1263867.1299999999"/>
  </r>
  <r>
    <x v="0"/>
    <n v="6188349.0300000003"/>
    <n v="1263867.1299999999"/>
    <n v="0"/>
    <n v="1263867.1299999999"/>
  </r>
  <r>
    <x v="0"/>
    <n v="-1849267.57"/>
    <n v="-627707.81999999995"/>
    <n v="0"/>
    <n v="-627707.81999999995"/>
  </r>
  <r>
    <x v="0"/>
    <n v="-50770.1"/>
    <n v="-14744.17"/>
    <n v="0"/>
    <n v="-14744.17"/>
  </r>
  <r>
    <x v="0"/>
    <n v="6.0989999965386232E-3"/>
    <n v="-3550.89"/>
    <n v="3572.6947870759486"/>
    <n v="21.804787075948752"/>
  </r>
  <r>
    <x v="0"/>
    <n v="0"/>
    <m/>
    <n v="0"/>
    <n v="0"/>
  </r>
  <r>
    <x v="0"/>
    <n v="0"/>
    <n v="0"/>
    <n v="0"/>
    <n v="0"/>
  </r>
  <r>
    <x v="0"/>
    <n v="3615596.42"/>
    <n v="1243827.73"/>
    <n v="0"/>
    <n v="1243827.73"/>
  </r>
  <r>
    <x v="0"/>
    <n v="-4156629.6799999997"/>
    <m/>
    <n v="0"/>
    <n v="0"/>
  </r>
  <r>
    <x v="0"/>
    <n v="-53469.960000000006"/>
    <m/>
    <n v="0"/>
    <n v="0"/>
  </r>
  <r>
    <x v="0"/>
    <n v="-799907.99"/>
    <n v="-271564.77"/>
    <n v="0"/>
    <n v="-271564.77"/>
  </r>
  <r>
    <x v="0"/>
    <n v="-35995.53"/>
    <n v="-12841.11"/>
    <n v="0"/>
    <n v="-12841.11"/>
  </r>
  <r>
    <x v="0"/>
    <n v="-123559.60000000009"/>
    <n v="-598893.96"/>
    <n v="0"/>
    <n v="-598893.96"/>
  </r>
  <r>
    <x v="0"/>
    <n v="123559.60000000009"/>
    <n v="598893.96"/>
    <n v="0"/>
    <n v="598893.96"/>
  </r>
  <r>
    <x v="0"/>
    <n v="0"/>
    <n v="-55145.75"/>
    <n v="0"/>
    <n v="-55145.75"/>
  </r>
  <r>
    <x v="0"/>
    <n v="0"/>
    <n v="55145.75"/>
    <n v="0"/>
    <n v="55145.75"/>
  </r>
  <r>
    <x v="0"/>
    <n v="-305512.61000000004"/>
    <n v="-143530.91"/>
    <n v="0"/>
    <n v="-143530.91"/>
  </r>
  <r>
    <x v="0"/>
    <n v="23394635.84"/>
    <n v="8254338.1399999997"/>
    <n v="0"/>
    <n v="8254338.1399999997"/>
  </r>
  <r>
    <x v="0"/>
    <n v="-201500.57"/>
    <n v="-68408.44"/>
    <n v="0"/>
    <n v="-68408.44"/>
  </r>
  <r>
    <x v="0"/>
    <n v="-25032920.119999997"/>
    <n v="-9059869.3499999996"/>
    <n v="0"/>
    <n v="-9059869.3499999996"/>
  </r>
  <r>
    <x v="0"/>
    <n v="25032920.119999997"/>
    <n v="9059869.3499999996"/>
    <n v="0"/>
    <n v="9059869.3499999996"/>
  </r>
  <r>
    <x v="0"/>
    <n v="9.9999999998544808E-2"/>
    <n v="0.11"/>
    <n v="0"/>
    <n v="0.11"/>
  </r>
  <r>
    <x v="0"/>
    <n v="173260836.093373"/>
    <n v="54526424.340000004"/>
    <n v="4294765.0116902897"/>
    <n v="58821189.351690292"/>
  </r>
  <r>
    <x v="0"/>
    <n v="-26782.25"/>
    <n v="-9092.4500000000007"/>
    <n v="0"/>
    <n v="-9092.4500000000007"/>
  </r>
  <r>
    <x v="0"/>
    <n v="-50432.759999999995"/>
    <n v="-36727.47"/>
    <n v="0"/>
    <n v="-36727.47"/>
  </r>
  <r>
    <x v="0"/>
    <n v="50432.759999999995"/>
    <n v="36727.47"/>
    <n v="0"/>
    <n v="36727.47"/>
  </r>
  <r>
    <x v="0"/>
    <n v="-1877670.05648597"/>
    <n v="-1860313.35"/>
    <n v="1222853.7362328453"/>
    <n v="-637459.61376715475"/>
  </r>
  <r>
    <x v="0"/>
    <n v="-8024571.0365860052"/>
    <n v="-10669553.640000001"/>
    <n v="7008294.5888644792"/>
    <n v="-3661259.0511355214"/>
  </r>
  <r>
    <x v="0"/>
    <n v="-1067556.8500000001"/>
    <n v="-363195.09"/>
    <n v="0"/>
    <n v="-363195.09"/>
  </r>
  <r>
    <x v="0"/>
    <n v="-21576.27"/>
    <n v="-7325.04"/>
    <n v="0"/>
    <n v="-7325.04"/>
  </r>
  <r>
    <x v="0"/>
    <n v="-838230.44000000006"/>
    <n v="-9522.57"/>
    <n v="0"/>
    <n v="-9522.57"/>
  </r>
  <r>
    <x v="0"/>
    <n v="838230.44000000006"/>
    <n v="9522.57"/>
    <n v="0"/>
    <n v="9522.57"/>
  </r>
  <r>
    <x v="0"/>
    <n v="386377.39"/>
    <n v="-183949.98"/>
    <n v="0"/>
    <n v="-183949.98"/>
  </r>
  <r>
    <x v="0"/>
    <n v="-386377.39"/>
    <n v="183949.98"/>
    <n v="0"/>
    <n v="183949.98"/>
  </r>
  <r>
    <x v="0"/>
    <n v="979915.15859999985"/>
    <n v="-38450.959999999999"/>
    <n v="344982.47485053912"/>
    <n v="306531.5148505391"/>
  </r>
  <r>
    <x v="0"/>
    <n v="-247258.63999999998"/>
    <n v="-84284.68"/>
    <n v="0"/>
    <n v="-84284.68"/>
  </r>
  <r>
    <x v="0"/>
    <n v="-482029.51"/>
    <n v="-164450.85"/>
    <n v="0"/>
    <n v="-164450.85"/>
  </r>
  <r>
    <x v="0"/>
    <n v="-3713874.77"/>
    <n v="-1268593.8700000001"/>
    <n v="0"/>
    <n v="-1268593.8700000001"/>
  </r>
  <r>
    <x v="0"/>
    <n v="-1705038.0999999999"/>
    <n v="-579016.91"/>
    <n v="0"/>
    <n v="-579016.91"/>
  </r>
  <r>
    <x v="0"/>
    <n v="0"/>
    <n v="0"/>
    <n v="0"/>
    <n v="0"/>
  </r>
  <r>
    <x v="0"/>
    <m/>
    <n v="597854.47"/>
    <n v="0"/>
    <n v="597854.4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">
  <r>
    <s v="401K - PERFORMANCE MATCH"/>
    <n v="1413314.26"/>
    <n v="0"/>
    <n v="0"/>
    <n v="0"/>
    <n v="1413314.26"/>
    <n v="545185.97"/>
    <n v="-147820.67000000001"/>
    <n v="0"/>
    <n v="-39160.81"/>
    <n v="358204.48999999993"/>
    <n v="0.25344999000000001"/>
    <x v="0"/>
    <n v="-186981.48"/>
  </r>
  <r>
    <s v="ACC DEF ITC 10% - 1975 - GT"/>
    <n v="-8"/>
    <n v="0"/>
    <n v="0"/>
    <n v="0"/>
    <n v="-8"/>
    <n v="-4.5599999999999996"/>
    <n v="0"/>
    <n v="0"/>
    <n v="2.3199999999999998"/>
    <n v="-2.2399999999999998"/>
    <n v="0.28000000000000003"/>
    <x v="0"/>
    <n v="2.3199999999999998"/>
  </r>
  <r>
    <s v="ACC DEF ITC 10% - 1980"/>
    <n v="11972.36"/>
    <n v="0"/>
    <n v="0"/>
    <n v="0"/>
    <n v="11972.36"/>
    <n v="6821.86"/>
    <n v="108.69"/>
    <n v="0"/>
    <n v="-3562.79"/>
    <n v="3367.7599999999993"/>
    <n v="0.28129458000000002"/>
    <x v="0"/>
    <n v="-3454.1"/>
  </r>
  <r>
    <s v="ACC DEF ITC 10% - 1981 - NU"/>
    <n v="351.1"/>
    <n v="0"/>
    <n v="0"/>
    <n v="0"/>
    <n v="351.1"/>
    <n v="200.06"/>
    <n v="5"/>
    <n v="0"/>
    <n v="-106.3"/>
    <n v="98.76"/>
    <n v="0.28128737999999998"/>
    <x v="0"/>
    <n v="-101.3"/>
  </r>
  <r>
    <s v="ACC DEF ITC 10% - 1982"/>
    <n v="232511.59"/>
    <n v="0"/>
    <n v="0"/>
    <n v="0"/>
    <n v="232511.59"/>
    <n v="132485.24"/>
    <n v="3197.4"/>
    <n v="0"/>
    <n v="-70278.539999999994"/>
    <n v="65404.099999999991"/>
    <n v="0.28129393000000003"/>
    <x v="0"/>
    <n v="-67081.14"/>
  </r>
  <r>
    <s v="ACC DEF ITC 10% - 1982 - NU"/>
    <n v="739.16"/>
    <n v="0"/>
    <n v="0"/>
    <n v="0"/>
    <n v="739.16"/>
    <n v="421.17"/>
    <n v="10.1"/>
    <n v="0"/>
    <n v="-223.35"/>
    <n v="207.92000000000004"/>
    <n v="0.28129228000000001"/>
    <x v="0"/>
    <n v="-213.25"/>
  </r>
  <r>
    <s v="ACC DEF ITC 10% - 1984"/>
    <n v="148416.04"/>
    <n v="0"/>
    <n v="0"/>
    <n v="0"/>
    <n v="148416.04"/>
    <n v="84567.53"/>
    <n v="1905.32"/>
    <n v="0"/>
    <n v="-44724.32"/>
    <n v="41748.530000000006"/>
    <n v="0.28129391999999998"/>
    <x v="0"/>
    <n v="-42819"/>
  </r>
  <r>
    <s v="ACC DEF ITC 10% - 1984 - GT"/>
    <n v="17832.46"/>
    <n v="0"/>
    <n v="0"/>
    <n v="0"/>
    <n v="17832.46"/>
    <n v="10160.94"/>
    <n v="228.79"/>
    <n v="0"/>
    <n v="-5373.57"/>
    <n v="5016.1600000000017"/>
    <n v="0.28129377999999999"/>
    <x v="0"/>
    <n v="-5144.78"/>
  </r>
  <r>
    <s v="ACC DEF ITC 10% - 1985 - GT"/>
    <n v="5014.01"/>
    <n v="0"/>
    <n v="0"/>
    <n v="0"/>
    <n v="5014.01"/>
    <n v="2856.98"/>
    <n v="61.75"/>
    <n v="0"/>
    <n v="-1508.32"/>
    <n v="1410.41"/>
    <n v="0.28129380999999998"/>
    <x v="0"/>
    <n v="-1446.57"/>
  </r>
  <r>
    <s v="ACC DEF ITC 10% - 1986"/>
    <n v="299659.84000000003"/>
    <n v="0"/>
    <n v="0"/>
    <n v="0"/>
    <n v="299659.84000000003"/>
    <n v="170746.34"/>
    <n v="3557.59"/>
    <n v="0"/>
    <n v="-90011.42"/>
    <n v="84292.51"/>
    <n v="0.28129398"/>
    <x v="0"/>
    <n v="-86453.83"/>
  </r>
  <r>
    <s v="ACC DEF ITC 10% - 1986 - GT"/>
    <n v="397.09"/>
    <n v="0"/>
    <n v="0"/>
    <n v="0"/>
    <n v="397.09"/>
    <n v="226.25"/>
    <n v="4.93"/>
    <n v="0"/>
    <n v="-119.48"/>
    <n v="111.7"/>
    <n v="0.28129642999999999"/>
    <x v="0"/>
    <n v="-114.55000000000001"/>
  </r>
  <r>
    <s v="ACC DEF ITC 10% - 1987"/>
    <n v="125422.32"/>
    <n v="0"/>
    <n v="0"/>
    <n v="0"/>
    <n v="125422.32"/>
    <n v="71465.710000000006"/>
    <n v="1433.3"/>
    <n v="0"/>
    <n v="-37618.47"/>
    <n v="35280.540000000008"/>
    <n v="0.28129395000000001"/>
    <x v="0"/>
    <n v="-36185.17"/>
  </r>
  <r>
    <s v="ACC DEF ITC 10% - 1988"/>
    <n v="119054.97"/>
    <n v="0"/>
    <n v="0"/>
    <n v="0"/>
    <n v="119054.97"/>
    <n v="67837.600000000006"/>
    <n v="1310.4000000000001"/>
    <n v="0"/>
    <n v="-35658.559999999998"/>
    <n v="33489.440000000002"/>
    <n v="0.28129393000000003"/>
    <x v="0"/>
    <n v="-34348.159999999996"/>
  </r>
  <r>
    <s v="ACC DEF ITC 10% - 1989"/>
    <n v="21364.42"/>
    <n v="0"/>
    <n v="0"/>
    <n v="0"/>
    <n v="21364.42"/>
    <n v="12173.46"/>
    <n v="226.76"/>
    <n v="0"/>
    <n v="-6390.54"/>
    <n v="6009.6799999999994"/>
    <n v="0.28129385000000001"/>
    <x v="0"/>
    <n v="-6163.78"/>
  </r>
  <r>
    <s v="ACC DEF ITC 10% - 1990"/>
    <n v="2097.23"/>
    <n v="0"/>
    <n v="0"/>
    <n v="0"/>
    <n v="2097.23"/>
    <n v="1195.01"/>
    <n v="21.57"/>
    <n v="0"/>
    <n v="-626.63"/>
    <n v="589.94999999999993"/>
    <n v="0.28129961999999997"/>
    <x v="0"/>
    <n v="-605.05999999999995"/>
  </r>
  <r>
    <s v="ACC DEF ITC 30% - 2015 - SOLAR"/>
    <n v="-122411.12"/>
    <n v="0"/>
    <n v="0"/>
    <n v="0"/>
    <n v="-122411.12"/>
    <n v="-69749.919999999998"/>
    <n v="17297.73"/>
    <n v="0"/>
    <n v="18018.68"/>
    <n v="-34433.51"/>
    <n v="0.28129397"/>
    <x v="0"/>
    <n v="35316.410000000003"/>
  </r>
  <r>
    <s v="ACC DEF ITC 30% - 2016 - SOLAR "/>
    <n v="-47754.96"/>
    <n v="0"/>
    <n v="0"/>
    <n v="0"/>
    <n v="-47754.96"/>
    <n v="-27210.799999999999"/>
    <n v="13227.93"/>
    <n v="0"/>
    <n v="549.69000000000005"/>
    <n v="-13433.179999999998"/>
    <n v="0.28129391999999998"/>
    <x v="0"/>
    <n v="13777.62"/>
  </r>
  <r>
    <s v="ACC DEF ITC 30% - 2017- SOLAR "/>
    <n v="-327749.51"/>
    <n v="0"/>
    <n v="0"/>
    <n v="0"/>
    <n v="-327749.51"/>
    <n v="-186751.86"/>
    <n v="94557.9"/>
    <n v="0"/>
    <n v="0"/>
    <n v="-92193.959999999992"/>
    <n v="0.28129397"/>
    <x v="0"/>
    <n v="94557.9"/>
  </r>
  <r>
    <s v="ACC DEF ITC 8% - 1983"/>
    <n v="129679.79"/>
    <n v="0"/>
    <n v="0"/>
    <n v="0"/>
    <n v="129679.79"/>
    <n v="73891.63"/>
    <n v="1728.72"/>
    <n v="0"/>
    <n v="-39142.199999999997"/>
    <n v="36478.150000000009"/>
    <n v="0.28129401999999998"/>
    <x v="0"/>
    <n v="-37413.479999999996"/>
  </r>
  <r>
    <s v="ACC DEF ITC 8% - 1983 - GT"/>
    <n v="2283.15"/>
    <n v="0"/>
    <n v="0"/>
    <n v="0"/>
    <n v="2283.15"/>
    <n v="1300.94"/>
    <n v="30.3"/>
    <n v="0"/>
    <n v="-689.01"/>
    <n v="642.23"/>
    <n v="0.28129120000000002"/>
    <x v="0"/>
    <n v="-658.71"/>
  </r>
  <r>
    <s v="ACC DEF ITC 8% - 1984"/>
    <n v="1105595.05"/>
    <n v="0"/>
    <n v="0"/>
    <n v="0"/>
    <n v="1105595.05"/>
    <n v="629968.68999999994"/>
    <n v="14192.8"/>
    <n v="0"/>
    <n v="-333164.28999999998"/>
    <n v="310997.2"/>
    <n v="0.28129395000000001"/>
    <x v="0"/>
    <n v="-318971.49"/>
  </r>
  <r>
    <s v="ACC DEF ITC 8% - 1985"/>
    <n v="703159.24"/>
    <n v="0"/>
    <n v="0"/>
    <n v="0"/>
    <n v="703159.24"/>
    <n v="400660.53"/>
    <n v="8680.8799999999992"/>
    <n v="0"/>
    <n v="-211546.98"/>
    <n v="197794.43000000002"/>
    <n v="0.28129394000000002"/>
    <x v="0"/>
    <n v="-202866.1"/>
  </r>
  <r>
    <s v="ACC DEF ITC BB4 10% - 1981"/>
    <n v="168850.53"/>
    <n v="0"/>
    <n v="0"/>
    <n v="0"/>
    <n v="168850.53"/>
    <n v="96211.13"/>
    <n v="2084.4699999999998"/>
    <n v="0"/>
    <n v="-50798.98"/>
    <n v="47496.62"/>
    <n v="0.28129388"/>
    <x v="0"/>
    <n v="-48714.51"/>
  </r>
  <r>
    <s v="ACC DEF ITC BB4 10% - 1982"/>
    <n v="1286919.57"/>
    <n v="0"/>
    <n v="0"/>
    <n v="0"/>
    <n v="1286919.57"/>
    <n v="733287.51"/>
    <n v="15888.05"/>
    <n v="0"/>
    <n v="-387172.86"/>
    <n v="362002.70000000007"/>
    <n v="0.28129396000000001"/>
    <x v="0"/>
    <n v="-371284.81"/>
  </r>
  <r>
    <s v="ACC DEF ITC BB4 10% - 1984"/>
    <n v="737252.64"/>
    <n v="0"/>
    <n v="0"/>
    <n v="0"/>
    <n v="737252.64"/>
    <n v="420086.97"/>
    <n v="9102.1"/>
    <n v="0"/>
    <n v="-221804.36"/>
    <n v="207384.70999999996"/>
    <n v="0.28129395000000001"/>
    <x v="0"/>
    <n v="-212702.25999999998"/>
  </r>
  <r>
    <s v="ACC DEF ITC BB4 10% - 1986"/>
    <n v="28182.23"/>
    <n v="0"/>
    <n v="0"/>
    <n v="0"/>
    <n v="28182.23"/>
    <n v="16058.25"/>
    <n v="334.4"/>
    <n v="0"/>
    <n v="-8465.16"/>
    <n v="7927.4900000000016"/>
    <n v="0.28129391999999998"/>
    <x v="0"/>
    <n v="-8130.76"/>
  </r>
  <r>
    <s v="ACC DEF ITC BB4 10% - 1987"/>
    <n v="26418.77"/>
    <n v="0"/>
    <n v="0"/>
    <n v="0"/>
    <n v="26418.77"/>
    <n v="15053.43"/>
    <n v="301.77999999999997"/>
    <n v="0"/>
    <n v="-7923.77"/>
    <n v="7431.4400000000005"/>
    <n v="0.28129394000000002"/>
    <x v="0"/>
    <n v="-7621.9900000000007"/>
  </r>
  <r>
    <s v="ACC DEF ITC BB4 8% - 1983"/>
    <n v="2009194.5"/>
    <n v="0"/>
    <n v="0"/>
    <n v="0"/>
    <n v="2009194.5"/>
    <n v="1144840.18"/>
    <n v="24804.93"/>
    <n v="0"/>
    <n v="-604470.85"/>
    <n v="565174.25999999989"/>
    <n v="0.28129395000000001"/>
    <x v="0"/>
    <n v="-579665.91999999993"/>
  </r>
  <r>
    <s v="ACC DEF ITC BB4 8% - 1984"/>
    <n v="539795.27"/>
    <n v="0"/>
    <n v="0"/>
    <n v="0"/>
    <n v="539795.27"/>
    <n v="307575.65000000002"/>
    <n v="6664.21"/>
    <n v="0"/>
    <n v="-162398.72"/>
    <n v="151841.14000000004"/>
    <n v="0.28129394000000002"/>
    <x v="0"/>
    <n v="-155734.51"/>
  </r>
  <r>
    <s v="ACC DEF ITC BB4 8% - 1985"/>
    <n v="260111.54"/>
    <n v="0"/>
    <n v="0"/>
    <n v="0"/>
    <n v="260111.54"/>
    <n v="148211.70000000001"/>
    <n v="3211.36"/>
    <n v="0"/>
    <n v="-78255.259999999995"/>
    <n v="73167.8"/>
    <n v="0.28129394000000002"/>
    <x v="0"/>
    <n v="-75043.899999999994"/>
  </r>
  <r>
    <s v="ACCRUED BONUS"/>
    <n v="13766654.119999999"/>
    <n v="0"/>
    <n v="0"/>
    <n v="0"/>
    <n v="13766654.119999999"/>
    <n v="5310486.83"/>
    <n v="-252249.82"/>
    <n v="0"/>
    <n v="-1569078.52"/>
    <n v="3489158.4899999998"/>
    <n v="0.25345000000000001"/>
    <x v="0"/>
    <n v="-1821328.34"/>
  </r>
  <r>
    <s v="AFUDC EQUITY"/>
    <n v="-189962004.49000001"/>
    <n v="0"/>
    <n v="0"/>
    <n v="0"/>
    <n v="-189962004.49000001"/>
    <n v="-73277843.230000004"/>
    <n v="208610.15"/>
    <n v="0"/>
    <n v="24923363.039999999"/>
    <n v="-48145870.039999999"/>
    <n v="0.25345000000000001"/>
    <x v="0"/>
    <n v="25131973.189999998"/>
  </r>
  <r>
    <s v="AFUDC EQUITY - DEPR"/>
    <n v="65695048.880000003"/>
    <n v="0"/>
    <n v="1801640.1199999973"/>
    <n v="0"/>
    <n v="67496689"/>
    <n v="25341865.109999999"/>
    <n v="-955393.33"/>
    <n v="-238356.98787599959"/>
    <n v="-7736061.6399999997"/>
    <n v="16412053.152124003"/>
    <n v="0.25345000000000001"/>
    <x v="0"/>
    <n v="-8929811.9578759987"/>
  </r>
  <r>
    <s v="AMORT - BOND DISCOUNT"/>
    <n v="-584472.07999999996"/>
    <n v="0"/>
    <n v="0"/>
    <n v="0"/>
    <n v="-584472.07999999996"/>
    <n v="-225460.1"/>
    <n v="-15998.39"/>
    <n v="0"/>
    <n v="93324.04"/>
    <n v="-148134.45000000001"/>
    <n v="0.25345000000000001"/>
    <x v="0"/>
    <n v="77325.649999999994"/>
  </r>
  <r>
    <s v="AMORT - BOND ISSUE COSTS"/>
    <n v="-578156.28"/>
    <n v="0"/>
    <n v="0"/>
    <n v="0"/>
    <n v="-578156.28"/>
    <n v="-223023.79"/>
    <n v="-21995.4"/>
    <n v="0"/>
    <n v="98485.48"/>
    <n v="-146533.71000000002"/>
    <n v="0.25345000000000001"/>
    <x v="0"/>
    <n v="76490.079999999987"/>
  </r>
  <r>
    <s v="AMORT - BOND PREMIUM"/>
    <n v="-1008976.78"/>
    <n v="0"/>
    <n v="0"/>
    <n v="0"/>
    <n v="-1008976.78"/>
    <n v="-389212.79"/>
    <n v="-30591.86"/>
    <n v="0"/>
    <n v="164079.49"/>
    <n v="-255725.15999999997"/>
    <n v="0.25345000000000001"/>
    <x v="0"/>
    <n v="133487.63"/>
  </r>
  <r>
    <s v="AMORT - BOND PUT OPTION"/>
    <n v="0"/>
    <n v="0"/>
    <n v="0"/>
    <n v="0"/>
    <n v="0"/>
    <n v="0"/>
    <n v="0"/>
    <n v="0"/>
    <n v="0"/>
    <n v="0"/>
    <n v="0"/>
    <x v="0"/>
    <n v="0"/>
  </r>
  <r>
    <s v="AMORT - FRANCHISE FEE"/>
    <n v="0"/>
    <n v="0"/>
    <n v="0"/>
    <n v="0"/>
    <n v="0"/>
    <n v="0"/>
    <n v="0"/>
    <n v="0"/>
    <n v="0"/>
    <n v="0"/>
    <n v="0"/>
    <x v="0"/>
    <n v="0"/>
  </r>
  <r>
    <s v="AMORTIZATION FED"/>
    <n v="-169004894.06"/>
    <n v="0"/>
    <n v="-1232001.9399999976"/>
    <n v="0"/>
    <n v="-170236896"/>
    <n v="-59151712.920000002"/>
    <n v="-641937.93999999994"/>
    <n v="172480.27159999966"/>
    <n v="24302623.109999999"/>
    <n v="-35318547.478399999"/>
    <n v="0.21"/>
    <x v="0"/>
    <n v="23833165.441599999"/>
  </r>
  <r>
    <s v="AMORTIZATION STATE"/>
    <n v="-169004894.06"/>
    <n v="0"/>
    <n v="-1232001.9399999976"/>
    <n v="0"/>
    <n v="-170236896"/>
    <n v="-6041924.96"/>
    <n v="35306.58"/>
    <n v="-9486.4149379999799"/>
    <n v="-1336644.26"/>
    <n v="-7352749.0549379997"/>
    <n v="4.3450000000000003E-2"/>
    <x v="0"/>
    <n v="-1310824.094938"/>
  </r>
  <r>
    <s v="BAD DEBT"/>
    <n v="762122.54"/>
    <n v="0"/>
    <n v="0"/>
    <n v="0"/>
    <n v="762122.54"/>
    <n v="293988.77"/>
    <n v="8611.27"/>
    <n v="0"/>
    <n v="-109440.09"/>
    <n v="193159.95000000004"/>
    <n v="0.25344999000000001"/>
    <x v="0"/>
    <n v="-100828.81999999999"/>
  </r>
  <r>
    <s v="CIAC"/>
    <n v="151141690.06"/>
    <n v="0"/>
    <n v="-69660837.060000002"/>
    <n v="0"/>
    <n v="81480853"/>
    <n v="58302906.939999998"/>
    <n v="-1648607.57"/>
    <n v="9216128.7430379987"/>
    <n v="-18347438.030000001"/>
    <n v="47522990.083037995"/>
    <n v="0.25345000000000001"/>
    <x v="1"/>
    <n v="-10779916.856962003"/>
  </r>
  <r>
    <s v="COST OF REMOVAL"/>
    <n v="-514365657.67000002"/>
    <n v="0"/>
    <n v="724188117.67000008"/>
    <n v="0"/>
    <n v="209822460.00000006"/>
    <n v="-198416552.44"/>
    <n v="6804611.6699999999"/>
    <n v="-95810087.967740998"/>
    <n v="61245964.840000004"/>
    <n v="-226176063.89774099"/>
    <n v="0.25345000000000001"/>
    <x v="0"/>
    <n v="-27759511.457740992"/>
  </r>
  <r>
    <s v="CURRENCY ADJ - UNREAL G/L "/>
    <n v="6196.45"/>
    <n v="0"/>
    <n v="0"/>
    <n v="0"/>
    <n v="6196.45"/>
    <n v="2390.2800000000002"/>
    <n v="-880.07"/>
    <n v="0"/>
    <n v="60.27"/>
    <n v="1570.48"/>
    <n v="0.25344834999999999"/>
    <x v="0"/>
    <n v="-819.80000000000007"/>
  </r>
  <r>
    <s v="DEF SEP CO - EMERA FED NOL "/>
    <n v="0"/>
    <n v="0"/>
    <n v="0"/>
    <n v="0"/>
    <n v="0"/>
    <n v="0"/>
    <n v="-19783342.280000001"/>
    <n v="0"/>
    <n v="19783342.280000001"/>
    <n v="0"/>
    <n v="0"/>
    <x v="0"/>
    <n v="0"/>
  </r>
  <r>
    <s v="DEF SEP CO - EMERA FED NOL-PROTECTED"/>
    <n v="141309587.74000001"/>
    <n v="0"/>
    <n v="0"/>
    <n v="0"/>
    <n v="141309587.74000001"/>
    <n v="49458355.710000001"/>
    <n v="0"/>
    <n v="0"/>
    <n v="-19783342.280000001"/>
    <n v="29675013.43"/>
    <n v="0.21"/>
    <x v="1"/>
    <n v="-19783342.280000001"/>
  </r>
  <r>
    <s v="DEF SEP CO - FED NOL - UNPROTECTED"/>
    <n v="194143570"/>
    <n v="0"/>
    <n v="0"/>
    <n v="0"/>
    <n v="194143570"/>
    <n v="67950249.5"/>
    <n v="0"/>
    <n v="0"/>
    <n v="-27180099.800000001"/>
    <n v="40770149.700000003"/>
    <n v="0.21"/>
    <x v="0"/>
    <n v="-27180099.800000001"/>
  </r>
  <r>
    <s v="DEF SEP CO - FL NOL"/>
    <n v="0"/>
    <n v="0"/>
    <n v="0"/>
    <n v="0"/>
    <n v="0"/>
    <n v="0.01"/>
    <n v="0"/>
    <n v="0"/>
    <n v="-0.01"/>
    <n v="0"/>
    <n v="0"/>
    <x v="0"/>
    <n v="-0.01"/>
  </r>
  <r>
    <s v="DEF SEP CO - FL NOL - UNPROTECTED"/>
    <n v="268538363"/>
    <n v="0"/>
    <n v="0"/>
    <n v="0"/>
    <n v="268538363"/>
    <n v="9600246.4700000007"/>
    <n v="0"/>
    <n v="0"/>
    <n v="2067745.41"/>
    <n v="11667991.880000001"/>
    <n v="4.3450000000000003E-2"/>
    <x v="0"/>
    <n v="2067745.41"/>
  </r>
  <r>
    <s v="DEFERRED COMP "/>
    <n v="248190.04"/>
    <n v="0"/>
    <n v="0"/>
    <n v="0"/>
    <n v="248190.04"/>
    <n v="95739.3"/>
    <n v="-32835.360000000001"/>
    <n v="0"/>
    <n v="-0.17"/>
    <n v="62903.770000000004"/>
    <n v="0.25345002"/>
    <x v="0"/>
    <n v="-32835.53"/>
  </r>
  <r>
    <s v="DEFERRED FUEL"/>
    <n v="-5364387.37"/>
    <n v="0"/>
    <n v="0"/>
    <n v="0"/>
    <n v="-5364387.37"/>
    <n v="-2069312.43"/>
    <n v="-373436.07"/>
    <n v="0"/>
    <n v="1083144.51"/>
    <n v="-1359603.99"/>
    <n v="0.25345000000000001"/>
    <x v="0"/>
    <n v="709708.44"/>
  </r>
  <r>
    <s v="DEFERRED INTEREST - BONDS"/>
    <n v="-11393068.41"/>
    <n v="0"/>
    <n v="0"/>
    <n v="0"/>
    <n v="-11393068.41"/>
    <n v="-4394876.13"/>
    <n v="-460633.82"/>
    <n v="0"/>
    <n v="1967936.76"/>
    <n v="-2887573.1900000004"/>
    <n v="0.25345000000000001"/>
    <x v="0"/>
    <n v="1507302.94"/>
  </r>
  <r>
    <s v="DEFERRED LEASE - NC"/>
    <n v="678520.98"/>
    <n v="0"/>
    <n v="0"/>
    <n v="0"/>
    <n v="678520.98"/>
    <n v="261739.46"/>
    <n v="-7927.9"/>
    <n v="0"/>
    <n v="-81840.42"/>
    <n v="171971.14"/>
    <n v="0.25345000000000001"/>
    <x v="0"/>
    <n v="-89768.319999999992"/>
  </r>
  <r>
    <s v="DEPRECIATION - BOOK"/>
    <n v="-12596149.34"/>
    <n v="0"/>
    <n v="12596149.34"/>
    <n v="0"/>
    <n v="0"/>
    <n v="-4858964.6100000003"/>
    <n v="-24400.38"/>
    <n v="-1666470.5576819996"/>
    <n v="1690870.94"/>
    <n v="-4858964.6076820008"/>
    <n v="0.25345000000000001"/>
    <x v="1"/>
    <n v="2.3180004209280014E-3"/>
  </r>
  <r>
    <s v="DEPRECIATION - BOOK TAX DIFF FED"/>
    <n v="-2467663268.46"/>
    <n v="0"/>
    <n v="-355107918.53999996"/>
    <n v="0"/>
    <n v="-2822771187"/>
    <n v="-863682143.96000004"/>
    <n v="50072377.409999996"/>
    <n v="49715108.595599987"/>
    <n v="295400480.17000002"/>
    <n v="-468494177.78440005"/>
    <n v="0.21"/>
    <x v="1"/>
    <n v="395187966.17559999"/>
  </r>
  <r>
    <s v="DEPRECIATION - BOOK TAX DIFF STATE"/>
    <n v="-1793631217.8599999"/>
    <n v="0"/>
    <n v="-397264729.1400001"/>
    <n v="0"/>
    <n v="-2190895947"/>
    <n v="-64122316.039999999"/>
    <n v="-798172.94"/>
    <n v="-3058938.4143780004"/>
    <n v="-13012787.43"/>
    <n v="-80992214.824377984"/>
    <n v="4.3450000000000003E-2"/>
    <x v="1"/>
    <n v="-16869898.784378"/>
  </r>
  <r>
    <s v="DISMANTLEMENT COSTS"/>
    <n v="125943563.23999999"/>
    <n v="0"/>
    <n v="0"/>
    <n v="0"/>
    <n v="125943563.23999999"/>
    <n v="48582729.520000003"/>
    <n v="-156920.24"/>
    <n v="0"/>
    <n v="-16505413.18"/>
    <n v="31920396.100000001"/>
    <n v="0.25345000000000001"/>
    <x v="0"/>
    <n v="-16662333.42"/>
  </r>
  <r>
    <s v="DREDGING"/>
    <n v="-2183941.7000000002"/>
    <n v="0"/>
    <n v="0"/>
    <n v="0"/>
    <n v="-2183941.7000000002"/>
    <n v="-842455.51"/>
    <n v="38832.31"/>
    <n v="0"/>
    <n v="250103.18"/>
    <n v="-553520.02"/>
    <n v="0.25345000000000001"/>
    <x v="0"/>
    <n v="288935.49"/>
  </r>
  <r>
    <s v="EMISSION ALLOWANCES"/>
    <n v="0"/>
    <n v="0"/>
    <n v="0"/>
    <n v="0"/>
    <n v="0"/>
    <n v="0"/>
    <n v="0"/>
    <n v="0"/>
    <n v="0"/>
    <n v="0"/>
    <n v="0"/>
    <x v="0"/>
    <n v="0"/>
  </r>
  <r>
    <s v="FAS 106 - NC"/>
    <n v="81591563.310000002"/>
    <n v="0"/>
    <n v="0"/>
    <n v="0"/>
    <n v="81591563.310000002"/>
    <n v="31473945.550000001"/>
    <n v="756479.63"/>
    <n v="0"/>
    <n v="-11551043.460000001"/>
    <n v="20679381.719999999"/>
    <n v="0.25345000000000001"/>
    <x v="0"/>
    <n v="-10794563.83"/>
  </r>
  <r>
    <s v="FAS 106 FAS 158 "/>
    <n v="3119528"/>
    <n v="0"/>
    <n v="0"/>
    <n v="0"/>
    <n v="3119528"/>
    <n v="1203357.93"/>
    <n v="0"/>
    <n v="0"/>
    <n v="-412713.56"/>
    <n v="790644.36999999988"/>
    <n v="0.25345000000000001"/>
    <x v="0"/>
    <n v="-412713.56"/>
  </r>
  <r>
    <s v="FAS 106 FAS 158 - C"/>
    <n v="9640008"/>
    <n v="0"/>
    <n v="0"/>
    <n v="0"/>
    <n v="9640008"/>
    <n v="3718633.09"/>
    <n v="-121384.59"/>
    <n v="0"/>
    <n v="-1153988.47"/>
    <n v="2443260.0300000003"/>
    <n v="0.25345000000000001"/>
    <x v="0"/>
    <n v="-1275373.06"/>
  </r>
  <r>
    <s v="FAS 106 FAS 158 - C 283"/>
    <n v="-9640008"/>
    <n v="0"/>
    <n v="0"/>
    <n v="0"/>
    <n v="-9640008"/>
    <n v="-3718633.09"/>
    <n v="121384.59"/>
    <n v="0"/>
    <n v="1153988.47"/>
    <n v="-2443260.0300000003"/>
    <n v="0.25345000000000001"/>
    <x v="0"/>
    <n v="1275373.06"/>
  </r>
  <r>
    <s v="FAS 106 FAS 158 - NC"/>
    <n v="46775125"/>
    <n v="0"/>
    <n v="0"/>
    <n v="0"/>
    <n v="46775125"/>
    <n v="18043504.469999999"/>
    <n v="-2465563.4300000002"/>
    <n v="0"/>
    <n v="-3722785.6"/>
    <n v="11855155.439999999"/>
    <n v="0.25345000000000001"/>
    <x v="0"/>
    <n v="-6188349.0300000003"/>
  </r>
  <r>
    <s v="FAS 106 FAS 158 - NC 283"/>
    <n v="-46775125"/>
    <n v="0"/>
    <n v="0"/>
    <n v="0"/>
    <n v="-46775125"/>
    <n v="-18043504.469999999"/>
    <n v="2465563.4300000002"/>
    <n v="0"/>
    <n v="3722785.6"/>
    <n v="-11855155.439999999"/>
    <n v="0.25345000000000001"/>
    <x v="0"/>
    <n v="6188349.0300000003"/>
  </r>
  <r>
    <s v="FAS 112"/>
    <n v="13977835"/>
    <n v="0"/>
    <n v="0"/>
    <n v="0"/>
    <n v="13977835"/>
    <n v="5391949.8600000003"/>
    <n v="212172.01"/>
    <n v="0"/>
    <n v="-2061439.58"/>
    <n v="3542682.29"/>
    <n v="0.25345000000000001"/>
    <x v="0"/>
    <n v="-1849267.57"/>
  </r>
  <r>
    <s v="FIBER OPTIC"/>
    <n v="383749.84"/>
    <n v="0"/>
    <n v="0"/>
    <n v="0"/>
    <n v="383749.84"/>
    <n v="148031.5"/>
    <n v="11693.21"/>
    <n v="0"/>
    <n v="-62463.31"/>
    <n v="97261.4"/>
    <n v="0.25345001"/>
    <x v="0"/>
    <n v="-50770.1"/>
  </r>
  <r>
    <s v="G/L - SALE OF ASSETS"/>
    <n v="79543.13"/>
    <n v="0"/>
    <n v="-79543.13"/>
    <n v="0"/>
    <n v="0"/>
    <n v="30683.759999999998"/>
    <n v="1957.65"/>
    <n v="10523.556098999998"/>
    <n v="-12481.2"/>
    <n v="30683.766098999997"/>
    <n v="0.25345004999999998"/>
    <x v="0"/>
    <n v="6.0989999965386232E-3"/>
  </r>
  <r>
    <s v="GENERAL BUSINESS CREDIT"/>
    <n v="-22320525.66"/>
    <n v="0"/>
    <n v="0"/>
    <n v="0"/>
    <n v="-22320525.66"/>
    <n v="22320525.66"/>
    <n v="0"/>
    <n v="0"/>
    <n v="0"/>
    <n v="22320525.66"/>
    <s v="-1.00000000"/>
    <x v="0"/>
    <n v="0"/>
  </r>
  <r>
    <s v="INSURANCE RESERVE - C"/>
    <n v="0"/>
    <n v="0"/>
    <n v="0"/>
    <n v="0"/>
    <n v="0"/>
    <n v="0"/>
    <n v="-428223.74"/>
    <n v="0"/>
    <n v="428223.74"/>
    <n v="0"/>
    <n v="0"/>
    <x v="0"/>
    <n v="0"/>
  </r>
  <r>
    <s v="INSURANCE RESERVE - NC"/>
    <n v="-27328771.170000002"/>
    <n v="0"/>
    <n v="0"/>
    <n v="0"/>
    <n v="-27328771.170000002"/>
    <n v="-10542073.470000001"/>
    <n v="13057663.529999999"/>
    <n v="0"/>
    <n v="-9442067.1099999994"/>
    <n v="-6926477.0500000007"/>
    <n v="0.25345000000000001"/>
    <x v="0"/>
    <n v="3615596.42"/>
  </r>
  <r>
    <s v="ITC 30% - SOLAR"/>
    <n v="14407398"/>
    <n v="0"/>
    <n v="0"/>
    <n v="0"/>
    <n v="14407398"/>
    <n v="8209343.5999999996"/>
    <n v="-3241948.01"/>
    <n v="0"/>
    <n v="-914681.67"/>
    <n v="4052713.92"/>
    <n v="0.28129395000000001"/>
    <x v="0"/>
    <n v="-4156629.6799999997"/>
  </r>
  <r>
    <s v="LEGAL EXPENSES"/>
    <n v="404156.98"/>
    <n v="0"/>
    <n v="0"/>
    <n v="0"/>
    <n v="404156.98"/>
    <n v="155903.54999999999"/>
    <n v="-49674.23"/>
    <n v="0"/>
    <n v="-3795.73"/>
    <n v="102433.58999999998"/>
    <n v="0.25345001"/>
    <x v="0"/>
    <n v="-53469.960000000006"/>
  </r>
  <r>
    <s v="LONG TERM INCENTIVE"/>
    <n v="6046167.7199999997"/>
    <n v="0"/>
    <n v="0"/>
    <n v="0"/>
    <n v="6046167.7199999997"/>
    <n v="2332309.19"/>
    <n v="-619195.98"/>
    <n v="0"/>
    <n v="-180712.01"/>
    <n v="1532401.2"/>
    <n v="0.25345000000000001"/>
    <x v="0"/>
    <n v="-799907.99"/>
  </r>
  <r>
    <s v="LOSS FROM GRANTOR TRUST"/>
    <n v="272075"/>
    <n v="0"/>
    <n v="0"/>
    <n v="0"/>
    <n v="272075"/>
    <n v="104952.94"/>
    <n v="0"/>
    <n v="0"/>
    <n v="-35995.53"/>
    <n v="68957.41"/>
    <n v="0.25345000000000001"/>
    <x v="0"/>
    <n v="-35995.53"/>
  </r>
  <r>
    <s v="OCI FAS 133 - C"/>
    <n v="933935"/>
    <n v="0"/>
    <n v="0"/>
    <n v="0"/>
    <n v="933935"/>
    <n v="360265.43"/>
    <n v="1640513.38"/>
    <n v="0"/>
    <n v="-1764072.98"/>
    <n v="236705.82999999984"/>
    <n v="0.25345000000000001"/>
    <x v="0"/>
    <n v="-123559.60000000009"/>
  </r>
  <r>
    <s v="OCI FAS 133 - C 283"/>
    <n v="-933935"/>
    <n v="0"/>
    <n v="0"/>
    <n v="0"/>
    <n v="-933935"/>
    <n v="-360265.43"/>
    <n v="-1640513.38"/>
    <n v="0"/>
    <n v="1764072.98"/>
    <n v="-236705.82999999984"/>
    <n v="0.25345000000000001"/>
    <x v="0"/>
    <n v="123559.60000000009"/>
  </r>
  <r>
    <s v="OCI FAS 133 - NC"/>
    <n v="0"/>
    <n v="0"/>
    <n v="0"/>
    <n v="0"/>
    <n v="0"/>
    <n v="0"/>
    <n v="162434.64000000001"/>
    <n v="0"/>
    <n v="-162434.64000000001"/>
    <n v="0"/>
    <n v="0"/>
    <x v="0"/>
    <n v="0"/>
  </r>
  <r>
    <s v="OCI FAS 133 - NC 283"/>
    <n v="0"/>
    <n v="0"/>
    <n v="0"/>
    <n v="0"/>
    <n v="0"/>
    <n v="0"/>
    <n v="-162434.64000000001"/>
    <n v="0"/>
    <n v="162434.64000000001"/>
    <n v="0"/>
    <n v="0"/>
    <x v="0"/>
    <n v="0"/>
  </r>
  <r>
    <s v="OCI FAS 133 INTEREST - NC"/>
    <n v="2309241.1800000002"/>
    <n v="0"/>
    <n v="0"/>
    <n v="0"/>
    <n v="2309241.1800000002"/>
    <n v="890789.78"/>
    <n v="117265.04"/>
    <n v="0"/>
    <n v="-422777.65"/>
    <n v="585277.17000000004"/>
    <n v="0.25345000000000001"/>
    <x v="0"/>
    <n v="-305512.61000000004"/>
  </r>
  <r>
    <s v="PENSION - NC"/>
    <n v="-176830202.81999999"/>
    <n v="0"/>
    <n v="0"/>
    <n v="0"/>
    <n v="-176830202.81999999"/>
    <n v="-68212250.75"/>
    <n v="-66382.179999999993"/>
    <n v="0"/>
    <n v="23461018.02"/>
    <n v="-44817614.910000011"/>
    <n v="0.25345000000000001"/>
    <x v="0"/>
    <n v="23394635.84"/>
  </r>
  <r>
    <s v="PENSION FAS 158"/>
    <n v="1523058"/>
    <n v="0"/>
    <n v="0"/>
    <n v="0"/>
    <n v="1523058"/>
    <n v="587519.62"/>
    <n v="0"/>
    <n v="0"/>
    <n v="-201500.57"/>
    <n v="386019.05"/>
    <n v="0.25345000000000001"/>
    <x v="0"/>
    <n v="-201500.57"/>
  </r>
  <r>
    <s v="PENSION FAS 158 - NC"/>
    <n v="189213304"/>
    <n v="0"/>
    <n v="0"/>
    <n v="0"/>
    <n v="189213304"/>
    <n v="72989032.019999996"/>
    <n v="1653390.67"/>
    <n v="0"/>
    <n v="-26686310.789999999"/>
    <n v="47956111.899999999"/>
    <n v="0.25345000000000001"/>
    <x v="0"/>
    <n v="-25032920.119999997"/>
  </r>
  <r>
    <s v="PENSION FAS 158 - NC 283"/>
    <n v="-189213304"/>
    <n v="0"/>
    <n v="0"/>
    <n v="0"/>
    <n v="-189213304"/>
    <n v="-72989032.019999996"/>
    <n v="-1653390.67"/>
    <n v="0"/>
    <n v="26686310.789999999"/>
    <n v="-47956111.899999999"/>
    <n v="0.25345000000000001"/>
    <x v="0"/>
    <n v="25032920.119999997"/>
  </r>
  <r>
    <s v="RATE CASE EXPENSE - NC"/>
    <n v="-0.68"/>
    <n v="0"/>
    <n v="0"/>
    <n v="0"/>
    <n v="-0.68"/>
    <n v="-0.27"/>
    <n v="-62609.18"/>
    <n v="0"/>
    <n v="62609.279999999999"/>
    <n v="-0.16999999999825377"/>
    <n v="0.25"/>
    <x v="0"/>
    <n v="9.9999999998544808E-2"/>
  </r>
  <r>
    <s v="REPAIRS CAPITALIZED ON BOOKS"/>
    <n v="-1213986281.49"/>
    <n v="0"/>
    <n v="-95619433.50999999"/>
    <n v="0"/>
    <n v="-1309605715"/>
    <n v="-468295208.07999998"/>
    <n v="16769407.33"/>
    <n v="12650451.053372996"/>
    <n v="143840977.71000001"/>
    <n v="-295034371.98662698"/>
    <n v="0.25345000000000001"/>
    <x v="0"/>
    <n v="173260836.093373"/>
  </r>
  <r>
    <s v="RESTORATION PLAN"/>
    <n v="202435.79"/>
    <n v="0"/>
    <n v="0"/>
    <n v="0"/>
    <n v="202435.79"/>
    <n v="78089.61"/>
    <n v="-7698.94"/>
    <n v="0"/>
    <n v="-19083.310000000001"/>
    <n v="51307.360000000001"/>
    <n v="0.25345003999999999"/>
    <x v="0"/>
    <n v="-26782.25"/>
  </r>
  <r>
    <s v="RESTORATION PLAN FAS 158 - NC"/>
    <n v="381200"/>
    <n v="0"/>
    <n v="0"/>
    <n v="0"/>
    <n v="381200"/>
    <n v="147047.9"/>
    <n v="57749.89"/>
    <n v="0"/>
    <n v="-108182.65"/>
    <n v="96615.139999999985"/>
    <n v="0.25345000000000001"/>
    <x v="0"/>
    <n v="-50432.759999999995"/>
  </r>
  <r>
    <s v="RESTORATION PLAN FAS 158 - NC 283"/>
    <n v="-381200"/>
    <n v="0"/>
    <n v="0"/>
    <n v="0"/>
    <n v="-381200"/>
    <n v="-147047.9"/>
    <n v="-57749.89"/>
    <n v="0"/>
    <n v="108182.65"/>
    <n v="-96615.139999999985"/>
    <n v="0.25345000000000001"/>
    <x v="0"/>
    <n v="50432.759999999995"/>
  </r>
  <r>
    <s v="SEC 263A INDIRECT COSTS"/>
    <n v="41418356.670000002"/>
    <n v="0"/>
    <n v="-34484150.67000024"/>
    <n v="0"/>
    <n v="6934205.9999997616"/>
    <n v="15977131.08"/>
    <n v="-497543.07"/>
    <n v="4562253.1336410306"/>
    <n v="-4982105.51"/>
    <n v="15059735.633641033"/>
    <n v="0.25345000000000001"/>
    <x v="0"/>
    <n v="-917395.44635896897"/>
  </r>
  <r>
    <s v="SEC 263A INTEREST CAP"/>
    <n v="216688306.18000001"/>
    <n v="0"/>
    <n v="-156033952.18000001"/>
    <n v="0"/>
    <n v="60654354"/>
    <n v="83587514.109999999"/>
    <n v="-91793.06"/>
    <n v="20643291.873413995"/>
    <n v="-28576069.850000001"/>
    <n v="75562943.073413998"/>
    <n v="0.25345000000000001"/>
    <x v="0"/>
    <n v="-8024571.0365860052"/>
  </r>
  <r>
    <s v="SERP - NC"/>
    <n v="8069212.7000000002"/>
    <n v="0"/>
    <n v="0"/>
    <n v="0"/>
    <n v="8069212.7000000002"/>
    <n v="3112698.81"/>
    <n v="-113746.13"/>
    <n v="0"/>
    <n v="-953810.72"/>
    <n v="2045141.9600000002"/>
    <n v="0.25345000000000001"/>
    <x v="0"/>
    <n v="-1067556.8500000001"/>
  </r>
  <r>
    <s v="SERP FAS 158"/>
    <n v="163086"/>
    <n v="0"/>
    <n v="0"/>
    <n v="0"/>
    <n v="163086"/>
    <n v="62910.42"/>
    <n v="0"/>
    <n v="0"/>
    <n v="-21576.27"/>
    <n v="41334.149999999994"/>
    <n v="0.25345002"/>
    <x v="0"/>
    <n v="-21576.27"/>
  </r>
  <r>
    <s v="SERP FAS 158 - C"/>
    <n v="6335831"/>
    <n v="0"/>
    <n v="0"/>
    <n v="0"/>
    <n v="6335831"/>
    <n v="2444046.81"/>
    <n v="-810181.26"/>
    <n v="0"/>
    <n v="-28049.18"/>
    <n v="1605816.37"/>
    <n v="0.25345000000000001"/>
    <x v="0"/>
    <n v="-838230.44000000006"/>
  </r>
  <r>
    <s v="SERP FAS 158 - C 283"/>
    <n v="-6335831"/>
    <n v="0"/>
    <n v="0"/>
    <n v="0"/>
    <n v="-6335831"/>
    <n v="-2444046.81"/>
    <n v="810181.26"/>
    <n v="0"/>
    <n v="28049.18"/>
    <n v="-1605816.37"/>
    <n v="0.25345000000000001"/>
    <x v="0"/>
    <n v="838230.44000000006"/>
  </r>
  <r>
    <s v="SERP FAS 158 - NC"/>
    <n v="-2920464"/>
    <n v="0"/>
    <n v="0"/>
    <n v="0"/>
    <n v="-2920464"/>
    <n v="-1126568.99"/>
    <n v="928211.51"/>
    <n v="0"/>
    <n v="-541834.12"/>
    <n v="-740191.6"/>
    <n v="0.25345000000000001"/>
    <x v="0"/>
    <n v="386377.39"/>
  </r>
  <r>
    <s v="SERP FAS 158 - NC 283"/>
    <n v="2920464"/>
    <n v="0"/>
    <n v="0"/>
    <n v="0"/>
    <n v="2920464"/>
    <n v="1126568.99"/>
    <n v="-928211.51"/>
    <n v="0"/>
    <n v="541834.12"/>
    <n v="740191.6"/>
    <n v="0.25345000000000001"/>
    <x v="0"/>
    <n v="-386377.39"/>
  </r>
  <r>
    <s v="SOLAR ITC"/>
    <n v="258917.49"/>
    <n v="0"/>
    <n v="0"/>
    <n v="0"/>
    <n v="258917.49"/>
    <n v="90621.119999999995"/>
    <n v="-31435.040000000001"/>
    <n v="0"/>
    <n v="-4813.41"/>
    <n v="54372.67"/>
    <n v="0.20999999"/>
    <x v="0"/>
    <n v="-36248.449999999997"/>
  </r>
  <r>
    <s v="UNBILLED CONSERVATION REV"/>
    <n v="1868924.03"/>
    <n v="0"/>
    <n v="0"/>
    <n v="0"/>
    <n v="1868924.03"/>
    <n v="720937.44"/>
    <n v="-74848.84"/>
    <n v="0"/>
    <n v="-172409.8"/>
    <n v="473678.8"/>
    <n v="0.25345000000000001"/>
    <x v="0"/>
    <n v="-247258.63999999998"/>
  </r>
  <r>
    <s v="UNBILLED ENVIRONMENTAL REV"/>
    <n v="3643458.18"/>
    <n v="0"/>
    <n v="0"/>
    <n v="0"/>
    <n v="3643458.18"/>
    <n v="1405463.99"/>
    <n v="-39132.620000000003"/>
    <n v="0"/>
    <n v="-442896.89"/>
    <n v="923434.47999999986"/>
    <n v="0.25345000000000001"/>
    <x v="0"/>
    <n v="-482029.51"/>
  </r>
  <r>
    <s v="UNBILLED REVENUE/FUEL"/>
    <n v="28071615.890000001"/>
    <n v="0"/>
    <n v="0"/>
    <n v="0"/>
    <n v="28071615.890000001"/>
    <n v="10828625.82"/>
    <n v="171023.03"/>
    <n v="0"/>
    <n v="-3884897.8"/>
    <n v="7114751.0499999998"/>
    <n v="0.25345000000000001"/>
    <x v="0"/>
    <n v="-3713874.77"/>
  </r>
  <r>
    <s v="VACATION ACCRUAL"/>
    <n v="12887665.1"/>
    <n v="0"/>
    <n v="0"/>
    <n v="0"/>
    <n v="12887665.1"/>
    <n v="4971416.82"/>
    <n v="-35401.199999999997"/>
    <n v="0"/>
    <n v="-1669636.9"/>
    <n v="3266378.72"/>
    <n v="0.25345000000000001"/>
    <x v="0"/>
    <n v="-1705038.0999999999"/>
  </r>
  <r>
    <s v="z MISCELLANEOUS - DO NOT USE"/>
    <n v="0"/>
    <n v="0"/>
    <n v="0"/>
    <n v="0"/>
    <n v="0"/>
    <n v="0"/>
    <n v="0"/>
    <n v="0"/>
    <n v="0"/>
    <n v="0"/>
    <n v="0"/>
    <x v="0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">
  <r>
    <s v="AMORTIZATION STATE"/>
    <n v="-824144.84"/>
    <n v="-63182"/>
    <n v="-63182.01"/>
    <n v="-887326.84"/>
    <x v="0"/>
  </r>
  <r>
    <s v="DEF SEP CO - FED NOL - UNPROTECTED"/>
    <n v="0"/>
    <n v="-9227508.2599999998"/>
    <n v="-9227508.2599999998"/>
    <n v="-9227508.2599999998"/>
    <x v="0"/>
  </r>
  <r>
    <s v="DEF SEP CO - FL NOL - UNPROTECTED"/>
    <n v="0"/>
    <n v="701989.23"/>
    <n v="701989.23"/>
    <n v="701989.23"/>
    <x v="0"/>
  </r>
  <r>
    <s v="FAS 106 FAS 158 "/>
    <n v="0"/>
    <n v="-140114.20000000001"/>
    <n v="-140114.20000000001"/>
    <n v="-140114.20000000001"/>
    <x v="0"/>
  </r>
  <r>
    <s v="FAS 106 FAS 158 - C"/>
    <n v="0"/>
    <n v="-391773.33"/>
    <n v="-391773.33"/>
    <n v="-391773.33"/>
    <x v="0"/>
  </r>
  <r>
    <s v="FAS 106 FAS 158 - C 283"/>
    <n v="0"/>
    <n v="391773.33"/>
    <n v="391773.33"/>
    <n v="391773.33"/>
    <x v="0"/>
  </r>
  <r>
    <s v="FAS 106 FAS 158 - NC"/>
    <n v="0"/>
    <n v="-1263867.1299999999"/>
    <n v="-1263867.1299999999"/>
    <n v="-1263867.1299999999"/>
    <x v="0"/>
  </r>
  <r>
    <s v="FAS 106 FAS 158 - NC 283"/>
    <n v="0"/>
    <n v="1263867.1299999999"/>
    <n v="1263867.1299999999"/>
    <n v="1263867.1299999999"/>
    <x v="0"/>
  </r>
  <r>
    <s v="OCI FAS 133 - C"/>
    <n v="-0.01"/>
    <n v="-598893.96"/>
    <n v="-598893.97"/>
    <n v="-598893.97"/>
    <x v="0"/>
  </r>
  <r>
    <s v="OCI FAS 133 - C 283"/>
    <n v="0.01"/>
    <n v="598893.96"/>
    <n v="598893.97"/>
    <n v="598893.97"/>
    <x v="0"/>
  </r>
  <r>
    <s v="OCI FAS 133 - NC"/>
    <n v="0"/>
    <n v="-55145.75"/>
    <n v="-55145.75"/>
    <n v="-55145.75"/>
    <x v="0"/>
  </r>
  <r>
    <s v="OCI FAS 133 - NC 283"/>
    <n v="0"/>
    <n v="55145.75"/>
    <n v="55145.75"/>
    <n v="55145.75"/>
    <x v="0"/>
  </r>
  <r>
    <s v="OCI FAS 133 INTEREST - NC"/>
    <n v="0.01"/>
    <n v="-143530.91"/>
    <n v="-143530.9"/>
    <n v="-143530.9"/>
    <x v="0"/>
  </r>
  <r>
    <s v="PENSION FAS 158"/>
    <n v="0"/>
    <n v="-68408.44"/>
    <n v="-68408.44"/>
    <n v="-68408.44"/>
    <x v="0"/>
  </r>
  <r>
    <s v="PENSION FAS 158 - NC"/>
    <n v="-0.01"/>
    <n v="-9059869.3499999996"/>
    <n v="-9059869.3599999994"/>
    <n v="-9059869.3599999994"/>
    <x v="0"/>
  </r>
  <r>
    <s v="PENSION FAS 158 - NC 283"/>
    <n v="0.01"/>
    <n v="9059869.3499999996"/>
    <n v="9059869.3599999994"/>
    <n v="9059869.3599999994"/>
    <x v="0"/>
  </r>
  <r>
    <s v="RESTORATION PLAN FAS 158 - NC"/>
    <n v="0"/>
    <n v="-36727.47"/>
    <n v="-36727.47"/>
    <n v="-36727.47"/>
    <x v="0"/>
  </r>
  <r>
    <s v="RESTORATION PLAN FAS 158 - NC 283"/>
    <n v="0"/>
    <n v="36727.47"/>
    <n v="36727.47"/>
    <n v="36727.47"/>
    <x v="0"/>
  </r>
  <r>
    <s v="SERP FAS 158"/>
    <n v="0"/>
    <n v="-7325.04"/>
    <n v="-7325.04"/>
    <n v="-7325.04"/>
    <x v="0"/>
  </r>
  <r>
    <s v="SERP FAS 158 - C"/>
    <n v="0"/>
    <n v="-9522.57"/>
    <n v="-9522.57"/>
    <n v="-9522.57"/>
    <x v="0"/>
  </r>
  <r>
    <s v="SERP FAS 158 - C 283"/>
    <n v="0"/>
    <n v="9522.57"/>
    <n v="9522.57"/>
    <n v="9522.57"/>
    <x v="0"/>
  </r>
  <r>
    <s v="SERP FAS 158 - NC"/>
    <n v="0"/>
    <n v="-183949.98"/>
    <n v="-183949.98"/>
    <n v="-183949.98"/>
    <x v="0"/>
  </r>
  <r>
    <s v="SERP FAS 158 - NC 283"/>
    <n v="0"/>
    <n v="183949.98"/>
    <n v="183949.98"/>
    <n v="183949.98"/>
    <x v="0"/>
  </r>
  <r>
    <s v="z MISCELLANEOUS - DO NOT USE"/>
    <n v="0.02"/>
    <n v="0"/>
    <n v="0"/>
    <n v="0.02"/>
    <x v="0"/>
  </r>
  <r>
    <s v="DEF SEP CO - EMERA FED NOL-PROTECTED"/>
    <n v="0"/>
    <n v="-6716346"/>
    <n v="-6716346"/>
    <n v="-6716346"/>
    <x v="0"/>
  </r>
  <r>
    <s v="401K - PERFORMANCE MATCH"/>
    <n v="0"/>
    <n v="-63479.28"/>
    <n v="-63479.28"/>
    <n v="-63479.28"/>
    <x v="0"/>
  </r>
  <r>
    <s v="ACCRUED BONUS"/>
    <n v="0.02"/>
    <n v="-618331.89"/>
    <n v="-618331.88"/>
    <n v="-618331.87"/>
    <x v="0"/>
  </r>
  <r>
    <s v="DEFERRED COMP "/>
    <n v="-0.01"/>
    <n v="-11147.5"/>
    <n v="-11147.51"/>
    <n v="-11147.51"/>
    <x v="0"/>
  </r>
  <r>
    <s v="FAS 106 - NC"/>
    <n v="-0.08"/>
    <n v="-3664700.52"/>
    <n v="-3664700.6"/>
    <n v="-3664700.6"/>
    <x v="0"/>
  </r>
  <r>
    <s v="FAS 112"/>
    <n v="-237.89"/>
    <n v="-627707.81999999995"/>
    <n v="-627656.59"/>
    <n v="-627945.71"/>
    <x v="0"/>
  </r>
  <r>
    <s v="LONG TERM INCENTIVE"/>
    <n v="0"/>
    <n v="-271564.77"/>
    <n v="-271564.77"/>
    <n v="-271564.77"/>
    <x v="0"/>
  </r>
  <r>
    <s v="PENSION - NC"/>
    <n v="-679088.18"/>
    <n v="8254338.1399999997"/>
    <n v="8269760.4299999997"/>
    <n v="7575249.96"/>
    <x v="0"/>
  </r>
  <r>
    <s v="RESTORATION PLAN"/>
    <n v="0.01"/>
    <n v="-9092.4500000000007"/>
    <n v="-9092.44"/>
    <n v="-9092.44"/>
    <x v="0"/>
  </r>
  <r>
    <s v="SERP - NC"/>
    <n v="1664.9"/>
    <n v="-363195.09"/>
    <n v="-363195.1"/>
    <n v="-361530.19"/>
    <x v="0"/>
  </r>
  <r>
    <s v="VACATION ACCRUAL"/>
    <n v="359.12"/>
    <n v="-579016.91"/>
    <n v="-579033.21"/>
    <n v="-578657.79"/>
    <x v="0"/>
  </r>
  <r>
    <s v="AMORT - BOND DISCOUNT"/>
    <n v="0.19"/>
    <n v="26251.599999999999"/>
    <n v="26251.79"/>
    <n v="26251.79"/>
    <x v="0"/>
  </r>
  <r>
    <s v="AMORT - BOND ISSUE COSTS"/>
    <n v="-81.72"/>
    <n v="26005.54"/>
    <n v="26029.08"/>
    <n v="25923.82"/>
    <x v="0"/>
  </r>
  <r>
    <s v="AMORT - BOND PREMIUM"/>
    <n v="-540.48"/>
    <n v="45566.69"/>
    <n v="45690.53"/>
    <n v="45026.21"/>
    <x v="0"/>
  </r>
  <r>
    <s v="AMORT - BOND PUT OPTION"/>
    <n v="-0.01"/>
    <n v="0.01"/>
    <n v="0.01"/>
    <n v="0"/>
    <x v="0"/>
  </r>
  <r>
    <s v="AMORT - FRANCHISE FEE"/>
    <n v="-0.02"/>
    <n v="0.01"/>
    <n v="-0.01"/>
    <n v="-0.01"/>
    <x v="0"/>
  </r>
  <r>
    <s v="BAD DEBT"/>
    <n v="68.44"/>
    <n v="-34262.32"/>
    <n v="-34541.46"/>
    <n v="-34193.879999999997"/>
    <x v="0"/>
  </r>
  <r>
    <s v="DEFERRED FUEL"/>
    <n v="-0.01"/>
    <n v="240942.48"/>
    <n v="240942.47"/>
    <n v="240942.47"/>
    <x v="0"/>
  </r>
  <r>
    <s v="DEFERRED LEASE - NC"/>
    <n v="-321373.28000000003"/>
    <n v="117164.36"/>
    <n v="125242.53"/>
    <n v="-204208.92"/>
    <x v="0"/>
  </r>
  <r>
    <s v="DEFERRED LEASE - NONUTILITY"/>
    <n v="-182390.62"/>
    <n v="62402.01"/>
    <n v="73305.64"/>
    <n v="-119988.61"/>
    <x v="0"/>
  </r>
  <r>
    <s v="DREDGING"/>
    <n v="0.1"/>
    <n v="98092.11"/>
    <n v="98092.22"/>
    <n v="98092.21"/>
    <x v="0"/>
  </r>
  <r>
    <s v="EMISSION ALLOWANCES"/>
    <n v="-0.28999999999999998"/>
    <n v="0.12"/>
    <n v="-0.17"/>
    <n v="-0.17"/>
    <x v="0"/>
  </r>
  <r>
    <s v="FIBER OPTIC"/>
    <n v="-5424.46"/>
    <n v="-14744.17"/>
    <n v="1432.51"/>
    <n v="-20168.63"/>
    <x v="0"/>
  </r>
  <r>
    <s v="INSURANCE RESERVE - NC"/>
    <n v="-35591.269999999997"/>
    <n v="1243827.73"/>
    <n v="1355650.77"/>
    <n v="1208236.46"/>
    <x v="0"/>
  </r>
  <r>
    <s v="INSURANCE RESERVE - C"/>
    <n v="-0.01"/>
    <n v="0"/>
    <n v="-0.01"/>
    <n v="-0.01"/>
    <x v="0"/>
  </r>
  <r>
    <s v="LOSS FROM GRANTOR TRUST"/>
    <n v="1351.33"/>
    <n v="-12841.11"/>
    <n v="-12867.73"/>
    <n v="-11489.78"/>
    <x v="0"/>
  </r>
  <r>
    <s v="RATE CASE EXPENSE - NC"/>
    <n v="-0.17"/>
    <n v="0.11"/>
    <n v="-0.06"/>
    <n v="-0.06"/>
    <x v="0"/>
  </r>
  <r>
    <s v="UNBILLED CONSERVATION REV"/>
    <n v="743.58"/>
    <n v="-84284.68"/>
    <n v="-84284.69"/>
    <n v="-83541.100000000006"/>
    <x v="0"/>
  </r>
  <r>
    <s v="UNBILLED ENVIRONMENTAL REV"/>
    <n v="1750.6"/>
    <n v="-164450.85"/>
    <n v="-164450.85"/>
    <n v="-162700.25"/>
    <x v="0"/>
  </r>
  <r>
    <s v="UNBILLED REVENUE/FUEL"/>
    <n v="16873.82"/>
    <n v="-1268593.8700000001"/>
    <n v="-1268593.8700000001"/>
    <n v="-1251720.05"/>
    <x v="0"/>
  </r>
  <r>
    <s v="DEFERRED INTEREST - BONDS"/>
    <n v="-9643.25"/>
    <n v="516151.98"/>
    <n v="519098.95"/>
    <n v="506508.73"/>
    <x v="0"/>
  </r>
  <r>
    <s v="DEPRECIATION - BOOK"/>
    <n v="0.01"/>
    <n v="565758.43000000005"/>
    <n v="565758.43999999994"/>
    <n v="565758.43999999994"/>
    <x v="1"/>
  </r>
  <r>
    <s v="DEPRECIATION - BOOK TAX DIFF FED"/>
    <n v="10705931.789999999"/>
    <n v="112367960.79000001"/>
    <n v="112065183.08"/>
    <n v="123073892.58"/>
    <x v="1"/>
  </r>
  <r>
    <s v="DEPRECIATION - BOOK TAX DIFF STATE"/>
    <n v="-3000996.94"/>
    <n v="-3310081.38"/>
    <n v="-3310081.39"/>
    <n v="-6311078.3200000003"/>
    <x v="1"/>
  </r>
  <r>
    <s v="AMORTIZATION FED"/>
    <n v="-4973313.08"/>
    <n v="10317445.73"/>
    <n v="10283043.52"/>
    <n v="5344132.6500000004"/>
    <x v="0"/>
  </r>
  <r>
    <s v="AFUDC EQUITY"/>
    <n v="-46018604.840000004"/>
    <n v="29673322.190000001"/>
    <n v="29291340.719999999"/>
    <n v="-16345282.65"/>
    <x v="0"/>
  </r>
  <r>
    <s v="AFUDC EQUITY - DEPR"/>
    <n v="15914732.550000001"/>
    <n v="-10262001.390000001"/>
    <n v="-8441978.2300000004"/>
    <n v="5652731.1600000001"/>
    <x v="0"/>
  </r>
  <r>
    <s v="SOLAR ITC"/>
    <n v="56910.21"/>
    <n v="-38450.959999999999"/>
    <n v="10902.18"/>
    <n v="18459.25"/>
    <x v="0"/>
  </r>
  <r>
    <s v="CIAC"/>
    <n v="-3045785.5"/>
    <n v="-5389310.9000000004"/>
    <n v="-5389310.9000000004"/>
    <n v="-8435096.4000000004"/>
    <x v="0"/>
  </r>
  <r>
    <s v="COST OF REMOVAL"/>
    <n v="0.28000000000000003"/>
    <n v="23102831.050000001"/>
    <n v="23102831.050000001"/>
    <n v="23102831.329999998"/>
    <x v="0"/>
  </r>
  <r>
    <s v="DISMANTLEMENT COSTS"/>
    <n v="0.69"/>
    <n v="-5656779.3799999999"/>
    <n v="-5656779.3799999999"/>
    <n v="-5656778.6900000004"/>
    <x v="0"/>
  </r>
  <r>
    <s v="G/L - SALE OF ASSETS"/>
    <n v="-47.47"/>
    <n v="-3550.89"/>
    <n v="-3531.29"/>
    <n v="-3598.36"/>
    <x v="0"/>
  </r>
  <r>
    <s v="REPAIRS CAPITALIZED ON BOOKS"/>
    <n v="0"/>
    <n v="54526424.340000004"/>
    <n v="54526424.340000004"/>
    <n v="54526424.340000004"/>
    <x v="0"/>
  </r>
  <r>
    <s v="SEC 263A INTEREST CAP"/>
    <n v="2039504.91"/>
    <n v="-10669553.640000001"/>
    <n v="-10669597.789999999"/>
    <n v="-8630048.7300000004"/>
    <x v="0"/>
  </r>
  <r>
    <s v="SEC 263A INDIRECT COSTS"/>
    <n v="-0.01"/>
    <n v="-1860313.35"/>
    <n v="-1860313.35"/>
    <n v="-1860313.36"/>
    <x v="0"/>
  </r>
  <r>
    <s v="REG ASSET MED D -FAS109 ACCT"/>
    <n v="-1301369.04"/>
    <n v="597854.47"/>
    <n v="788297.21"/>
    <n v="-703514.57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B95EB4-925C-4A21-A853-6AD06211FBCD}" name="PivotTable3" cacheId="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K134:M137" firstHeaderRow="0" firstDataRow="1" firstDataCol="1"/>
  <pivotFields count="14">
    <pivotField showAll="0"/>
    <pivotField numFmtId="8" showAll="0"/>
    <pivotField numFmtId="8" showAll="0"/>
    <pivotField showAll="0"/>
    <pivotField numFmtId="8" showAll="0"/>
    <pivotField numFmtId="8" showAll="0"/>
    <pivotField numFmtId="8" showAll="0"/>
    <pivotField numFmtId="8" showAll="0"/>
    <pivotField dataField="1" numFmtId="8" showAll="0"/>
    <pivotField numFmtId="8" showAll="0"/>
    <pivotField numFmtId="8" showAll="0"/>
    <pivotField showAll="0"/>
    <pivotField axis="axisRow" showAll="0">
      <items count="3">
        <item x="1"/>
        <item x="0"/>
        <item t="default"/>
      </items>
    </pivotField>
    <pivotField dataField="1" numFmtId="8" showAll="0"/>
  </pivotFields>
  <rowFields count="1">
    <field x="12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Excess DTL" fld="13" baseField="0" baseItem="0"/>
    <dataField name="Sum of &quot;True-Up_x000d__x000a_Activity&quot;2" fld="8" baseField="0" baseItem="0"/>
  </dataFields>
  <formats count="3">
    <format dxfId="2">
      <pivotArea collapsedLevelsAreSubtotals="1" fieldPosition="0">
        <references count="1">
          <reference field="12" count="0"/>
        </references>
      </pivotArea>
    </format>
    <format dxfId="1">
      <pivotArea grandRow="1" outline="0" collapsedLevelsAreSubtotals="1" fieldPosition="0"/>
    </format>
    <format dxfId="0">
      <pivotArea collapsedLevelsAreSubtotals="1" fieldPosition="0">
        <references count="1">
          <reference field="12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00F81E-9A9B-4813-BB3B-A8931924106D}" name="PivotTable2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N134:O137" firstHeaderRow="1" firstDataRow="1" firstDataCol="1"/>
  <pivotFields count="5">
    <pivotField axis="axisRow" showAll="0">
      <items count="3">
        <item x="1"/>
        <item x="0"/>
        <item t="default"/>
      </items>
    </pivotField>
    <pivotField showAll="0"/>
    <pivotField showAll="0"/>
    <pivotField numFmtId="8" showAll="0"/>
    <pivotField dataField="1" numFmtId="8" showAl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Sum of Total Grossup" fld="4" baseField="0" baseItem="0" numFmtId="43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71F9AF-73B8-43A4-850B-48CF1E63F52E}" name="PivotTable1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K127:L130" firstHeaderRow="1" firstDataRow="1" firstDataCol="1"/>
  <pivotFields count="14">
    <pivotField showAll="0"/>
    <pivotField numFmtId="8" showAll="0"/>
    <pivotField numFmtId="8" showAll="0"/>
    <pivotField numFmtId="8" showAll="0"/>
    <pivotField numFmtId="8" showAll="0"/>
    <pivotField numFmtId="8" showAll="0"/>
    <pivotField numFmtId="8" showAll="0"/>
    <pivotField numFmtId="8" showAll="0"/>
    <pivotField numFmtId="8" showAll="0"/>
    <pivotField numFmtId="8" showAll="0"/>
    <pivotField numFmtId="8" showAll="0"/>
    <pivotField showAll="0"/>
    <pivotField axis="axisRow" showAll="0">
      <items count="3">
        <item x="1"/>
        <item x="0"/>
        <item t="default"/>
      </items>
    </pivotField>
    <pivotField dataField="1" numFmtId="8"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Excess DTL" fld="13" baseField="0" baseItem="0" numFmtId="43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431711-C0AD-4006-A4B4-196B897984BC}" name="PivotTable4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M127:N130" firstHeaderRow="1" firstDataRow="1" firstDataCol="1"/>
  <pivotFields count="6">
    <pivotField showAll="0"/>
    <pivotField numFmtId="8" showAll="0"/>
    <pivotField dataField="1" numFmtId="8" showAll="0"/>
    <pivotField numFmtId="8" showAll="0"/>
    <pivotField numFmtId="8" showAll="0"/>
    <pivotField axis="axisRow" showAll="0">
      <items count="3">
        <item x="1"/>
        <item x="0"/>
        <item t="default"/>
      </items>
    </pivotField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um of Activity For_x000d__x000a_Rate Change Beg Bal Trueup - Rate Change YTD Trueup" fld="2" baseField="0" baseItem="0"/>
  </dataFields>
  <formats count="2">
    <format dxfId="6">
      <pivotArea outline="0" collapsedLevelsAreSubtotals="1" fieldPosition="0"/>
    </format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9" dT="2024-02-14T16:00:28.39" personId="{EBA5AEEA-6B1A-4E23-9E17-514CF0D8162D}" id="{B9AF4C86-A60D-4AE0-9759-CA30B0535CD5}">
    <text>See snip it below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7" Type="http://schemas.microsoft.com/office/2017/10/relationships/threadedComment" Target="../threadedComments/threadedComment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../../../Downloads/2025%20Schedules/2023/TEC%20FORM%201/TEC%20TCJA%20FERC%20DISCLOSURE/FORM%201%20DISCLOSURE/2023%20TEC%20WORK%20FILE%20-%20TCJA%20DISCLOSURE.xlsx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customProperty" Target="../customProperty8.bin"/><Relationship Id="rId5" Type="http://schemas.openxmlformats.org/officeDocument/2006/relationships/printerSettings" Target="../printerSettings/printerSettings4.bin"/><Relationship Id="rId4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94500-CB84-4B97-AC83-0CC888BB9CC3}">
  <sheetPr>
    <tabColor rgb="FFFFFF00"/>
  </sheetPr>
  <dimension ref="A1:T53"/>
  <sheetViews>
    <sheetView tabSelected="1" view="pageBreakPreview" topLeftCell="A3" zoomScale="60" zoomScaleNormal="110" workbookViewId="0">
      <selection activeCell="Q9" sqref="Q9"/>
    </sheetView>
  </sheetViews>
  <sheetFormatPr defaultColWidth="9.33203125" defaultRowHeight="14.1" customHeight="1" x14ac:dyDescent="0.2"/>
  <cols>
    <col min="1" max="1" width="3.5546875" style="94" customWidth="1"/>
    <col min="2" max="2" width="6.6640625" style="94" bestFit="1" customWidth="1"/>
    <col min="3" max="5" width="9.5546875" style="94" customWidth="1"/>
    <col min="6" max="6" width="10.5546875" style="94" customWidth="1"/>
    <col min="7" max="18" width="9.5546875" style="94" customWidth="1"/>
    <col min="19" max="19" width="14.33203125" style="94" customWidth="1"/>
    <col min="20" max="20" width="9.5546875" style="94" customWidth="1"/>
    <col min="21" max="16384" width="9.33203125" style="94"/>
  </cols>
  <sheetData>
    <row r="1" spans="1:20" ht="14.1" hidden="1" customHeight="1" x14ac:dyDescent="0.2">
      <c r="C1" s="94">
        <v>2</v>
      </c>
      <c r="F1" s="94">
        <v>3</v>
      </c>
      <c r="G1" s="94">
        <v>4</v>
      </c>
      <c r="H1" s="94">
        <v>5</v>
      </c>
      <c r="I1" s="94">
        <v>6</v>
      </c>
      <c r="J1" s="94">
        <v>7</v>
      </c>
      <c r="K1" s="94">
        <v>8</v>
      </c>
      <c r="L1" s="94">
        <v>9</v>
      </c>
      <c r="M1" s="94">
        <v>10</v>
      </c>
      <c r="N1" s="94">
        <v>11</v>
      </c>
      <c r="O1" s="94">
        <v>12</v>
      </c>
      <c r="P1" s="94">
        <v>13</v>
      </c>
      <c r="Q1" s="94">
        <v>14</v>
      </c>
      <c r="R1" s="94">
        <v>15</v>
      </c>
      <c r="S1" s="94">
        <v>17</v>
      </c>
    </row>
    <row r="2" spans="1:20" ht="14.1" hidden="1" customHeight="1" x14ac:dyDescent="0.2">
      <c r="S2" s="94">
        <v>1</v>
      </c>
    </row>
    <row r="3" spans="1:20" ht="14.1" customHeight="1" thickBot="1" x14ac:dyDescent="0.25">
      <c r="A3" s="95" t="s">
        <v>0</v>
      </c>
      <c r="B3" s="96"/>
      <c r="C3" s="96"/>
      <c r="D3" s="96"/>
      <c r="E3" s="96"/>
      <c r="F3" s="96"/>
      <c r="G3" s="96"/>
      <c r="H3" s="192" t="s">
        <v>1</v>
      </c>
      <c r="I3" s="192"/>
      <c r="J3" s="192"/>
      <c r="K3" s="192"/>
      <c r="L3" s="192"/>
      <c r="M3" s="192"/>
      <c r="N3" s="96"/>
      <c r="O3" s="96"/>
      <c r="P3" s="96"/>
      <c r="Q3" s="96"/>
      <c r="R3" s="96"/>
      <c r="S3" s="96" t="str">
        <f>"Page 1 of " &amp; S$2</f>
        <v>Page 1 of 1</v>
      </c>
    </row>
    <row r="4" spans="1:20" ht="14.1" customHeight="1" x14ac:dyDescent="0.2">
      <c r="A4" s="94" t="s">
        <v>2</v>
      </c>
      <c r="E4" s="94" t="s">
        <v>3</v>
      </c>
      <c r="G4" s="94" t="s">
        <v>4</v>
      </c>
      <c r="K4" s="98"/>
      <c r="L4" s="98"/>
      <c r="N4" s="98"/>
      <c r="O4" s="98"/>
      <c r="P4" s="98" t="s">
        <v>5</v>
      </c>
      <c r="S4" s="99"/>
      <c r="T4" s="99"/>
    </row>
    <row r="5" spans="1:20" ht="14.1" customHeight="1" x14ac:dyDescent="0.2">
      <c r="G5" s="94" t="s">
        <v>6</v>
      </c>
      <c r="K5" s="100"/>
      <c r="L5" s="99"/>
      <c r="O5" s="122"/>
      <c r="P5" s="100" t="s">
        <v>7</v>
      </c>
      <c r="Q5" s="121" t="s">
        <v>8</v>
      </c>
      <c r="S5" s="100"/>
      <c r="T5" s="99"/>
    </row>
    <row r="6" spans="1:20" ht="14.1" customHeight="1" x14ac:dyDescent="0.2">
      <c r="A6" s="196" t="s">
        <v>9</v>
      </c>
      <c r="B6" s="196"/>
      <c r="C6" s="196"/>
      <c r="D6" s="196"/>
      <c r="G6" s="94" t="s">
        <v>10</v>
      </c>
      <c r="K6" s="100"/>
      <c r="L6" s="99"/>
      <c r="M6" s="100"/>
      <c r="O6" s="122"/>
      <c r="P6" s="100" t="s">
        <v>7</v>
      </c>
      <c r="Q6" s="121" t="s">
        <v>11</v>
      </c>
      <c r="S6" s="100"/>
      <c r="T6" s="99"/>
    </row>
    <row r="7" spans="1:20" ht="14.1" customHeight="1" x14ac:dyDescent="0.2">
      <c r="A7" s="196"/>
      <c r="B7" s="196"/>
      <c r="C7" s="196"/>
      <c r="D7" s="196"/>
      <c r="K7" s="100"/>
      <c r="L7" s="99"/>
      <c r="M7" s="100"/>
      <c r="O7" s="122"/>
      <c r="P7" s="100" t="s">
        <v>7</v>
      </c>
      <c r="Q7" s="121" t="s">
        <v>12</v>
      </c>
      <c r="S7" s="100"/>
      <c r="T7" s="99"/>
    </row>
    <row r="8" spans="1:20" ht="14.1" customHeight="1" thickBot="1" x14ac:dyDescent="0.25">
      <c r="A8" s="197" t="s">
        <v>571</v>
      </c>
      <c r="B8" s="197"/>
      <c r="C8" s="197"/>
      <c r="D8" s="197"/>
      <c r="E8" s="96"/>
      <c r="F8" s="96"/>
      <c r="G8" s="96"/>
      <c r="H8" s="96"/>
      <c r="I8" s="96"/>
      <c r="J8" s="192" t="s">
        <v>13</v>
      </c>
      <c r="K8" s="192"/>
      <c r="L8" s="96"/>
      <c r="M8" s="96"/>
      <c r="N8" s="96"/>
      <c r="O8" s="93"/>
      <c r="P8" s="93"/>
      <c r="Q8" s="96" t="s">
        <v>572</v>
      </c>
      <c r="R8" s="96"/>
      <c r="S8" s="96"/>
    </row>
    <row r="9" spans="1:20" ht="14.1" customHeight="1" x14ac:dyDescent="0.2">
      <c r="B9" s="101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</row>
    <row r="10" spans="1:20" ht="14.1" customHeight="1" x14ac:dyDescent="0.2">
      <c r="B10" s="101"/>
      <c r="C10" s="101"/>
      <c r="D10" s="101"/>
      <c r="E10" s="101"/>
      <c r="F10" s="101"/>
      <c r="G10" s="102"/>
      <c r="H10" s="101"/>
      <c r="I10" s="102"/>
      <c r="J10" s="101"/>
      <c r="K10" s="101"/>
      <c r="L10" s="101"/>
      <c r="M10" s="101"/>
      <c r="N10" s="101"/>
      <c r="O10" s="101"/>
      <c r="P10" s="101"/>
      <c r="Q10" s="101"/>
      <c r="R10" s="101"/>
      <c r="S10" s="101"/>
    </row>
    <row r="11" spans="1:20" ht="14.1" customHeight="1" x14ac:dyDescent="0.2">
      <c r="A11" s="94" t="s">
        <v>14</v>
      </c>
      <c r="B11" s="101"/>
      <c r="C11" s="101"/>
      <c r="D11" s="101"/>
      <c r="E11" s="101"/>
      <c r="F11" s="102"/>
      <c r="G11" s="101"/>
      <c r="H11" s="101"/>
      <c r="I11" s="101"/>
      <c r="J11" s="101"/>
      <c r="K11" s="102"/>
      <c r="L11" s="102" t="s">
        <v>15</v>
      </c>
      <c r="M11" s="102"/>
      <c r="N11" s="101"/>
      <c r="O11" s="101"/>
      <c r="P11" s="102"/>
      <c r="Q11" s="102"/>
      <c r="R11" s="102"/>
      <c r="S11" s="101"/>
    </row>
    <row r="12" spans="1:20" ht="14.1" customHeight="1" thickBot="1" x14ac:dyDescent="0.25">
      <c r="A12" s="96" t="s">
        <v>16</v>
      </c>
      <c r="B12" s="97"/>
      <c r="C12" s="97"/>
      <c r="D12" s="97"/>
      <c r="E12" s="97"/>
      <c r="F12" s="97"/>
      <c r="G12" s="103"/>
      <c r="H12" s="104" t="s">
        <v>17</v>
      </c>
      <c r="I12" s="104"/>
      <c r="J12" s="105" t="s">
        <v>18</v>
      </c>
      <c r="K12" s="103"/>
      <c r="L12" s="106" t="s">
        <v>19</v>
      </c>
      <c r="M12" s="106"/>
      <c r="N12" s="107"/>
      <c r="O12" s="107"/>
      <c r="P12" s="107"/>
      <c r="Q12" s="107"/>
      <c r="R12" s="107"/>
      <c r="S12" s="107"/>
    </row>
    <row r="13" spans="1:20" ht="14.1" customHeight="1" x14ac:dyDescent="0.2">
      <c r="A13" s="94">
        <v>1</v>
      </c>
      <c r="B13" s="83"/>
      <c r="C13" s="108"/>
      <c r="D13" s="108"/>
      <c r="E13" s="108"/>
      <c r="F13" s="109"/>
      <c r="G13" s="109"/>
      <c r="H13" s="109"/>
      <c r="I13" s="109"/>
      <c r="J13" s="108"/>
      <c r="K13" s="108"/>
      <c r="L13" s="108"/>
      <c r="M13" s="108"/>
      <c r="N13" s="108"/>
      <c r="O13" s="108"/>
      <c r="P13" s="108"/>
      <c r="Q13" s="108"/>
      <c r="R13" s="108"/>
      <c r="S13" s="108"/>
    </row>
    <row r="14" spans="1:20" ht="14.1" customHeight="1" x14ac:dyDescent="0.2">
      <c r="A14" s="94">
        <v>2</v>
      </c>
      <c r="B14" s="83"/>
      <c r="C14" s="108"/>
      <c r="F14" s="109"/>
      <c r="G14" s="109"/>
      <c r="H14" s="110"/>
      <c r="I14" s="110"/>
      <c r="J14" s="191"/>
      <c r="K14" s="191"/>
      <c r="L14" s="191"/>
      <c r="M14" s="110"/>
      <c r="N14" s="116"/>
      <c r="O14" s="110"/>
      <c r="P14" s="110"/>
      <c r="Q14" s="110"/>
      <c r="R14" s="110"/>
      <c r="S14" s="109"/>
    </row>
    <row r="15" spans="1:20" ht="14.1" customHeight="1" x14ac:dyDescent="0.2">
      <c r="A15" s="94">
        <v>3</v>
      </c>
      <c r="B15" s="84"/>
      <c r="C15" s="111" t="s">
        <v>20</v>
      </c>
      <c r="D15" s="112"/>
      <c r="E15" s="112"/>
      <c r="F15" s="143"/>
      <c r="G15" s="113"/>
      <c r="H15" s="85">
        <f>'2023 EXCESS'!C8/1000</f>
        <v>295392.41739999998</v>
      </c>
      <c r="I15" s="85"/>
      <c r="J15" s="85">
        <f>('2023 EXCESS'!C10+'2023 EXCESS'!C12+'2023 EXCESS'!C14)/1000</f>
        <v>45893.191913337978</v>
      </c>
      <c r="K15" s="114"/>
      <c r="L15" s="87">
        <f>H15+J15</f>
        <v>341285.60931333795</v>
      </c>
      <c r="M15" s="115"/>
      <c r="N15" s="116"/>
      <c r="O15" s="116"/>
      <c r="P15" s="116"/>
      <c r="Q15" s="110"/>
      <c r="R15" s="116"/>
      <c r="S15" s="117"/>
    </row>
    <row r="16" spans="1:20" ht="14.1" customHeight="1" x14ac:dyDescent="0.2">
      <c r="A16" s="94">
        <v>4</v>
      </c>
      <c r="B16" s="84"/>
      <c r="C16" s="111" t="s">
        <v>21</v>
      </c>
      <c r="D16" s="112"/>
      <c r="E16" s="112"/>
      <c r="F16" s="123"/>
      <c r="G16" s="114"/>
      <c r="H16" s="86">
        <f>('2023 PTAX RPT 260'!I57/1000)+'2023 EXCESS'!C33/1000</f>
        <v>-11198.059000000001</v>
      </c>
      <c r="I16" s="85"/>
      <c r="J16" s="90">
        <f>('FD Unamortiz Unprotected Bal'!Z118+-'ST Unprotec def per stipulation'!$G$10)/1000</f>
        <v>-14149.074209757202</v>
      </c>
      <c r="K16" s="114"/>
      <c r="L16" s="86">
        <f>H16+J16</f>
        <v>-25347.133209757201</v>
      </c>
      <c r="M16" s="115"/>
      <c r="N16" s="116"/>
      <c r="O16" s="116"/>
      <c r="P16" s="116"/>
      <c r="Q16" s="116"/>
      <c r="R16" s="116"/>
      <c r="S16" s="117"/>
    </row>
    <row r="17" spans="1:19" ht="14.1" customHeight="1" x14ac:dyDescent="0.2">
      <c r="A17" s="94">
        <v>5</v>
      </c>
      <c r="B17" s="84"/>
      <c r="C17" s="111"/>
      <c r="D17" s="112"/>
      <c r="E17" s="112"/>
      <c r="F17" s="114"/>
      <c r="G17" s="114"/>
      <c r="H17" s="114"/>
      <c r="I17" s="116"/>
      <c r="J17" s="114"/>
      <c r="K17" s="116"/>
      <c r="L17" s="85"/>
      <c r="M17" s="116"/>
      <c r="N17" s="116"/>
      <c r="O17" s="116"/>
      <c r="P17" s="116"/>
      <c r="Q17" s="116"/>
      <c r="R17" s="116"/>
      <c r="S17" s="117"/>
    </row>
    <row r="18" spans="1:19" ht="14.1" customHeight="1" x14ac:dyDescent="0.2">
      <c r="A18" s="94">
        <v>6</v>
      </c>
      <c r="B18" s="84"/>
      <c r="C18" s="111" t="s">
        <v>22</v>
      </c>
      <c r="D18" s="112"/>
      <c r="E18" s="112"/>
      <c r="F18" s="143"/>
      <c r="G18" s="113"/>
      <c r="H18" s="85">
        <f>'2024 EXCESS'!D19/1000</f>
        <v>284194.35751</v>
      </c>
      <c r="I18" s="116"/>
      <c r="J18" s="85">
        <f>('FD Unamortiz Unprotected Bal'!Z116+'ST Unprotec def per stipulation'!G23+'2021 51051 - Def Tax Adj'!AE75)/1000</f>
        <v>31744.117703580774</v>
      </c>
      <c r="K18" s="116"/>
      <c r="L18" s="87">
        <f>H18+J18</f>
        <v>315938.47521358076</v>
      </c>
      <c r="M18" s="116"/>
      <c r="N18" s="116"/>
      <c r="O18" s="116"/>
      <c r="P18" s="116"/>
      <c r="Q18" s="116"/>
      <c r="R18" s="116"/>
      <c r="S18" s="117"/>
    </row>
    <row r="19" spans="1:19" ht="14.1" customHeight="1" x14ac:dyDescent="0.2">
      <c r="A19" s="94">
        <v>7</v>
      </c>
      <c r="B19" s="84"/>
      <c r="C19" s="111" t="s">
        <v>23</v>
      </c>
      <c r="D19" s="112"/>
      <c r="E19" s="112"/>
      <c r="F19" s="123"/>
      <c r="G19" s="114"/>
      <c r="H19" s="86">
        <f>('2024 PTAX RPT 260'!I57/1000)</f>
        <v>-13356.933999999999</v>
      </c>
      <c r="I19" s="116"/>
      <c r="J19" s="90">
        <f>('FD Unamortiz Unprotected Bal'!AA118)/1000</f>
        <v>-13296.011209757202</v>
      </c>
      <c r="K19" s="116"/>
      <c r="L19" s="86">
        <f>H19+J19</f>
        <v>-26652.945209757199</v>
      </c>
      <c r="M19" s="116"/>
      <c r="N19" s="116"/>
      <c r="O19" s="116"/>
      <c r="P19" s="116"/>
      <c r="Q19" s="116"/>
      <c r="R19" s="116"/>
      <c r="S19" s="117"/>
    </row>
    <row r="20" spans="1:19" ht="14.1" customHeight="1" x14ac:dyDescent="0.2">
      <c r="A20" s="94">
        <v>8</v>
      </c>
      <c r="B20" s="84"/>
      <c r="C20" s="111"/>
      <c r="D20" s="112"/>
      <c r="E20" s="112"/>
      <c r="F20" s="114"/>
      <c r="G20" s="114"/>
      <c r="H20" s="114"/>
      <c r="I20" s="116"/>
      <c r="J20" s="114"/>
      <c r="K20" s="116"/>
      <c r="L20" s="85"/>
      <c r="M20" s="116"/>
      <c r="N20" s="116"/>
      <c r="O20" s="116"/>
      <c r="P20" s="116"/>
      <c r="Q20" s="116"/>
      <c r="R20" s="116"/>
      <c r="S20" s="117"/>
    </row>
    <row r="21" spans="1:19" ht="14.1" customHeight="1" x14ac:dyDescent="0.2">
      <c r="A21" s="94">
        <v>9</v>
      </c>
      <c r="B21" s="84"/>
      <c r="C21" s="111" t="s">
        <v>24</v>
      </c>
      <c r="D21" s="112"/>
      <c r="E21" s="112"/>
      <c r="F21" s="143"/>
      <c r="G21" s="113"/>
      <c r="H21" s="85">
        <f>'2025 EXCESS'!D19/1000</f>
        <v>270837.42356000002</v>
      </c>
      <c r="I21" s="116"/>
      <c r="J21" s="85">
        <f>('FD Unamortiz Unprotected Bal'!AA116+'2021 51051 - Def Tax Adj'!AE75)/1000</f>
        <v>18448.106493823572</v>
      </c>
      <c r="K21" s="116"/>
      <c r="L21" s="87">
        <f>H21+J21</f>
        <v>289285.5300538236</v>
      </c>
      <c r="M21" s="116"/>
      <c r="N21" s="116"/>
      <c r="O21" s="116"/>
      <c r="P21" s="116"/>
      <c r="Q21" s="116"/>
      <c r="R21" s="116"/>
      <c r="S21" s="117"/>
    </row>
    <row r="22" spans="1:19" ht="14.1" customHeight="1" x14ac:dyDescent="0.2">
      <c r="A22" s="94">
        <v>10</v>
      </c>
      <c r="B22" s="84"/>
      <c r="C22" s="111" t="s">
        <v>23</v>
      </c>
      <c r="D22" s="112"/>
      <c r="E22" s="112"/>
      <c r="F22" s="123"/>
      <c r="G22" s="114"/>
      <c r="H22" s="86">
        <f>('2025 PTAX RPT 260'!I57/1000)</f>
        <v>-16681.830000000002</v>
      </c>
      <c r="I22" s="116"/>
      <c r="J22" s="90">
        <f>('FD Unamortiz Unprotected Bal'!AA118+'State Excess'!U16)/1000</f>
        <v>-10112.818009757202</v>
      </c>
      <c r="K22" s="116"/>
      <c r="L22" s="86">
        <f>H22+J22</f>
        <v>-26794.648009757206</v>
      </c>
      <c r="M22" s="116"/>
      <c r="N22" s="116"/>
      <c r="O22" s="116"/>
      <c r="P22" s="116"/>
      <c r="Q22" s="116"/>
      <c r="R22" s="116"/>
      <c r="S22" s="117"/>
    </row>
    <row r="23" spans="1:19" ht="14.1" customHeight="1" x14ac:dyDescent="0.2">
      <c r="A23" s="94">
        <v>11</v>
      </c>
      <c r="B23" s="84"/>
      <c r="C23" s="111"/>
      <c r="D23" s="112"/>
      <c r="E23" s="112"/>
      <c r="F23" s="114"/>
      <c r="G23" s="114"/>
      <c r="H23" s="114"/>
      <c r="I23" s="116"/>
      <c r="J23" s="114"/>
      <c r="K23" s="116"/>
      <c r="L23" s="85"/>
      <c r="M23" s="116"/>
      <c r="N23" s="116"/>
      <c r="O23" s="116"/>
      <c r="P23" s="116"/>
      <c r="Q23" s="116"/>
      <c r="R23" s="116"/>
      <c r="S23" s="117"/>
    </row>
    <row r="24" spans="1:19" ht="14.1" customHeight="1" thickBot="1" x14ac:dyDescent="0.35">
      <c r="A24" s="94">
        <v>12</v>
      </c>
      <c r="B24" s="84"/>
      <c r="C24" s="111" t="s">
        <v>25</v>
      </c>
      <c r="D24" s="112"/>
      <c r="E24" s="112"/>
      <c r="F24" s="123"/>
      <c r="G24" s="114"/>
      <c r="H24" s="88">
        <f>+H21+H22</f>
        <v>254155.59356000001</v>
      </c>
      <c r="I24" s="116"/>
      <c r="J24" s="88">
        <f>+J21+J22</f>
        <v>8335.2884840663701</v>
      </c>
      <c r="K24" s="116"/>
      <c r="L24" s="88">
        <f>+L21+L22</f>
        <v>262490.88204406638</v>
      </c>
      <c r="M24" s="190"/>
      <c r="N24" s="116"/>
      <c r="O24" s="116"/>
      <c r="P24" s="116"/>
      <c r="Q24" s="118"/>
      <c r="R24" s="116"/>
      <c r="S24" s="117"/>
    </row>
    <row r="25" spans="1:19" ht="14.1" customHeight="1" thickTop="1" x14ac:dyDescent="0.2">
      <c r="A25" s="94">
        <v>13</v>
      </c>
      <c r="B25" s="84"/>
      <c r="C25" s="108"/>
      <c r="F25" s="117"/>
      <c r="G25" s="109"/>
      <c r="H25" s="92">
        <f>ROUND(H24-'2025 EXCESS'!G19/1000,0)</f>
        <v>0</v>
      </c>
      <c r="I25" s="116"/>
      <c r="J25" s="92">
        <f>J24-('FD Unamortiz Unprotected Bal'!AB116+'State Excess'!X9)/1000</f>
        <v>-2.5999999888881575E-4</v>
      </c>
      <c r="K25" s="116"/>
      <c r="L25" s="92">
        <f>L24-ROUND('2025 51052 2820610 NO FT'!S105,0)/1000</f>
        <v>6.40440663555637E-2</v>
      </c>
      <c r="M25" s="117"/>
      <c r="N25" s="116"/>
      <c r="O25" s="116"/>
      <c r="P25" s="116"/>
      <c r="Q25" s="116"/>
      <c r="R25" s="116"/>
      <c r="S25" s="117"/>
    </row>
    <row r="26" spans="1:19" ht="14.1" customHeight="1" x14ac:dyDescent="0.2">
      <c r="A26" s="94">
        <v>14</v>
      </c>
      <c r="B26" s="84"/>
      <c r="C26" s="108"/>
      <c r="F26" s="117"/>
      <c r="G26" s="109"/>
      <c r="H26" s="117"/>
      <c r="I26" s="117"/>
      <c r="J26" s="117"/>
      <c r="K26" s="117"/>
      <c r="L26" s="117"/>
      <c r="M26" s="117"/>
      <c r="N26" s="116"/>
      <c r="O26" s="117"/>
      <c r="P26" s="117"/>
      <c r="Q26" s="117"/>
      <c r="R26" s="117"/>
      <c r="S26" s="117"/>
    </row>
    <row r="27" spans="1:19" ht="14.1" customHeight="1" x14ac:dyDescent="0.2">
      <c r="A27" s="94">
        <v>15</v>
      </c>
      <c r="B27" s="84"/>
      <c r="C27" s="108"/>
      <c r="F27" s="117"/>
      <c r="G27" s="109"/>
      <c r="H27" s="119"/>
      <c r="I27" s="117"/>
      <c r="J27" s="119"/>
      <c r="K27" s="117"/>
      <c r="L27" s="119"/>
      <c r="M27" s="117"/>
      <c r="N27" s="116"/>
      <c r="O27" s="117"/>
      <c r="P27" s="117"/>
      <c r="Q27" s="117"/>
      <c r="R27" s="117"/>
      <c r="S27" s="117"/>
    </row>
    <row r="28" spans="1:19" ht="14.1" customHeight="1" x14ac:dyDescent="0.2">
      <c r="A28" s="94">
        <v>16</v>
      </c>
      <c r="B28" s="84"/>
      <c r="C28" s="108"/>
      <c r="F28" s="117"/>
      <c r="G28" s="117"/>
      <c r="H28" s="117"/>
      <c r="I28" s="117"/>
      <c r="J28" s="117"/>
      <c r="K28" s="117"/>
      <c r="L28" s="117"/>
      <c r="M28" s="117"/>
      <c r="N28" s="116"/>
      <c r="O28" s="117"/>
      <c r="P28" s="117"/>
      <c r="Q28" s="117"/>
      <c r="R28" s="117"/>
      <c r="S28" s="117"/>
    </row>
    <row r="29" spans="1:19" ht="14.1" customHeight="1" x14ac:dyDescent="0.2">
      <c r="A29" s="94">
        <v>17</v>
      </c>
      <c r="B29" s="84"/>
      <c r="C29" s="108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</row>
    <row r="30" spans="1:19" ht="14.1" customHeight="1" x14ac:dyDescent="0.2">
      <c r="A30" s="94">
        <v>18</v>
      </c>
      <c r="B30" s="84"/>
      <c r="C30" s="108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</row>
    <row r="31" spans="1:19" ht="14.1" customHeight="1" x14ac:dyDescent="0.2">
      <c r="A31" s="94">
        <v>19</v>
      </c>
      <c r="B31" s="84"/>
      <c r="C31" s="108"/>
      <c r="F31" s="117"/>
      <c r="G31" s="117"/>
      <c r="H31" s="117"/>
      <c r="I31" s="117"/>
      <c r="J31" s="120"/>
      <c r="K31" s="117"/>
      <c r="L31" s="120"/>
      <c r="M31" s="117"/>
      <c r="N31" s="117"/>
      <c r="O31" s="117"/>
      <c r="P31" s="117"/>
      <c r="Q31" s="117"/>
      <c r="R31" s="117"/>
      <c r="S31" s="117"/>
    </row>
    <row r="32" spans="1:19" ht="14.1" customHeight="1" x14ac:dyDescent="0.2">
      <c r="A32" s="94">
        <v>20</v>
      </c>
      <c r="B32" s="84"/>
      <c r="C32" s="108"/>
      <c r="F32" s="117"/>
      <c r="G32" s="117"/>
      <c r="H32" s="117"/>
      <c r="I32" s="117"/>
      <c r="J32" s="120"/>
      <c r="K32" s="117"/>
      <c r="L32" s="120"/>
      <c r="M32" s="117"/>
      <c r="N32" s="117"/>
      <c r="O32" s="117"/>
      <c r="P32" s="117"/>
      <c r="Q32" s="117"/>
      <c r="R32" s="117"/>
      <c r="S32" s="117"/>
    </row>
    <row r="33" spans="1:19" ht="14.1" customHeight="1" x14ac:dyDescent="0.2">
      <c r="A33" s="94">
        <v>21</v>
      </c>
      <c r="B33" s="84"/>
      <c r="C33" s="108"/>
      <c r="F33" s="117"/>
      <c r="G33" s="117"/>
      <c r="H33" s="117"/>
      <c r="I33" s="117"/>
      <c r="J33" s="120"/>
      <c r="K33" s="117"/>
      <c r="L33" s="120"/>
      <c r="M33" s="117"/>
      <c r="N33" s="117"/>
      <c r="O33" s="117"/>
      <c r="P33" s="117"/>
      <c r="Q33" s="117"/>
      <c r="R33" s="117"/>
      <c r="S33" s="117"/>
    </row>
    <row r="34" spans="1:19" ht="14.1" customHeight="1" x14ac:dyDescent="0.2">
      <c r="A34" s="94">
        <v>22</v>
      </c>
      <c r="B34" s="84"/>
      <c r="C34" s="108"/>
      <c r="F34" s="117"/>
      <c r="G34" s="117"/>
      <c r="H34" s="117"/>
      <c r="I34" s="117"/>
      <c r="J34" s="120"/>
      <c r="K34" s="117"/>
      <c r="L34" s="120"/>
      <c r="M34" s="117"/>
      <c r="N34" s="117"/>
      <c r="O34" s="117"/>
      <c r="P34" s="117"/>
      <c r="Q34" s="117"/>
      <c r="R34" s="117"/>
      <c r="S34" s="117"/>
    </row>
    <row r="35" spans="1:19" ht="14.1" customHeight="1" x14ac:dyDescent="0.2">
      <c r="A35" s="94">
        <v>23</v>
      </c>
      <c r="B35" s="84"/>
      <c r="C35" s="108"/>
      <c r="F35" s="117"/>
      <c r="G35" s="117"/>
      <c r="H35" s="117"/>
      <c r="I35" s="117"/>
      <c r="J35" s="120"/>
      <c r="K35" s="117"/>
      <c r="L35" s="120"/>
      <c r="M35" s="117"/>
      <c r="N35" s="117"/>
      <c r="O35" s="117"/>
      <c r="P35" s="117"/>
      <c r="Q35" s="117"/>
      <c r="R35" s="117"/>
      <c r="S35" s="117"/>
    </row>
    <row r="36" spans="1:19" ht="14.1" customHeight="1" x14ac:dyDescent="0.2">
      <c r="A36" s="94">
        <v>24</v>
      </c>
      <c r="B36" s="84"/>
      <c r="C36" s="108"/>
      <c r="F36" s="117"/>
      <c r="G36" s="117"/>
      <c r="H36" s="117"/>
      <c r="I36" s="117"/>
      <c r="J36" s="120"/>
      <c r="K36" s="117"/>
      <c r="L36" s="120"/>
      <c r="M36" s="117"/>
      <c r="N36" s="117"/>
      <c r="O36" s="117"/>
      <c r="P36" s="117"/>
      <c r="Q36" s="117"/>
      <c r="R36" s="117"/>
      <c r="S36" s="117"/>
    </row>
    <row r="37" spans="1:19" ht="14.1" customHeight="1" x14ac:dyDescent="0.2">
      <c r="A37" s="94">
        <v>25</v>
      </c>
      <c r="B37" s="84"/>
      <c r="C37" s="108"/>
      <c r="F37" s="117"/>
      <c r="G37" s="117"/>
      <c r="H37" s="117"/>
      <c r="I37" s="117"/>
      <c r="J37" s="120"/>
      <c r="K37" s="117"/>
      <c r="L37" s="120"/>
      <c r="M37" s="117"/>
      <c r="N37" s="117"/>
      <c r="O37" s="117"/>
      <c r="P37" s="117"/>
      <c r="Q37" s="117"/>
      <c r="R37" s="117"/>
      <c r="S37" s="117"/>
    </row>
    <row r="38" spans="1:19" ht="14.1" customHeight="1" x14ac:dyDescent="0.2">
      <c r="A38" s="94">
        <v>26</v>
      </c>
      <c r="B38" s="84"/>
      <c r="C38" s="108"/>
      <c r="F38" s="117"/>
      <c r="G38" s="117"/>
      <c r="H38" s="117"/>
      <c r="I38" s="117"/>
      <c r="J38" s="120"/>
      <c r="K38" s="117"/>
      <c r="L38" s="120"/>
      <c r="M38" s="117"/>
      <c r="N38" s="117"/>
      <c r="O38" s="117"/>
      <c r="P38" s="117"/>
      <c r="Q38" s="117"/>
      <c r="R38" s="117"/>
      <c r="S38" s="117"/>
    </row>
    <row r="39" spans="1:19" ht="14.1" customHeight="1" x14ac:dyDescent="0.2">
      <c r="A39" s="94">
        <v>27</v>
      </c>
      <c r="B39" s="84"/>
      <c r="C39" s="108"/>
      <c r="F39" s="117"/>
      <c r="G39" s="117"/>
      <c r="H39" s="117"/>
      <c r="I39" s="117"/>
      <c r="J39" s="120"/>
      <c r="K39" s="117"/>
      <c r="L39" s="120"/>
      <c r="M39" s="117"/>
      <c r="N39" s="117"/>
      <c r="O39" s="117"/>
      <c r="P39" s="117"/>
      <c r="Q39" s="117"/>
      <c r="R39" s="117"/>
      <c r="S39" s="117"/>
    </row>
    <row r="40" spans="1:19" ht="14.1" customHeight="1" x14ac:dyDescent="0.2">
      <c r="A40" s="94">
        <v>28</v>
      </c>
      <c r="B40" s="84"/>
      <c r="C40" s="108"/>
      <c r="F40" s="117"/>
      <c r="G40" s="117"/>
      <c r="H40" s="117"/>
      <c r="I40" s="117"/>
      <c r="J40" s="120"/>
      <c r="K40" s="117"/>
      <c r="L40" s="120"/>
      <c r="M40" s="117"/>
      <c r="N40" s="117"/>
      <c r="O40" s="117"/>
      <c r="P40" s="117"/>
      <c r="Q40" s="117"/>
      <c r="R40" s="117"/>
      <c r="S40" s="117"/>
    </row>
    <row r="41" spans="1:19" ht="14.1" customHeight="1" x14ac:dyDescent="0.2">
      <c r="A41" s="94">
        <v>29</v>
      </c>
      <c r="B41" s="84"/>
      <c r="C41" s="108"/>
      <c r="F41" s="117"/>
      <c r="G41" s="117"/>
      <c r="H41" s="117"/>
      <c r="I41" s="117"/>
      <c r="J41" s="120"/>
      <c r="K41" s="117"/>
      <c r="L41" s="120"/>
      <c r="M41" s="117"/>
      <c r="N41" s="117"/>
      <c r="O41" s="117"/>
      <c r="P41" s="117"/>
      <c r="Q41" s="117"/>
      <c r="R41" s="117"/>
      <c r="S41" s="117"/>
    </row>
    <row r="42" spans="1:19" ht="14.1" customHeight="1" x14ac:dyDescent="0.2">
      <c r="A42" s="94">
        <v>30</v>
      </c>
      <c r="B42" s="84"/>
      <c r="C42" s="108"/>
      <c r="F42" s="117"/>
      <c r="G42" s="117"/>
      <c r="H42" s="117"/>
      <c r="I42" s="117"/>
      <c r="J42" s="120"/>
      <c r="K42" s="117"/>
      <c r="L42" s="120"/>
      <c r="M42" s="117"/>
      <c r="N42" s="117"/>
      <c r="O42" s="117"/>
      <c r="P42" s="117"/>
      <c r="Q42" s="117"/>
      <c r="R42" s="117"/>
      <c r="S42" s="117"/>
    </row>
    <row r="43" spans="1:19" ht="14.1" customHeight="1" x14ac:dyDescent="0.2">
      <c r="A43" s="94">
        <v>31</v>
      </c>
      <c r="B43" s="89"/>
      <c r="C43" s="108"/>
      <c r="F43" s="117"/>
      <c r="G43" s="117"/>
      <c r="H43" s="117"/>
      <c r="I43" s="117"/>
      <c r="J43" s="120"/>
      <c r="K43" s="117"/>
      <c r="L43" s="120"/>
      <c r="M43" s="117"/>
      <c r="N43" s="117"/>
      <c r="O43" s="117"/>
      <c r="P43" s="117"/>
      <c r="Q43" s="117"/>
      <c r="R43" s="117"/>
      <c r="S43" s="117"/>
    </row>
    <row r="44" spans="1:19" ht="14.1" customHeight="1" x14ac:dyDescent="0.2">
      <c r="A44" s="94">
        <v>32</v>
      </c>
      <c r="B44" s="84"/>
      <c r="C44" s="108"/>
      <c r="F44" s="117"/>
      <c r="G44" s="117"/>
      <c r="H44" s="117"/>
      <c r="I44" s="117"/>
      <c r="J44" s="120"/>
      <c r="K44" s="117"/>
      <c r="L44" s="120"/>
      <c r="M44" s="117"/>
      <c r="N44" s="117"/>
      <c r="O44" s="117"/>
      <c r="P44" s="117"/>
      <c r="Q44" s="117"/>
      <c r="R44" s="117"/>
      <c r="S44" s="117"/>
    </row>
    <row r="45" spans="1:19" ht="14.1" customHeight="1" x14ac:dyDescent="0.2">
      <c r="A45" s="94">
        <v>33</v>
      </c>
      <c r="B45" s="84"/>
      <c r="C45" s="108"/>
      <c r="F45" s="117"/>
      <c r="G45" s="117"/>
      <c r="H45" s="117"/>
      <c r="I45" s="117"/>
      <c r="J45" s="120"/>
      <c r="K45" s="117"/>
      <c r="L45" s="120"/>
      <c r="M45" s="117"/>
      <c r="N45" s="117"/>
      <c r="O45" s="117"/>
      <c r="P45" s="117"/>
      <c r="Q45" s="117"/>
      <c r="R45" s="117"/>
      <c r="S45" s="117"/>
    </row>
    <row r="46" spans="1:19" ht="14.1" customHeight="1" x14ac:dyDescent="0.2">
      <c r="A46" s="94">
        <v>34</v>
      </c>
      <c r="B46" s="84"/>
      <c r="C46" s="108"/>
      <c r="F46" s="117"/>
      <c r="G46" s="117"/>
      <c r="H46" s="117"/>
      <c r="I46" s="117"/>
      <c r="J46" s="120"/>
      <c r="K46" s="117"/>
      <c r="L46" s="120"/>
      <c r="M46" s="117"/>
      <c r="N46" s="117"/>
      <c r="O46" s="117"/>
      <c r="P46" s="117"/>
      <c r="Q46" s="117"/>
      <c r="R46" s="117"/>
      <c r="S46" s="117"/>
    </row>
    <row r="47" spans="1:19" ht="14.1" customHeight="1" x14ac:dyDescent="0.2">
      <c r="A47" s="94">
        <v>35</v>
      </c>
      <c r="B47" s="84"/>
      <c r="C47" s="108"/>
      <c r="F47" s="117"/>
      <c r="G47" s="117"/>
      <c r="H47" s="117"/>
      <c r="I47" s="117"/>
      <c r="J47" s="120"/>
      <c r="K47" s="117"/>
      <c r="L47" s="120"/>
      <c r="M47" s="117"/>
      <c r="N47" s="117"/>
      <c r="O47" s="117"/>
      <c r="P47" s="117"/>
      <c r="Q47" s="117"/>
      <c r="R47" s="117"/>
      <c r="S47" s="117"/>
    </row>
    <row r="48" spans="1:19" ht="14.1" customHeight="1" x14ac:dyDescent="0.2">
      <c r="A48" s="94">
        <v>36</v>
      </c>
      <c r="B48" s="84"/>
      <c r="C48" s="108"/>
      <c r="F48" s="117"/>
      <c r="G48" s="117"/>
      <c r="H48" s="117"/>
      <c r="I48" s="117"/>
      <c r="J48" s="120"/>
      <c r="K48" s="117"/>
      <c r="L48" s="120"/>
      <c r="M48" s="117"/>
      <c r="N48" s="117"/>
      <c r="O48" s="117"/>
      <c r="P48" s="117"/>
      <c r="Q48" s="117"/>
      <c r="R48" s="117"/>
      <c r="S48" s="117"/>
    </row>
    <row r="49" spans="1:19" ht="14.1" customHeight="1" x14ac:dyDescent="0.2">
      <c r="A49" s="94">
        <v>37</v>
      </c>
      <c r="B49" s="84"/>
      <c r="C49" s="108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</row>
    <row r="50" spans="1:19" ht="14.1" customHeight="1" x14ac:dyDescent="0.2">
      <c r="A50" s="94">
        <v>38</v>
      </c>
      <c r="B50" s="84"/>
      <c r="C50" s="108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</row>
    <row r="51" spans="1:19" ht="14.1" customHeight="1" thickBot="1" x14ac:dyDescent="0.25">
      <c r="A51" s="96">
        <v>39</v>
      </c>
      <c r="B51" s="193" t="s">
        <v>27</v>
      </c>
      <c r="C51" s="193"/>
      <c r="D51" s="193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</row>
    <row r="52" spans="1:19" ht="14.1" customHeight="1" x14ac:dyDescent="0.2">
      <c r="A52" s="94" t="s">
        <v>28</v>
      </c>
      <c r="Q52" s="94" t="s">
        <v>29</v>
      </c>
    </row>
    <row r="53" spans="1:19" ht="14.1" customHeight="1" x14ac:dyDescent="0.2">
      <c r="A53" s="194"/>
      <c r="B53" s="194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</row>
  </sheetData>
  <mergeCells count="4">
    <mergeCell ref="H3:M3"/>
    <mergeCell ref="J8:K8"/>
    <mergeCell ref="B51:D51"/>
    <mergeCell ref="A53:S53"/>
  </mergeCells>
  <pageMargins left="1" right="0" top="1" bottom="0" header="0" footer="0"/>
  <pageSetup scale="70" orientation="landscape" r:id="rId1"/>
  <headerFooter alignWithMargins="0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0C75-B434-4577-8CE4-95BCFBF6ED52}">
  <sheetPr>
    <tabColor theme="5" tint="0.59999389629810485"/>
  </sheetPr>
  <dimension ref="A1:AE108"/>
  <sheetViews>
    <sheetView zoomScale="90" zoomScaleNormal="90" workbookViewId="0">
      <pane xSplit="3" ySplit="8" topLeftCell="L59" activePane="bottomRight" state="frozen"/>
      <selection pane="topRight" activeCell="F26" sqref="F26"/>
      <selection pane="bottomLeft" activeCell="F26" sqref="F26"/>
      <selection pane="bottomRight" activeCell="AE75" sqref="AE75"/>
    </sheetView>
  </sheetViews>
  <sheetFormatPr defaultColWidth="8.88671875" defaultRowHeight="13.8" x14ac:dyDescent="0.3"/>
  <cols>
    <col min="1" max="1" width="22.109375" style="136" customWidth="1"/>
    <col min="2" max="2" width="22.6640625" style="136" customWidth="1"/>
    <col min="3" max="3" width="33.6640625" style="136" customWidth="1"/>
    <col min="4" max="4" width="16.6640625" style="136" hidden="1" customWidth="1"/>
    <col min="5" max="5" width="12" style="136" hidden="1" customWidth="1"/>
    <col min="6" max="6" width="8.5546875" style="136" hidden="1" customWidth="1"/>
    <col min="7" max="7" width="17.33203125" style="136" hidden="1" customWidth="1"/>
    <col min="8" max="8" width="8.33203125" style="136" hidden="1" customWidth="1"/>
    <col min="9" max="9" width="14.6640625" style="136" hidden="1" customWidth="1"/>
    <col min="10" max="10" width="10.33203125" style="136" hidden="1" customWidth="1"/>
    <col min="11" max="11" width="8.5546875" style="136" hidden="1" customWidth="1"/>
    <col min="12" max="12" width="14.6640625" style="136" bestFit="1" customWidth="1"/>
    <col min="13" max="13" width="13.6640625" style="136" hidden="1" customWidth="1"/>
    <col min="14" max="14" width="4.88671875" style="136" hidden="1" customWidth="1"/>
    <col min="15" max="15" width="8.5546875" style="136" customWidth="1"/>
    <col min="16" max="16" width="23.33203125" style="136" hidden="1" customWidth="1"/>
    <col min="17" max="17" width="21.33203125" style="136" hidden="1" customWidth="1"/>
    <col min="18" max="18" width="33.6640625" style="136" hidden="1" customWidth="1"/>
    <col min="19" max="19" width="14.88671875" style="136" hidden="1" customWidth="1"/>
    <col min="20" max="20" width="12" style="136" hidden="1" customWidth="1"/>
    <col min="21" max="21" width="8" style="136" hidden="1" customWidth="1"/>
    <col min="22" max="22" width="10.5546875" style="136" hidden="1" customWidth="1"/>
    <col min="23" max="23" width="7.6640625" style="136" hidden="1" customWidth="1"/>
    <col min="24" max="24" width="13.5546875" style="136" hidden="1" customWidth="1"/>
    <col min="25" max="25" width="14.44140625" style="136" bestFit="1" customWidth="1"/>
    <col min="26" max="26" width="8" style="136" hidden="1" customWidth="1"/>
    <col min="27" max="27" width="10.5546875" style="136" hidden="1" customWidth="1"/>
    <col min="28" max="28" width="13.5546875" style="136" hidden="1" customWidth="1"/>
    <col min="29" max="29" width="4.44140625" style="136" hidden="1" customWidth="1"/>
    <col min="30" max="30" width="5.33203125" style="136" customWidth="1"/>
    <col min="31" max="31" width="16.109375" style="136" customWidth="1"/>
    <col min="32" max="16384" width="8.88671875" style="136"/>
  </cols>
  <sheetData>
    <row r="1" spans="1:31" x14ac:dyDescent="0.3">
      <c r="A1" s="136" t="s">
        <v>298</v>
      </c>
      <c r="P1" s="136" t="s">
        <v>298</v>
      </c>
    </row>
    <row r="3" spans="1:31" x14ac:dyDescent="0.3">
      <c r="A3" s="136" t="s">
        <v>402</v>
      </c>
      <c r="P3" s="136" t="s">
        <v>402</v>
      </c>
    </row>
    <row r="4" spans="1:31" x14ac:dyDescent="0.3">
      <c r="A4" s="136" t="s">
        <v>50</v>
      </c>
      <c r="P4" s="136" t="s">
        <v>50</v>
      </c>
    </row>
    <row r="5" spans="1:31" x14ac:dyDescent="0.3">
      <c r="A5" s="136" t="s">
        <v>305</v>
      </c>
      <c r="P5" s="136" t="s">
        <v>305</v>
      </c>
    </row>
    <row r="6" spans="1:31" x14ac:dyDescent="0.3">
      <c r="A6" s="144" t="s">
        <v>403</v>
      </c>
      <c r="P6" s="144" t="s">
        <v>404</v>
      </c>
    </row>
    <row r="7" spans="1:31" x14ac:dyDescent="0.3">
      <c r="D7" s="136" t="s">
        <v>309</v>
      </c>
      <c r="I7" s="136" t="s">
        <v>310</v>
      </c>
      <c r="L7" s="145" t="s">
        <v>403</v>
      </c>
      <c r="S7" s="136" t="s">
        <v>309</v>
      </c>
      <c r="X7" s="136" t="s">
        <v>310</v>
      </c>
      <c r="Y7" s="145" t="s">
        <v>404</v>
      </c>
      <c r="AE7" s="145" t="s">
        <v>405</v>
      </c>
    </row>
    <row r="8" spans="1:31" ht="41.4" x14ac:dyDescent="0.3">
      <c r="A8" s="136" t="s">
        <v>319</v>
      </c>
      <c r="D8" s="146" t="s">
        <v>320</v>
      </c>
      <c r="E8" s="146" t="s">
        <v>321</v>
      </c>
      <c r="F8" s="146" t="s">
        <v>322</v>
      </c>
      <c r="G8" s="146" t="s">
        <v>323</v>
      </c>
      <c r="H8" s="146" t="s">
        <v>406</v>
      </c>
      <c r="I8" s="146" t="s">
        <v>320</v>
      </c>
      <c r="J8" s="146" t="s">
        <v>321</v>
      </c>
      <c r="K8" s="146" t="s">
        <v>322</v>
      </c>
      <c r="L8" s="147" t="s">
        <v>323</v>
      </c>
      <c r="M8" s="146" t="s">
        <v>406</v>
      </c>
      <c r="P8" s="136" t="s">
        <v>319</v>
      </c>
      <c r="S8" s="146" t="s">
        <v>320</v>
      </c>
      <c r="T8" s="146" t="s">
        <v>321</v>
      </c>
      <c r="U8" s="146" t="s">
        <v>322</v>
      </c>
      <c r="V8" s="146" t="s">
        <v>323</v>
      </c>
      <c r="W8" s="146" t="s">
        <v>406</v>
      </c>
      <c r="X8" s="146" t="s">
        <v>320</v>
      </c>
      <c r="Y8" s="147" t="s">
        <v>321</v>
      </c>
      <c r="Z8" s="146" t="s">
        <v>322</v>
      </c>
      <c r="AA8" s="146" t="s">
        <v>323</v>
      </c>
      <c r="AB8" s="146" t="s">
        <v>406</v>
      </c>
      <c r="AE8" s="147" t="s">
        <v>407</v>
      </c>
    </row>
    <row r="9" spans="1:31" x14ac:dyDescent="0.3">
      <c r="N9" s="136" t="s">
        <v>328</v>
      </c>
      <c r="AC9" s="136" t="s">
        <v>328</v>
      </c>
    </row>
    <row r="10" spans="1:31" x14ac:dyDescent="0.3">
      <c r="A10" s="136" t="s">
        <v>408</v>
      </c>
      <c r="P10" s="136" t="s">
        <v>59</v>
      </c>
    </row>
    <row r="11" spans="1:31" x14ac:dyDescent="0.3">
      <c r="A11" s="136" t="s">
        <v>92</v>
      </c>
      <c r="C11" s="136" t="s">
        <v>409</v>
      </c>
      <c r="D11" s="148">
        <v>-457027807.54000002</v>
      </c>
      <c r="E11" s="148">
        <v>0</v>
      </c>
      <c r="F11" s="148">
        <v>0</v>
      </c>
      <c r="G11" s="148">
        <v>457027807.54000002</v>
      </c>
      <c r="H11" s="148">
        <v>0</v>
      </c>
      <c r="I11" s="148">
        <v>4278602.93</v>
      </c>
      <c r="J11" s="148">
        <v>0</v>
      </c>
      <c r="K11" s="148">
        <v>0</v>
      </c>
      <c r="L11" s="148">
        <v>-4278602.93</v>
      </c>
      <c r="M11" s="148">
        <v>0</v>
      </c>
      <c r="N11" s="136">
        <v>0</v>
      </c>
      <c r="P11" s="136" t="s">
        <v>92</v>
      </c>
      <c r="R11" s="136" t="s">
        <v>102</v>
      </c>
      <c r="S11" s="148">
        <v>885452.23</v>
      </c>
      <c r="T11" s="148">
        <v>-885452.23</v>
      </c>
      <c r="U11" s="148">
        <v>0</v>
      </c>
      <c r="V11" s="148">
        <v>0</v>
      </c>
      <c r="W11" s="148">
        <v>0</v>
      </c>
      <c r="X11" s="148">
        <v>0</v>
      </c>
      <c r="Y11" s="148">
        <v>0.01</v>
      </c>
      <c r="Z11" s="148">
        <v>0</v>
      </c>
      <c r="AA11" s="148">
        <v>0</v>
      </c>
      <c r="AB11" s="148">
        <v>0.01</v>
      </c>
      <c r="AC11" s="136">
        <v>0</v>
      </c>
    </row>
    <row r="12" spans="1:31" x14ac:dyDescent="0.3">
      <c r="A12" s="136" t="s">
        <v>92</v>
      </c>
      <c r="C12" s="136" t="s">
        <v>93</v>
      </c>
      <c r="D12" s="148">
        <v>518824094.81999999</v>
      </c>
      <c r="E12" s="148">
        <v>0</v>
      </c>
      <c r="F12" s="148">
        <v>0</v>
      </c>
      <c r="G12" s="148">
        <v>-518824094.81999999</v>
      </c>
      <c r="H12" s="148">
        <v>0</v>
      </c>
      <c r="I12" s="148">
        <v>-5992418.2800000003</v>
      </c>
      <c r="J12" s="148">
        <v>0</v>
      </c>
      <c r="K12" s="148">
        <v>0</v>
      </c>
      <c r="L12" s="148">
        <v>5992418.2999999998</v>
      </c>
      <c r="M12" s="148">
        <v>0.02</v>
      </c>
      <c r="N12" s="136">
        <v>0</v>
      </c>
      <c r="P12" s="136" t="s">
        <v>92</v>
      </c>
      <c r="R12" s="136" t="s">
        <v>103</v>
      </c>
      <c r="S12" s="148">
        <v>0</v>
      </c>
      <c r="T12" s="148">
        <v>0</v>
      </c>
      <c r="U12" s="148">
        <v>0</v>
      </c>
      <c r="V12" s="148">
        <v>0</v>
      </c>
      <c r="W12" s="148">
        <v>0</v>
      </c>
      <c r="X12" s="148">
        <v>-1014076.41</v>
      </c>
      <c r="Y12" s="148">
        <v>0</v>
      </c>
      <c r="Z12" s="148">
        <v>0</v>
      </c>
      <c r="AA12" s="148">
        <v>0</v>
      </c>
      <c r="AB12" s="148">
        <v>-1014076.41</v>
      </c>
      <c r="AC12" s="136">
        <v>0</v>
      </c>
    </row>
    <row r="13" spans="1:31" x14ac:dyDescent="0.3">
      <c r="A13" s="136" t="s">
        <v>92</v>
      </c>
      <c r="C13" s="136" t="s">
        <v>94</v>
      </c>
      <c r="D13" s="148">
        <v>0</v>
      </c>
      <c r="E13" s="148">
        <v>0</v>
      </c>
      <c r="F13" s="148">
        <v>0</v>
      </c>
      <c r="G13" s="148">
        <v>0</v>
      </c>
      <c r="H13" s="148">
        <v>0</v>
      </c>
      <c r="I13" s="148">
        <v>561961.48</v>
      </c>
      <c r="J13" s="148">
        <v>0</v>
      </c>
      <c r="K13" s="148">
        <v>0</v>
      </c>
      <c r="L13" s="148">
        <v>0</v>
      </c>
      <c r="M13" s="148">
        <v>561961.48</v>
      </c>
      <c r="N13" s="136">
        <v>0</v>
      </c>
      <c r="P13" s="136" t="s">
        <v>92</v>
      </c>
      <c r="R13" s="136" t="s">
        <v>104</v>
      </c>
      <c r="S13" s="148">
        <v>-885452.23</v>
      </c>
      <c r="T13" s="148">
        <v>885452.23</v>
      </c>
      <c r="U13" s="148">
        <v>0</v>
      </c>
      <c r="V13" s="148">
        <v>0</v>
      </c>
      <c r="W13" s="148">
        <v>0</v>
      </c>
      <c r="X13" s="148">
        <v>-0.01</v>
      </c>
      <c r="Y13" s="148">
        <v>0.01</v>
      </c>
      <c r="Z13" s="148">
        <v>0</v>
      </c>
      <c r="AA13" s="148">
        <v>0</v>
      </c>
      <c r="AB13" s="148">
        <v>0</v>
      </c>
      <c r="AC13" s="136">
        <v>0</v>
      </c>
    </row>
    <row r="14" spans="1:31" x14ac:dyDescent="0.3">
      <c r="A14" s="136" t="s">
        <v>92</v>
      </c>
      <c r="C14" s="136" t="s">
        <v>410</v>
      </c>
      <c r="D14" s="148">
        <v>-61796287.280000001</v>
      </c>
      <c r="E14" s="148">
        <v>0</v>
      </c>
      <c r="F14" s="148">
        <v>0</v>
      </c>
      <c r="G14" s="148">
        <v>61796287.280000001</v>
      </c>
      <c r="H14" s="148">
        <v>0</v>
      </c>
      <c r="I14" s="148">
        <v>458744.74</v>
      </c>
      <c r="J14" s="148">
        <v>0</v>
      </c>
      <c r="K14" s="148">
        <v>0</v>
      </c>
      <c r="L14" s="148">
        <v>-458744.74</v>
      </c>
      <c r="M14" s="148">
        <v>0</v>
      </c>
      <c r="N14" s="136">
        <v>0</v>
      </c>
      <c r="Q14" s="136" t="s">
        <v>77</v>
      </c>
      <c r="S14" s="148">
        <v>0</v>
      </c>
      <c r="T14" s="148">
        <v>0</v>
      </c>
      <c r="U14" s="148">
        <v>0</v>
      </c>
      <c r="V14" s="148">
        <v>0</v>
      </c>
      <c r="W14" s="148">
        <v>0</v>
      </c>
      <c r="X14" s="148">
        <v>-1014076.42</v>
      </c>
      <c r="Y14" s="148">
        <v>0.02</v>
      </c>
      <c r="Z14" s="148">
        <v>0</v>
      </c>
      <c r="AA14" s="148">
        <v>0</v>
      </c>
      <c r="AB14" s="148">
        <v>-1014076.4</v>
      </c>
      <c r="AC14" s="136">
        <v>0</v>
      </c>
    </row>
    <row r="15" spans="1:31" x14ac:dyDescent="0.3">
      <c r="B15" s="136" t="s">
        <v>411</v>
      </c>
      <c r="D15" s="148">
        <v>0</v>
      </c>
      <c r="E15" s="148">
        <v>0</v>
      </c>
      <c r="F15" s="148">
        <v>0</v>
      </c>
      <c r="G15" s="148">
        <v>0</v>
      </c>
      <c r="H15" s="148">
        <v>0</v>
      </c>
      <c r="I15" s="148">
        <v>-693109.13</v>
      </c>
      <c r="J15" s="148">
        <v>0</v>
      </c>
      <c r="K15" s="148">
        <v>0</v>
      </c>
      <c r="L15" s="149">
        <v>1255070.6299999999</v>
      </c>
      <c r="M15" s="148">
        <v>561961.5</v>
      </c>
      <c r="N15" s="136">
        <v>0</v>
      </c>
      <c r="P15" s="136" t="s">
        <v>412</v>
      </c>
    </row>
    <row r="16" spans="1:31" x14ac:dyDescent="0.3">
      <c r="A16" s="136" t="s">
        <v>413</v>
      </c>
      <c r="P16" s="136" t="s">
        <v>92</v>
      </c>
      <c r="R16" s="136" t="s">
        <v>102</v>
      </c>
      <c r="S16" s="148">
        <v>885452.23</v>
      </c>
      <c r="T16" s="148">
        <v>-885452.23</v>
      </c>
      <c r="U16" s="148">
        <v>0</v>
      </c>
      <c r="V16" s="148">
        <v>0</v>
      </c>
      <c r="W16" s="148">
        <v>0</v>
      </c>
      <c r="X16" s="148">
        <v>-10226.98</v>
      </c>
      <c r="Y16" s="148">
        <v>10226.969999999999</v>
      </c>
      <c r="Z16" s="148">
        <v>0</v>
      </c>
      <c r="AA16" s="148">
        <v>0</v>
      </c>
      <c r="AB16" s="148">
        <v>-0.01</v>
      </c>
      <c r="AC16" s="136">
        <v>0</v>
      </c>
    </row>
    <row r="17" spans="1:29" x14ac:dyDescent="0.3">
      <c r="A17" s="136" t="s">
        <v>92</v>
      </c>
      <c r="C17" s="136" t="s">
        <v>409</v>
      </c>
      <c r="D17" s="148">
        <v>-457027807.54000002</v>
      </c>
      <c r="E17" s="148">
        <v>0</v>
      </c>
      <c r="F17" s="148">
        <v>0</v>
      </c>
      <c r="G17" s="148">
        <v>457027807.54000002</v>
      </c>
      <c r="H17" s="148">
        <v>0</v>
      </c>
      <c r="I17" s="148">
        <v>-20374299.66</v>
      </c>
      <c r="J17" s="148">
        <v>0</v>
      </c>
      <c r="K17" s="148">
        <v>0</v>
      </c>
      <c r="L17" s="148">
        <v>20374299.66</v>
      </c>
      <c r="M17" s="148">
        <v>0</v>
      </c>
      <c r="N17" s="136">
        <v>0</v>
      </c>
      <c r="P17" s="136" t="s">
        <v>92</v>
      </c>
      <c r="R17" s="136" t="s">
        <v>103</v>
      </c>
      <c r="S17" s="148">
        <v>0</v>
      </c>
      <c r="T17" s="148">
        <v>0</v>
      </c>
      <c r="U17" s="148">
        <v>0</v>
      </c>
      <c r="V17" s="148">
        <v>0</v>
      </c>
      <c r="W17" s="148">
        <v>0</v>
      </c>
      <c r="X17" s="148">
        <v>-171168.23</v>
      </c>
      <c r="Y17" s="148">
        <v>0</v>
      </c>
      <c r="Z17" s="148">
        <v>0</v>
      </c>
      <c r="AA17" s="148">
        <v>0</v>
      </c>
      <c r="AB17" s="148">
        <v>-171168.23</v>
      </c>
      <c r="AC17" s="136">
        <v>0</v>
      </c>
    </row>
    <row r="18" spans="1:29" x14ac:dyDescent="0.3">
      <c r="A18" s="136" t="s">
        <v>92</v>
      </c>
      <c r="C18" s="136" t="s">
        <v>93</v>
      </c>
      <c r="D18" s="148">
        <v>518824094.81999999</v>
      </c>
      <c r="E18" s="148">
        <v>0</v>
      </c>
      <c r="F18" s="148">
        <v>0</v>
      </c>
      <c r="G18" s="148">
        <v>-518824094.81999999</v>
      </c>
      <c r="H18" s="148">
        <v>0</v>
      </c>
      <c r="I18" s="148">
        <v>28535325.210000001</v>
      </c>
      <c r="J18" s="148">
        <v>0</v>
      </c>
      <c r="K18" s="148">
        <v>0</v>
      </c>
      <c r="L18" s="148">
        <v>-28535325.219999999</v>
      </c>
      <c r="M18" s="148">
        <v>-0.01</v>
      </c>
      <c r="N18" s="136">
        <v>0</v>
      </c>
      <c r="P18" s="136" t="s">
        <v>92</v>
      </c>
      <c r="R18" s="136" t="s">
        <v>104</v>
      </c>
      <c r="S18" s="148">
        <v>-885452.23</v>
      </c>
      <c r="T18" s="148">
        <v>885452.23</v>
      </c>
      <c r="U18" s="148">
        <v>0</v>
      </c>
      <c r="V18" s="148">
        <v>0</v>
      </c>
      <c r="W18" s="148">
        <v>0</v>
      </c>
      <c r="X18" s="148">
        <v>6573.15</v>
      </c>
      <c r="Y18" s="148">
        <v>-6573.15</v>
      </c>
      <c r="Z18" s="148">
        <v>0</v>
      </c>
      <c r="AA18" s="148">
        <v>0</v>
      </c>
      <c r="AB18" s="148">
        <v>0</v>
      </c>
      <c r="AC18" s="136">
        <v>0</v>
      </c>
    </row>
    <row r="19" spans="1:29" x14ac:dyDescent="0.3">
      <c r="A19" s="136" t="s">
        <v>92</v>
      </c>
      <c r="C19" s="136" t="s">
        <v>94</v>
      </c>
      <c r="D19" s="148">
        <v>0</v>
      </c>
      <c r="E19" s="148">
        <v>0</v>
      </c>
      <c r="F19" s="148">
        <v>0</v>
      </c>
      <c r="G19" s="148">
        <v>0</v>
      </c>
      <c r="H19" s="148">
        <v>0</v>
      </c>
      <c r="I19" s="148">
        <v>-1407579.73</v>
      </c>
      <c r="J19" s="148">
        <v>0</v>
      </c>
      <c r="K19" s="148">
        <v>0</v>
      </c>
      <c r="L19" s="148">
        <v>0</v>
      </c>
      <c r="M19" s="148">
        <v>-1407579.73</v>
      </c>
      <c r="N19" s="136">
        <v>0</v>
      </c>
      <c r="Q19" s="136" t="s">
        <v>414</v>
      </c>
      <c r="S19" s="148">
        <v>0</v>
      </c>
      <c r="T19" s="148">
        <v>0</v>
      </c>
      <c r="U19" s="148">
        <v>0</v>
      </c>
      <c r="V19" s="148">
        <v>0</v>
      </c>
      <c r="W19" s="148">
        <v>0</v>
      </c>
      <c r="X19" s="148">
        <v>-174822.06</v>
      </c>
      <c r="Y19" s="149">
        <v>3653.82</v>
      </c>
      <c r="Z19" s="148">
        <v>0</v>
      </c>
      <c r="AA19" s="148">
        <v>0</v>
      </c>
      <c r="AB19" s="148">
        <v>-171168.24</v>
      </c>
      <c r="AC19" s="136">
        <v>0</v>
      </c>
    </row>
    <row r="20" spans="1:29" x14ac:dyDescent="0.3">
      <c r="A20" s="136" t="s">
        <v>92</v>
      </c>
      <c r="C20" s="136" t="s">
        <v>410</v>
      </c>
      <c r="D20" s="148">
        <v>-61796287.280000001</v>
      </c>
      <c r="E20" s="148">
        <v>0</v>
      </c>
      <c r="F20" s="148">
        <v>0</v>
      </c>
      <c r="G20" s="148">
        <v>61796287.280000001</v>
      </c>
      <c r="H20" s="148">
        <v>0</v>
      </c>
      <c r="I20" s="148">
        <v>-2184498.7599999998</v>
      </c>
      <c r="J20" s="148">
        <v>0</v>
      </c>
      <c r="K20" s="148">
        <v>0</v>
      </c>
      <c r="L20" s="148">
        <v>2184498.7599999998</v>
      </c>
      <c r="M20" s="148">
        <v>0</v>
      </c>
      <c r="N20" s="136">
        <v>0</v>
      </c>
      <c r="P20" s="136" t="s">
        <v>415</v>
      </c>
    </row>
    <row r="21" spans="1:29" x14ac:dyDescent="0.3">
      <c r="B21" s="136" t="s">
        <v>416</v>
      </c>
      <c r="D21" s="148">
        <v>0</v>
      </c>
      <c r="E21" s="148">
        <v>0</v>
      </c>
      <c r="F21" s="148">
        <v>0</v>
      </c>
      <c r="G21" s="148">
        <v>0</v>
      </c>
      <c r="H21" s="148">
        <v>0</v>
      </c>
      <c r="I21" s="148">
        <v>4568947.0599999996</v>
      </c>
      <c r="J21" s="148">
        <v>0</v>
      </c>
      <c r="K21" s="148">
        <v>0</v>
      </c>
      <c r="L21" s="149">
        <v>-5976526.7999999998</v>
      </c>
      <c r="M21" s="148">
        <v>-1407579.74</v>
      </c>
      <c r="N21" s="136">
        <v>0</v>
      </c>
      <c r="P21" s="136" t="s">
        <v>92</v>
      </c>
      <c r="R21" s="136" t="s">
        <v>102</v>
      </c>
      <c r="S21" s="148">
        <v>885452.23</v>
      </c>
      <c r="T21" s="148">
        <v>-885452.23</v>
      </c>
      <c r="U21" s="148">
        <v>0</v>
      </c>
      <c r="V21" s="148">
        <v>0</v>
      </c>
      <c r="W21" s="148">
        <v>0</v>
      </c>
      <c r="X21" s="148">
        <v>48699.88</v>
      </c>
      <c r="Y21" s="148">
        <v>-48699.88</v>
      </c>
      <c r="Z21" s="148">
        <v>0</v>
      </c>
      <c r="AA21" s="148">
        <v>0</v>
      </c>
      <c r="AB21" s="148">
        <v>0</v>
      </c>
      <c r="AC21" s="136">
        <v>0</v>
      </c>
    </row>
    <row r="22" spans="1:29" x14ac:dyDescent="0.3">
      <c r="A22" s="136" t="s">
        <v>417</v>
      </c>
      <c r="P22" s="136" t="s">
        <v>92</v>
      </c>
      <c r="R22" s="136" t="s">
        <v>103</v>
      </c>
      <c r="S22" s="148">
        <v>0</v>
      </c>
      <c r="T22" s="148">
        <v>0</v>
      </c>
      <c r="U22" s="148">
        <v>0</v>
      </c>
      <c r="V22" s="148">
        <v>0</v>
      </c>
      <c r="W22" s="148">
        <v>0</v>
      </c>
      <c r="X22" s="148">
        <v>1185244.6399999999</v>
      </c>
      <c r="Y22" s="148">
        <v>0</v>
      </c>
      <c r="Z22" s="148">
        <v>0</v>
      </c>
      <c r="AA22" s="148">
        <v>0</v>
      </c>
      <c r="AB22" s="148">
        <v>1185244.6399999999</v>
      </c>
      <c r="AC22" s="136">
        <v>0</v>
      </c>
    </row>
    <row r="23" spans="1:29" x14ac:dyDescent="0.3">
      <c r="A23" s="136" t="s">
        <v>92</v>
      </c>
      <c r="C23" s="136" t="s">
        <v>95</v>
      </c>
      <c r="D23" s="148">
        <v>31861420.870000001</v>
      </c>
      <c r="E23" s="148">
        <v>0</v>
      </c>
      <c r="F23" s="148">
        <v>0</v>
      </c>
      <c r="G23" s="148">
        <v>-31861420.870000001</v>
      </c>
      <c r="H23" s="148">
        <v>0</v>
      </c>
      <c r="I23" s="148">
        <v>-298280.25</v>
      </c>
      <c r="J23" s="148">
        <v>0</v>
      </c>
      <c r="K23" s="148">
        <v>0</v>
      </c>
      <c r="L23" s="148">
        <v>298280.25</v>
      </c>
      <c r="M23" s="148">
        <v>0</v>
      </c>
      <c r="N23" s="136">
        <v>0</v>
      </c>
      <c r="P23" s="136" t="s">
        <v>92</v>
      </c>
      <c r="R23" s="136" t="s">
        <v>104</v>
      </c>
      <c r="S23" s="148">
        <v>-885452.23</v>
      </c>
      <c r="T23" s="148">
        <v>885452.23</v>
      </c>
      <c r="U23" s="148">
        <v>0</v>
      </c>
      <c r="V23" s="148">
        <v>0</v>
      </c>
      <c r="W23" s="148">
        <v>0</v>
      </c>
      <c r="X23" s="148">
        <v>-31300.73</v>
      </c>
      <c r="Y23" s="148">
        <v>31300.73</v>
      </c>
      <c r="Z23" s="148">
        <v>0</v>
      </c>
      <c r="AA23" s="148">
        <v>0</v>
      </c>
      <c r="AB23" s="148">
        <v>0</v>
      </c>
      <c r="AC23" s="136">
        <v>0</v>
      </c>
    </row>
    <row r="24" spans="1:29" x14ac:dyDescent="0.3">
      <c r="A24" s="136" t="s">
        <v>92</v>
      </c>
      <c r="C24" s="136" t="s">
        <v>96</v>
      </c>
      <c r="D24" s="148">
        <v>-68675690.599999994</v>
      </c>
      <c r="E24" s="148">
        <v>0</v>
      </c>
      <c r="F24" s="148">
        <v>0</v>
      </c>
      <c r="G24" s="148">
        <v>68675690.599999994</v>
      </c>
      <c r="H24" s="148">
        <v>0</v>
      </c>
      <c r="I24" s="148">
        <v>793204.23</v>
      </c>
      <c r="J24" s="148">
        <v>0</v>
      </c>
      <c r="K24" s="148">
        <v>0</v>
      </c>
      <c r="L24" s="148">
        <v>-793204.23</v>
      </c>
      <c r="M24" s="148">
        <v>0</v>
      </c>
      <c r="N24" s="136">
        <v>0</v>
      </c>
      <c r="Q24" s="136" t="s">
        <v>418</v>
      </c>
      <c r="S24" s="148">
        <v>0</v>
      </c>
      <c r="T24" s="148">
        <v>0</v>
      </c>
      <c r="U24" s="148">
        <v>0</v>
      </c>
      <c r="V24" s="148">
        <v>0</v>
      </c>
      <c r="W24" s="148">
        <v>0</v>
      </c>
      <c r="X24" s="148">
        <v>1202643.79</v>
      </c>
      <c r="Y24" s="149">
        <v>-17399.150000000001</v>
      </c>
      <c r="Z24" s="148">
        <v>0</v>
      </c>
      <c r="AA24" s="148">
        <v>0</v>
      </c>
      <c r="AB24" s="148">
        <v>1185244.6399999999</v>
      </c>
      <c r="AC24" s="136">
        <v>0</v>
      </c>
    </row>
    <row r="25" spans="1:29" x14ac:dyDescent="0.3">
      <c r="A25" s="136" t="s">
        <v>92</v>
      </c>
      <c r="C25" s="136" t="s">
        <v>97</v>
      </c>
      <c r="D25" s="148">
        <v>0</v>
      </c>
      <c r="E25" s="148">
        <v>0</v>
      </c>
      <c r="F25" s="148">
        <v>0</v>
      </c>
      <c r="G25" s="148">
        <v>0</v>
      </c>
      <c r="H25" s="148">
        <v>0</v>
      </c>
      <c r="I25" s="148">
        <v>-48484.65</v>
      </c>
      <c r="J25" s="148">
        <v>0</v>
      </c>
      <c r="K25" s="148">
        <v>0</v>
      </c>
      <c r="L25" s="148">
        <v>0</v>
      </c>
      <c r="M25" s="148">
        <v>-48484.65</v>
      </c>
      <c r="N25" s="136">
        <v>0</v>
      </c>
      <c r="P25" s="136" t="s">
        <v>419</v>
      </c>
    </row>
    <row r="26" spans="1:29" x14ac:dyDescent="0.3">
      <c r="A26" s="136" t="s">
        <v>92</v>
      </c>
      <c r="C26" s="136" t="s">
        <v>98</v>
      </c>
      <c r="D26" s="148">
        <v>36814269.729999997</v>
      </c>
      <c r="E26" s="148">
        <v>0</v>
      </c>
      <c r="F26" s="148">
        <v>0</v>
      </c>
      <c r="G26" s="148">
        <v>-36814269.729999997</v>
      </c>
      <c r="H26" s="148">
        <v>0</v>
      </c>
      <c r="I26" s="148">
        <v>-273290.73</v>
      </c>
      <c r="J26" s="148">
        <v>0</v>
      </c>
      <c r="K26" s="148">
        <v>0</v>
      </c>
      <c r="L26" s="148">
        <v>273290.73</v>
      </c>
      <c r="M26" s="148">
        <v>0</v>
      </c>
      <c r="N26" s="136">
        <v>0</v>
      </c>
      <c r="P26" s="136" t="s">
        <v>92</v>
      </c>
      <c r="R26" s="136" t="s">
        <v>103</v>
      </c>
      <c r="S26" s="148">
        <v>0</v>
      </c>
      <c r="T26" s="148">
        <v>0</v>
      </c>
      <c r="U26" s="148">
        <v>0</v>
      </c>
      <c r="V26" s="148">
        <v>0</v>
      </c>
      <c r="W26" s="148">
        <v>0</v>
      </c>
      <c r="X26" s="148">
        <v>-329459.45</v>
      </c>
      <c r="Y26" s="148">
        <v>0</v>
      </c>
      <c r="Z26" s="148">
        <v>0</v>
      </c>
      <c r="AA26" s="148">
        <v>0</v>
      </c>
      <c r="AB26" s="148">
        <v>-329459.45</v>
      </c>
      <c r="AC26" s="136">
        <v>0</v>
      </c>
    </row>
    <row r="27" spans="1:29" x14ac:dyDescent="0.3">
      <c r="B27" s="136" t="s">
        <v>420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173148.6</v>
      </c>
      <c r="J27" s="148">
        <v>0</v>
      </c>
      <c r="K27" s="148">
        <v>0</v>
      </c>
      <c r="L27" s="149">
        <v>-221633.25</v>
      </c>
      <c r="M27" s="148">
        <v>-48484.65</v>
      </c>
      <c r="N27" s="136">
        <v>0</v>
      </c>
      <c r="Q27" s="136" t="s">
        <v>421</v>
      </c>
      <c r="S27" s="148">
        <v>0</v>
      </c>
      <c r="T27" s="148">
        <v>0</v>
      </c>
      <c r="U27" s="148">
        <v>0</v>
      </c>
      <c r="V27" s="148">
        <v>0</v>
      </c>
      <c r="W27" s="148">
        <v>0</v>
      </c>
      <c r="X27" s="148">
        <v>-329459.45</v>
      </c>
      <c r="Y27" s="148">
        <v>0</v>
      </c>
      <c r="Z27" s="148">
        <v>0</v>
      </c>
      <c r="AA27" s="148">
        <v>0</v>
      </c>
      <c r="AB27" s="148">
        <v>-329459.45</v>
      </c>
      <c r="AC27" s="136">
        <v>0</v>
      </c>
    </row>
    <row r="28" spans="1:29" x14ac:dyDescent="0.3">
      <c r="A28" s="136" t="s">
        <v>422</v>
      </c>
      <c r="P28" s="136" t="s">
        <v>79</v>
      </c>
      <c r="S28" s="148">
        <v>0</v>
      </c>
      <c r="T28" s="148">
        <v>0</v>
      </c>
      <c r="U28" s="148">
        <v>0</v>
      </c>
      <c r="V28" s="148">
        <v>0</v>
      </c>
      <c r="W28" s="148">
        <v>0</v>
      </c>
      <c r="X28" s="148">
        <v>-315714.14</v>
      </c>
      <c r="Y28" s="150">
        <v>-13745.31</v>
      </c>
      <c r="Z28" s="148">
        <v>0</v>
      </c>
      <c r="AA28" s="148">
        <v>0</v>
      </c>
      <c r="AB28" s="148">
        <v>-329459.45</v>
      </c>
      <c r="AC28" s="136">
        <v>0</v>
      </c>
    </row>
    <row r="29" spans="1:29" x14ac:dyDescent="0.3">
      <c r="A29" s="136" t="s">
        <v>92</v>
      </c>
      <c r="C29" s="136" t="s">
        <v>95</v>
      </c>
      <c r="D29" s="148">
        <v>31861420.870000001</v>
      </c>
      <c r="E29" s="148">
        <v>0</v>
      </c>
      <c r="F29" s="148">
        <v>0</v>
      </c>
      <c r="G29" s="148">
        <v>-31861420.870000001</v>
      </c>
      <c r="H29" s="148">
        <v>0</v>
      </c>
      <c r="I29" s="148">
        <v>1420382.15</v>
      </c>
      <c r="J29" s="148">
        <v>0</v>
      </c>
      <c r="K29" s="148">
        <v>0</v>
      </c>
      <c r="L29" s="148">
        <v>-1420382.14</v>
      </c>
      <c r="M29" s="148">
        <v>0.01</v>
      </c>
      <c r="N29" s="136">
        <v>0</v>
      </c>
    </row>
    <row r="30" spans="1:29" x14ac:dyDescent="0.3">
      <c r="A30" s="136" t="s">
        <v>92</v>
      </c>
      <c r="C30" s="136" t="s">
        <v>96</v>
      </c>
      <c r="D30" s="148">
        <v>-68675690.599999994</v>
      </c>
      <c r="E30" s="148">
        <v>0</v>
      </c>
      <c r="F30" s="148">
        <v>0</v>
      </c>
      <c r="G30" s="148">
        <v>68675690.599999994</v>
      </c>
      <c r="H30" s="148">
        <v>0</v>
      </c>
      <c r="I30" s="148">
        <v>-3777162.99</v>
      </c>
      <c r="J30" s="148">
        <v>0</v>
      </c>
      <c r="K30" s="148">
        <v>0</v>
      </c>
      <c r="L30" s="148">
        <v>3777162.98</v>
      </c>
      <c r="M30" s="148">
        <v>-0.01</v>
      </c>
      <c r="N30" s="136">
        <v>0</v>
      </c>
    </row>
    <row r="31" spans="1:29" x14ac:dyDescent="0.3">
      <c r="A31" s="136" t="s">
        <v>92</v>
      </c>
      <c r="C31" s="136" t="s">
        <v>97</v>
      </c>
      <c r="D31" s="148">
        <v>0</v>
      </c>
      <c r="E31" s="148">
        <v>0</v>
      </c>
      <c r="F31" s="148">
        <v>0</v>
      </c>
      <c r="G31" s="148">
        <v>0</v>
      </c>
      <c r="H31" s="148">
        <v>0</v>
      </c>
      <c r="I31" s="148">
        <v>121442.49</v>
      </c>
      <c r="J31" s="148">
        <v>0</v>
      </c>
      <c r="K31" s="148">
        <v>0</v>
      </c>
      <c r="L31" s="148">
        <v>0</v>
      </c>
      <c r="M31" s="148">
        <v>121442.49</v>
      </c>
      <c r="N31" s="136">
        <v>0</v>
      </c>
    </row>
    <row r="32" spans="1:29" x14ac:dyDescent="0.3">
      <c r="A32" s="136" t="s">
        <v>92</v>
      </c>
      <c r="C32" s="136" t="s">
        <v>98</v>
      </c>
      <c r="D32" s="148">
        <v>36814269.729999997</v>
      </c>
      <c r="E32" s="148">
        <v>0</v>
      </c>
      <c r="F32" s="148">
        <v>0</v>
      </c>
      <c r="G32" s="148">
        <v>-36814269.729999997</v>
      </c>
      <c r="H32" s="148">
        <v>0</v>
      </c>
      <c r="I32" s="148">
        <v>1301384.43</v>
      </c>
      <c r="J32" s="148">
        <v>0</v>
      </c>
      <c r="K32" s="148">
        <v>0</v>
      </c>
      <c r="L32" s="148">
        <v>-1301384.43</v>
      </c>
      <c r="M32" s="148">
        <v>0</v>
      </c>
      <c r="N32" s="136">
        <v>0</v>
      </c>
    </row>
    <row r="33" spans="1:14" x14ac:dyDescent="0.3">
      <c r="B33" s="136" t="s">
        <v>423</v>
      </c>
      <c r="D33" s="148">
        <v>0</v>
      </c>
      <c r="E33" s="148">
        <v>0</v>
      </c>
      <c r="F33" s="148">
        <v>0</v>
      </c>
      <c r="G33" s="148">
        <v>0</v>
      </c>
      <c r="H33" s="148">
        <v>0</v>
      </c>
      <c r="I33" s="148">
        <v>-933953.92</v>
      </c>
      <c r="J33" s="148">
        <v>0</v>
      </c>
      <c r="K33" s="148">
        <v>0</v>
      </c>
      <c r="L33" s="149">
        <v>1055396.4099999999</v>
      </c>
      <c r="M33" s="148">
        <v>121442.49</v>
      </c>
      <c r="N33" s="136">
        <v>0</v>
      </c>
    </row>
    <row r="34" spans="1:14" x14ac:dyDescent="0.3">
      <c r="A34" s="136" t="s">
        <v>424</v>
      </c>
    </row>
    <row r="35" spans="1:14" x14ac:dyDescent="0.3">
      <c r="A35" s="136" t="s">
        <v>92</v>
      </c>
      <c r="C35" s="136" t="s">
        <v>99</v>
      </c>
      <c r="D35" s="148">
        <v>-796247360.35000002</v>
      </c>
      <c r="E35" s="148">
        <v>0</v>
      </c>
      <c r="F35" s="148">
        <v>0</v>
      </c>
      <c r="G35" s="148">
        <v>796247360.35000002</v>
      </c>
      <c r="H35" s="148">
        <v>0</v>
      </c>
      <c r="I35" s="148">
        <v>7454308.5300000003</v>
      </c>
      <c r="J35" s="148">
        <v>0</v>
      </c>
      <c r="K35" s="148">
        <v>0</v>
      </c>
      <c r="L35" s="148">
        <v>-7454308.54</v>
      </c>
      <c r="M35" s="148">
        <v>-0.01</v>
      </c>
      <c r="N35" s="136">
        <v>0</v>
      </c>
    </row>
    <row r="36" spans="1:14" x14ac:dyDescent="0.3">
      <c r="A36" s="136" t="s">
        <v>92</v>
      </c>
      <c r="C36" s="136" t="s">
        <v>100</v>
      </c>
      <c r="D36" s="148">
        <v>1066748891.6900001</v>
      </c>
      <c r="E36" s="148">
        <v>0</v>
      </c>
      <c r="F36" s="148">
        <v>0</v>
      </c>
      <c r="G36" s="148">
        <v>-1066748891.6900001</v>
      </c>
      <c r="H36" s="148">
        <v>0</v>
      </c>
      <c r="I36" s="148">
        <v>-12320949.699999999</v>
      </c>
      <c r="J36" s="148">
        <v>0</v>
      </c>
      <c r="K36" s="148">
        <v>0</v>
      </c>
      <c r="L36" s="148">
        <v>12320949.699999999</v>
      </c>
      <c r="M36" s="148">
        <v>0</v>
      </c>
      <c r="N36" s="136">
        <v>0</v>
      </c>
    </row>
    <row r="37" spans="1:14" x14ac:dyDescent="0.3">
      <c r="A37" s="136" t="s">
        <v>92</v>
      </c>
      <c r="C37" s="136" t="s">
        <v>101</v>
      </c>
      <c r="D37" s="148">
        <v>0</v>
      </c>
      <c r="E37" s="148">
        <v>0</v>
      </c>
      <c r="F37" s="148">
        <v>0</v>
      </c>
      <c r="G37" s="148">
        <v>0</v>
      </c>
      <c r="H37" s="148">
        <v>0</v>
      </c>
      <c r="I37" s="148">
        <v>456347.18</v>
      </c>
      <c r="J37" s="148">
        <v>0</v>
      </c>
      <c r="K37" s="148">
        <v>0</v>
      </c>
      <c r="L37" s="148">
        <v>0</v>
      </c>
      <c r="M37" s="148">
        <v>456347.18</v>
      </c>
      <c r="N37" s="136">
        <v>0</v>
      </c>
    </row>
    <row r="38" spans="1:14" x14ac:dyDescent="0.3">
      <c r="A38" s="136" t="s">
        <v>92</v>
      </c>
      <c r="C38" s="136" t="s">
        <v>425</v>
      </c>
      <c r="D38" s="148">
        <v>-270501531.33999997</v>
      </c>
      <c r="E38" s="148">
        <v>0</v>
      </c>
      <c r="F38" s="148">
        <v>0</v>
      </c>
      <c r="G38" s="148">
        <v>270501531.33999997</v>
      </c>
      <c r="H38" s="148">
        <v>0</v>
      </c>
      <c r="I38" s="148">
        <v>2008068.12</v>
      </c>
      <c r="J38" s="148">
        <v>0</v>
      </c>
      <c r="K38" s="148">
        <v>0</v>
      </c>
      <c r="L38" s="148">
        <v>-2008068.12</v>
      </c>
      <c r="M38" s="148">
        <v>0</v>
      </c>
      <c r="N38" s="136">
        <v>0</v>
      </c>
    </row>
    <row r="39" spans="1:14" x14ac:dyDescent="0.3">
      <c r="B39" s="136" t="s">
        <v>426</v>
      </c>
      <c r="D39" s="148">
        <v>0</v>
      </c>
      <c r="E39" s="148">
        <v>0</v>
      </c>
      <c r="F39" s="148">
        <v>0</v>
      </c>
      <c r="G39" s="148">
        <v>0</v>
      </c>
      <c r="H39" s="148">
        <v>0</v>
      </c>
      <c r="I39" s="148">
        <v>-2402225.87</v>
      </c>
      <c r="J39" s="148">
        <v>0</v>
      </c>
      <c r="K39" s="148">
        <v>0</v>
      </c>
      <c r="L39" s="149">
        <v>2858573.04</v>
      </c>
      <c r="M39" s="148">
        <v>456347.17</v>
      </c>
      <c r="N39" s="136">
        <v>0</v>
      </c>
    </row>
    <row r="40" spans="1:14" x14ac:dyDescent="0.3">
      <c r="A40" s="136" t="s">
        <v>427</v>
      </c>
    </row>
    <row r="41" spans="1:14" x14ac:dyDescent="0.3">
      <c r="A41" s="136" t="s">
        <v>92</v>
      </c>
      <c r="C41" s="136" t="s">
        <v>99</v>
      </c>
      <c r="D41" s="148">
        <v>-796247360.35000002</v>
      </c>
      <c r="E41" s="148">
        <v>0</v>
      </c>
      <c r="F41" s="148">
        <v>0</v>
      </c>
      <c r="G41" s="148">
        <v>796247360.35000002</v>
      </c>
      <c r="H41" s="148">
        <v>0</v>
      </c>
      <c r="I41" s="148">
        <v>-35496707.329999998</v>
      </c>
      <c r="J41" s="148">
        <v>0</v>
      </c>
      <c r="K41" s="148">
        <v>0</v>
      </c>
      <c r="L41" s="148">
        <v>35496707.32</v>
      </c>
      <c r="M41" s="148">
        <v>-0.01</v>
      </c>
      <c r="N41" s="136">
        <v>0</v>
      </c>
    </row>
    <row r="42" spans="1:14" x14ac:dyDescent="0.3">
      <c r="A42" s="136" t="s">
        <v>92</v>
      </c>
      <c r="C42" s="136" t="s">
        <v>100</v>
      </c>
      <c r="D42" s="148">
        <v>1066748891.6900001</v>
      </c>
      <c r="E42" s="148">
        <v>0</v>
      </c>
      <c r="F42" s="148">
        <v>0</v>
      </c>
      <c r="G42" s="148">
        <v>-1066748891.6900001</v>
      </c>
      <c r="H42" s="148">
        <v>0</v>
      </c>
      <c r="I42" s="148">
        <v>58671189.039999999</v>
      </c>
      <c r="J42" s="148">
        <v>0</v>
      </c>
      <c r="K42" s="148">
        <v>0</v>
      </c>
      <c r="L42" s="148">
        <v>-58671189.039999999</v>
      </c>
      <c r="M42" s="148">
        <v>0</v>
      </c>
      <c r="N42" s="136">
        <v>0</v>
      </c>
    </row>
    <row r="43" spans="1:14" x14ac:dyDescent="0.3">
      <c r="A43" s="136" t="s">
        <v>92</v>
      </c>
      <c r="C43" s="136" t="s">
        <v>101</v>
      </c>
      <c r="D43" s="148">
        <v>0</v>
      </c>
      <c r="E43" s="148">
        <v>0</v>
      </c>
      <c r="F43" s="148">
        <v>0</v>
      </c>
      <c r="G43" s="148">
        <v>0</v>
      </c>
      <c r="H43" s="148">
        <v>0</v>
      </c>
      <c r="I43" s="148">
        <v>-1143041.0900000001</v>
      </c>
      <c r="J43" s="148">
        <v>0</v>
      </c>
      <c r="K43" s="148">
        <v>0</v>
      </c>
      <c r="L43" s="148">
        <v>0</v>
      </c>
      <c r="M43" s="148">
        <v>-1143041.0900000001</v>
      </c>
      <c r="N43" s="136">
        <v>0</v>
      </c>
    </row>
    <row r="44" spans="1:14" x14ac:dyDescent="0.3">
      <c r="A44" s="136" t="s">
        <v>92</v>
      </c>
      <c r="C44" s="136" t="s">
        <v>425</v>
      </c>
      <c r="D44" s="148">
        <v>-270501531.33999997</v>
      </c>
      <c r="E44" s="148">
        <v>0</v>
      </c>
      <c r="F44" s="148">
        <v>0</v>
      </c>
      <c r="G44" s="148">
        <v>270501531.33999997</v>
      </c>
      <c r="H44" s="148">
        <v>0</v>
      </c>
      <c r="I44" s="148">
        <v>-9562229.1300000008</v>
      </c>
      <c r="J44" s="148">
        <v>0</v>
      </c>
      <c r="K44" s="148">
        <v>0</v>
      </c>
      <c r="L44" s="148">
        <v>9562229.1300000008</v>
      </c>
      <c r="M44" s="148">
        <v>0</v>
      </c>
      <c r="N44" s="136">
        <v>0</v>
      </c>
    </row>
    <row r="45" spans="1:14" x14ac:dyDescent="0.3">
      <c r="B45" s="136" t="s">
        <v>428</v>
      </c>
      <c r="D45" s="148">
        <v>0</v>
      </c>
      <c r="E45" s="148">
        <v>0</v>
      </c>
      <c r="F45" s="148">
        <v>0</v>
      </c>
      <c r="G45" s="148">
        <v>0</v>
      </c>
      <c r="H45" s="148">
        <v>0</v>
      </c>
      <c r="I45" s="148">
        <v>12469211.49</v>
      </c>
      <c r="J45" s="148">
        <v>0</v>
      </c>
      <c r="K45" s="148">
        <v>0</v>
      </c>
      <c r="L45" s="149">
        <v>-13612252.59</v>
      </c>
      <c r="M45" s="148">
        <v>-1143041.1000000001</v>
      </c>
      <c r="N45" s="136">
        <v>0</v>
      </c>
    </row>
    <row r="46" spans="1:14" x14ac:dyDescent="0.3">
      <c r="A46" s="136" t="s">
        <v>59</v>
      </c>
    </row>
    <row r="47" spans="1:14" x14ac:dyDescent="0.3">
      <c r="A47" s="136" t="s">
        <v>92</v>
      </c>
      <c r="C47" s="136" t="s">
        <v>93</v>
      </c>
      <c r="D47" s="148">
        <v>518824094.81999999</v>
      </c>
      <c r="E47" s="148">
        <v>0</v>
      </c>
      <c r="F47" s="148">
        <v>0</v>
      </c>
      <c r="G47" s="148">
        <v>-518824094.81999999</v>
      </c>
      <c r="H47" s="148">
        <v>0</v>
      </c>
      <c r="I47" s="148">
        <v>-0.01</v>
      </c>
      <c r="J47" s="148">
        <v>0</v>
      </c>
      <c r="K47" s="148">
        <v>0</v>
      </c>
      <c r="L47" s="148">
        <v>0</v>
      </c>
      <c r="M47" s="148">
        <v>-0.01</v>
      </c>
      <c r="N47" s="136">
        <v>0</v>
      </c>
    </row>
    <row r="48" spans="1:14" x14ac:dyDescent="0.3">
      <c r="A48" s="136" t="s">
        <v>92</v>
      </c>
      <c r="C48" s="136" t="s">
        <v>94</v>
      </c>
      <c r="D48" s="148">
        <v>0</v>
      </c>
      <c r="E48" s="148">
        <v>0</v>
      </c>
      <c r="F48" s="148">
        <v>0</v>
      </c>
      <c r="G48" s="148">
        <v>0</v>
      </c>
      <c r="H48" s="148">
        <v>0</v>
      </c>
      <c r="I48" s="148">
        <v>845618.25</v>
      </c>
      <c r="J48" s="148">
        <v>0</v>
      </c>
      <c r="K48" s="148">
        <v>0</v>
      </c>
      <c r="L48" s="148">
        <v>0</v>
      </c>
      <c r="M48" s="148">
        <v>845618.25</v>
      </c>
      <c r="N48" s="136">
        <v>0</v>
      </c>
    </row>
    <row r="49" spans="1:14" x14ac:dyDescent="0.3">
      <c r="A49" s="136" t="s">
        <v>92</v>
      </c>
      <c r="C49" s="136" t="s">
        <v>95</v>
      </c>
      <c r="D49" s="148">
        <v>31861420.870000001</v>
      </c>
      <c r="E49" s="148">
        <v>0</v>
      </c>
      <c r="F49" s="148">
        <v>0</v>
      </c>
      <c r="G49" s="148">
        <v>-31861420.870000001</v>
      </c>
      <c r="H49" s="148">
        <v>0</v>
      </c>
      <c r="I49" s="148">
        <v>-0.01</v>
      </c>
      <c r="J49" s="148">
        <v>0</v>
      </c>
      <c r="K49" s="148">
        <v>0</v>
      </c>
      <c r="L49" s="148">
        <v>0</v>
      </c>
      <c r="M49" s="148">
        <v>-0.01</v>
      </c>
      <c r="N49" s="136">
        <v>0</v>
      </c>
    </row>
    <row r="50" spans="1:14" x14ac:dyDescent="0.3">
      <c r="A50" s="136" t="s">
        <v>92</v>
      </c>
      <c r="C50" s="136" t="s">
        <v>96</v>
      </c>
      <c r="D50" s="148">
        <v>-68675690.599999994</v>
      </c>
      <c r="E50" s="148">
        <v>0</v>
      </c>
      <c r="F50" s="148">
        <v>0</v>
      </c>
      <c r="G50" s="148">
        <v>68675690.599999994</v>
      </c>
      <c r="H50" s="148">
        <v>0</v>
      </c>
      <c r="I50" s="148">
        <v>0.01</v>
      </c>
      <c r="J50" s="148">
        <v>0</v>
      </c>
      <c r="K50" s="148">
        <v>0</v>
      </c>
      <c r="L50" s="148">
        <v>0</v>
      </c>
      <c r="M50" s="148">
        <v>0.01</v>
      </c>
      <c r="N50" s="136">
        <v>0</v>
      </c>
    </row>
    <row r="51" spans="1:14" x14ac:dyDescent="0.3">
      <c r="A51" s="136" t="s">
        <v>92</v>
      </c>
      <c r="C51" s="136" t="s">
        <v>97</v>
      </c>
      <c r="D51" s="148">
        <v>0</v>
      </c>
      <c r="E51" s="148">
        <v>0</v>
      </c>
      <c r="F51" s="148">
        <v>0</v>
      </c>
      <c r="G51" s="148">
        <v>0</v>
      </c>
      <c r="H51" s="148">
        <v>0</v>
      </c>
      <c r="I51" s="148">
        <v>-72957.84</v>
      </c>
      <c r="J51" s="148">
        <v>0</v>
      </c>
      <c r="K51" s="148">
        <v>0</v>
      </c>
      <c r="L51" s="148">
        <v>0</v>
      </c>
      <c r="M51" s="148">
        <v>-72957.84</v>
      </c>
      <c r="N51" s="136">
        <v>0</v>
      </c>
    </row>
    <row r="52" spans="1:14" x14ac:dyDescent="0.3">
      <c r="A52" s="136" t="s">
        <v>92</v>
      </c>
      <c r="C52" s="136" t="s">
        <v>99</v>
      </c>
      <c r="D52" s="148">
        <v>-796247360.35000002</v>
      </c>
      <c r="E52" s="148">
        <v>0</v>
      </c>
      <c r="F52" s="148">
        <v>0</v>
      </c>
      <c r="G52" s="148">
        <v>796247360.35000002</v>
      </c>
      <c r="H52" s="148">
        <v>0</v>
      </c>
      <c r="I52" s="148">
        <v>0.02</v>
      </c>
      <c r="J52" s="148">
        <v>0</v>
      </c>
      <c r="K52" s="148">
        <v>0</v>
      </c>
      <c r="L52" s="148">
        <v>0</v>
      </c>
      <c r="M52" s="148">
        <v>0.02</v>
      </c>
      <c r="N52" s="136">
        <v>0</v>
      </c>
    </row>
    <row r="53" spans="1:14" x14ac:dyDescent="0.3">
      <c r="A53" s="136" t="s">
        <v>92</v>
      </c>
      <c r="C53" s="136" t="s">
        <v>101</v>
      </c>
      <c r="D53" s="148">
        <v>0</v>
      </c>
      <c r="E53" s="148">
        <v>0</v>
      </c>
      <c r="F53" s="148">
        <v>0</v>
      </c>
      <c r="G53" s="148">
        <v>0</v>
      </c>
      <c r="H53" s="148">
        <v>0</v>
      </c>
      <c r="I53" s="148">
        <v>686693.91</v>
      </c>
      <c r="J53" s="148">
        <v>0</v>
      </c>
      <c r="K53" s="148">
        <v>0</v>
      </c>
      <c r="L53" s="148">
        <v>0</v>
      </c>
      <c r="M53" s="148">
        <v>686693.91</v>
      </c>
      <c r="N53" s="136">
        <v>0</v>
      </c>
    </row>
    <row r="54" spans="1:14" x14ac:dyDescent="0.3">
      <c r="A54" s="136" t="s">
        <v>92</v>
      </c>
      <c r="C54" s="136" t="s">
        <v>102</v>
      </c>
      <c r="D54" s="148">
        <v>111150126.42</v>
      </c>
      <c r="E54" s="148">
        <v>0</v>
      </c>
      <c r="F54" s="148">
        <v>0</v>
      </c>
      <c r="G54" s="148">
        <v>-111150126.42</v>
      </c>
      <c r="H54" s="148">
        <v>0</v>
      </c>
      <c r="I54" s="148">
        <v>0.01</v>
      </c>
      <c r="J54" s="148">
        <v>0</v>
      </c>
      <c r="K54" s="148">
        <v>0</v>
      </c>
      <c r="L54" s="148">
        <v>0</v>
      </c>
      <c r="M54" s="148">
        <v>0.01</v>
      </c>
      <c r="N54" s="136">
        <v>0</v>
      </c>
    </row>
    <row r="55" spans="1:14" x14ac:dyDescent="0.3">
      <c r="A55" s="136" t="s">
        <v>92</v>
      </c>
      <c r="C55" s="136" t="s">
        <v>103</v>
      </c>
      <c r="D55" s="148">
        <v>0</v>
      </c>
      <c r="E55" s="148">
        <v>0</v>
      </c>
      <c r="F55" s="148">
        <v>0</v>
      </c>
      <c r="G55" s="148">
        <v>0</v>
      </c>
      <c r="H55" s="148">
        <v>0</v>
      </c>
      <c r="I55" s="148">
        <v>246771.98</v>
      </c>
      <c r="J55" s="148">
        <v>0</v>
      </c>
      <c r="K55" s="148">
        <v>0</v>
      </c>
      <c r="L55" s="148">
        <v>0</v>
      </c>
      <c r="M55" s="148">
        <v>246771.98</v>
      </c>
      <c r="N55" s="136">
        <v>0</v>
      </c>
    </row>
    <row r="56" spans="1:14" x14ac:dyDescent="0.3">
      <c r="B56" s="136" t="s">
        <v>77</v>
      </c>
      <c r="D56" s="148">
        <v>-203087408.84</v>
      </c>
      <c r="E56" s="148">
        <v>0</v>
      </c>
      <c r="F56" s="148">
        <v>0</v>
      </c>
      <c r="G56" s="148">
        <v>203087408.84</v>
      </c>
      <c r="H56" s="148">
        <v>0</v>
      </c>
      <c r="I56" s="148">
        <v>1706126.32</v>
      </c>
      <c r="J56" s="148">
        <v>0</v>
      </c>
      <c r="K56" s="148">
        <v>0</v>
      </c>
      <c r="L56" s="148">
        <v>0</v>
      </c>
      <c r="M56" s="148">
        <v>1706126.32</v>
      </c>
      <c r="N56" s="136">
        <v>0</v>
      </c>
    </row>
    <row r="57" spans="1:14" x14ac:dyDescent="0.3">
      <c r="A57" s="136" t="s">
        <v>412</v>
      </c>
    </row>
    <row r="58" spans="1:14" x14ac:dyDescent="0.3">
      <c r="A58" s="136" t="s">
        <v>92</v>
      </c>
      <c r="C58" s="136" t="s">
        <v>429</v>
      </c>
      <c r="D58" s="148">
        <v>-63714989.640000001</v>
      </c>
      <c r="E58" s="148">
        <v>0</v>
      </c>
      <c r="F58" s="148">
        <v>0</v>
      </c>
      <c r="G58" s="148">
        <v>63714989.640000001</v>
      </c>
      <c r="H58" s="148">
        <v>0</v>
      </c>
      <c r="I58" s="148">
        <v>596486.99</v>
      </c>
      <c r="J58" s="148">
        <v>0</v>
      </c>
      <c r="K58" s="148">
        <v>0</v>
      </c>
      <c r="L58" s="148">
        <v>-596486.99</v>
      </c>
      <c r="M58" s="148">
        <v>0</v>
      </c>
      <c r="N58" s="136">
        <v>0</v>
      </c>
    </row>
    <row r="59" spans="1:14" x14ac:dyDescent="0.3">
      <c r="A59" s="136" t="s">
        <v>92</v>
      </c>
      <c r="C59" s="136" t="s">
        <v>102</v>
      </c>
      <c r="D59" s="148">
        <v>111150126.42</v>
      </c>
      <c r="E59" s="148">
        <v>0</v>
      </c>
      <c r="F59" s="148">
        <v>0</v>
      </c>
      <c r="G59" s="148">
        <v>-111150126.42</v>
      </c>
      <c r="H59" s="148">
        <v>0</v>
      </c>
      <c r="I59" s="148">
        <v>-1283783.97</v>
      </c>
      <c r="J59" s="148">
        <v>0</v>
      </c>
      <c r="K59" s="148">
        <v>0</v>
      </c>
      <c r="L59" s="148">
        <v>1283783.96</v>
      </c>
      <c r="M59" s="148">
        <v>-0.01</v>
      </c>
      <c r="N59" s="136">
        <v>0</v>
      </c>
    </row>
    <row r="60" spans="1:14" x14ac:dyDescent="0.3">
      <c r="A60" s="136" t="s">
        <v>92</v>
      </c>
      <c r="C60" s="136" t="s">
        <v>103</v>
      </c>
      <c r="D60" s="148">
        <v>0</v>
      </c>
      <c r="E60" s="148">
        <v>0</v>
      </c>
      <c r="F60" s="148">
        <v>0</v>
      </c>
      <c r="G60" s="148">
        <v>0</v>
      </c>
      <c r="H60" s="148">
        <v>0</v>
      </c>
      <c r="I60" s="148">
        <v>163994</v>
      </c>
      <c r="J60" s="148">
        <v>0</v>
      </c>
      <c r="K60" s="148">
        <v>0</v>
      </c>
      <c r="L60" s="148">
        <v>0</v>
      </c>
      <c r="M60" s="148">
        <v>163994</v>
      </c>
      <c r="N60" s="136">
        <v>0</v>
      </c>
    </row>
    <row r="61" spans="1:14" x14ac:dyDescent="0.3">
      <c r="A61" s="136" t="s">
        <v>92</v>
      </c>
      <c r="C61" s="136" t="s">
        <v>104</v>
      </c>
      <c r="D61" s="148">
        <v>-47435136.780000001</v>
      </c>
      <c r="E61" s="148">
        <v>0</v>
      </c>
      <c r="F61" s="148">
        <v>0</v>
      </c>
      <c r="G61" s="148">
        <v>47435136.780000001</v>
      </c>
      <c r="H61" s="148">
        <v>0</v>
      </c>
      <c r="I61" s="148">
        <v>352134.74</v>
      </c>
      <c r="J61" s="148">
        <v>0</v>
      </c>
      <c r="K61" s="148">
        <v>0</v>
      </c>
      <c r="L61" s="148">
        <v>-352134.74</v>
      </c>
      <c r="M61" s="148">
        <v>0</v>
      </c>
      <c r="N61" s="136">
        <v>0</v>
      </c>
    </row>
    <row r="62" spans="1:14" x14ac:dyDescent="0.3">
      <c r="B62" s="136" t="s">
        <v>414</v>
      </c>
      <c r="D62" s="148">
        <v>0</v>
      </c>
      <c r="E62" s="148">
        <v>0</v>
      </c>
      <c r="F62" s="148">
        <v>0</v>
      </c>
      <c r="G62" s="148">
        <v>0</v>
      </c>
      <c r="H62" s="148">
        <v>0</v>
      </c>
      <c r="I62" s="148">
        <v>-171168.24</v>
      </c>
      <c r="J62" s="148">
        <v>0</v>
      </c>
      <c r="K62" s="148">
        <v>0</v>
      </c>
      <c r="L62" s="149">
        <v>335162.23</v>
      </c>
      <c r="M62" s="148">
        <v>163993.99</v>
      </c>
      <c r="N62" s="136">
        <v>0</v>
      </c>
    </row>
    <row r="63" spans="1:14" x14ac:dyDescent="0.3">
      <c r="A63" s="136" t="s">
        <v>415</v>
      </c>
    </row>
    <row r="64" spans="1:14" x14ac:dyDescent="0.3">
      <c r="A64" s="136" t="s">
        <v>92</v>
      </c>
      <c r="C64" s="136" t="s">
        <v>429</v>
      </c>
      <c r="D64" s="148">
        <v>-63714989.640000001</v>
      </c>
      <c r="E64" s="148">
        <v>0</v>
      </c>
      <c r="F64" s="148">
        <v>0</v>
      </c>
      <c r="G64" s="148">
        <v>63714989.640000001</v>
      </c>
      <c r="H64" s="148">
        <v>0</v>
      </c>
      <c r="I64" s="148">
        <v>-2840414.24</v>
      </c>
      <c r="J64" s="148">
        <v>0</v>
      </c>
      <c r="K64" s="148">
        <v>0</v>
      </c>
      <c r="L64" s="148">
        <v>2840414.24</v>
      </c>
      <c r="M64" s="148">
        <v>0</v>
      </c>
      <c r="N64" s="136">
        <v>0</v>
      </c>
    </row>
    <row r="65" spans="1:31" x14ac:dyDescent="0.3">
      <c r="A65" s="136" t="s">
        <v>92</v>
      </c>
      <c r="C65" s="136" t="s">
        <v>102</v>
      </c>
      <c r="D65" s="148">
        <v>111150126.42</v>
      </c>
      <c r="E65" s="148">
        <v>0</v>
      </c>
      <c r="F65" s="148">
        <v>0</v>
      </c>
      <c r="G65" s="148">
        <v>-111150126.42</v>
      </c>
      <c r="H65" s="148">
        <v>0</v>
      </c>
      <c r="I65" s="148">
        <v>6113256.9500000002</v>
      </c>
      <c r="J65" s="148">
        <v>0</v>
      </c>
      <c r="K65" s="148">
        <v>0</v>
      </c>
      <c r="L65" s="148">
        <v>-6113256.9500000002</v>
      </c>
      <c r="M65" s="148">
        <v>0</v>
      </c>
      <c r="N65" s="136">
        <v>0</v>
      </c>
    </row>
    <row r="66" spans="1:31" x14ac:dyDescent="0.3">
      <c r="A66" s="136" t="s">
        <v>92</v>
      </c>
      <c r="C66" s="136" t="s">
        <v>103</v>
      </c>
      <c r="D66" s="148">
        <v>0</v>
      </c>
      <c r="E66" s="148">
        <v>0</v>
      </c>
      <c r="F66" s="148">
        <v>0</v>
      </c>
      <c r="G66" s="148">
        <v>0</v>
      </c>
      <c r="H66" s="148">
        <v>0</v>
      </c>
      <c r="I66" s="148">
        <v>-410765.98</v>
      </c>
      <c r="J66" s="148">
        <v>0</v>
      </c>
      <c r="K66" s="148">
        <v>0</v>
      </c>
      <c r="L66" s="148">
        <v>0</v>
      </c>
      <c r="M66" s="148">
        <v>-410765.98</v>
      </c>
      <c r="N66" s="136">
        <v>0</v>
      </c>
    </row>
    <row r="67" spans="1:31" x14ac:dyDescent="0.3">
      <c r="A67" s="136" t="s">
        <v>92</v>
      </c>
      <c r="C67" s="136" t="s">
        <v>104</v>
      </c>
      <c r="D67" s="148">
        <v>-47435136.780000001</v>
      </c>
      <c r="E67" s="148">
        <v>0</v>
      </c>
      <c r="F67" s="148">
        <v>0</v>
      </c>
      <c r="G67" s="148">
        <v>47435136.780000001</v>
      </c>
      <c r="H67" s="148">
        <v>0</v>
      </c>
      <c r="I67" s="148">
        <v>-1676832.09</v>
      </c>
      <c r="J67" s="148">
        <v>0</v>
      </c>
      <c r="K67" s="148">
        <v>0</v>
      </c>
      <c r="L67" s="148">
        <v>1676832.09</v>
      </c>
      <c r="M67" s="148">
        <v>0</v>
      </c>
      <c r="N67" s="136">
        <v>0</v>
      </c>
    </row>
    <row r="68" spans="1:31" x14ac:dyDescent="0.3">
      <c r="B68" s="136" t="s">
        <v>418</v>
      </c>
      <c r="D68" s="148">
        <v>0</v>
      </c>
      <c r="E68" s="148">
        <v>0</v>
      </c>
      <c r="F68" s="148">
        <v>0</v>
      </c>
      <c r="G68" s="148">
        <v>0</v>
      </c>
      <c r="H68" s="148">
        <v>0</v>
      </c>
      <c r="I68" s="148">
        <v>1185244.6399999999</v>
      </c>
      <c r="J68" s="148">
        <v>0</v>
      </c>
      <c r="K68" s="148">
        <v>0</v>
      </c>
      <c r="L68" s="149">
        <v>-1596010.62</v>
      </c>
      <c r="M68" s="148">
        <v>-410765.98</v>
      </c>
      <c r="N68" s="136">
        <v>0</v>
      </c>
    </row>
    <row r="69" spans="1:31" x14ac:dyDescent="0.3">
      <c r="A69" s="136" t="s">
        <v>419</v>
      </c>
    </row>
    <row r="70" spans="1:31" x14ac:dyDescent="0.3">
      <c r="A70" s="136" t="s">
        <v>92</v>
      </c>
      <c r="C70" s="136" t="s">
        <v>94</v>
      </c>
      <c r="D70" s="148">
        <v>0</v>
      </c>
      <c r="E70" s="148">
        <v>0</v>
      </c>
      <c r="F70" s="148">
        <v>0</v>
      </c>
      <c r="G70" s="148">
        <v>0</v>
      </c>
      <c r="H70" s="148">
        <v>0</v>
      </c>
      <c r="I70" s="148">
        <v>274729.71000000002</v>
      </c>
      <c r="J70" s="148">
        <v>0</v>
      </c>
      <c r="K70" s="148">
        <v>0</v>
      </c>
      <c r="L70" s="148">
        <v>0</v>
      </c>
      <c r="M70" s="148">
        <v>274729.71000000002</v>
      </c>
      <c r="N70" s="136">
        <v>0</v>
      </c>
    </row>
    <row r="71" spans="1:31" x14ac:dyDescent="0.3">
      <c r="A71" s="136" t="s">
        <v>92</v>
      </c>
      <c r="C71" s="136" t="s">
        <v>97</v>
      </c>
      <c r="D71" s="148">
        <v>0</v>
      </c>
      <c r="E71" s="148">
        <v>0</v>
      </c>
      <c r="F71" s="148">
        <v>0</v>
      </c>
      <c r="G71" s="148">
        <v>0</v>
      </c>
      <c r="H71" s="148">
        <v>0</v>
      </c>
      <c r="I71" s="148">
        <v>-23703</v>
      </c>
      <c r="J71" s="148">
        <v>0</v>
      </c>
      <c r="K71" s="148">
        <v>0</v>
      </c>
      <c r="L71" s="148">
        <v>0</v>
      </c>
      <c r="M71" s="148">
        <v>-23703</v>
      </c>
      <c r="N71" s="136">
        <v>0</v>
      </c>
    </row>
    <row r="72" spans="1:31" x14ac:dyDescent="0.3">
      <c r="A72" s="136" t="s">
        <v>92</v>
      </c>
      <c r="C72" s="136" t="s">
        <v>101</v>
      </c>
      <c r="D72" s="148">
        <v>0</v>
      </c>
      <c r="E72" s="148">
        <v>0</v>
      </c>
      <c r="F72" s="148">
        <v>0</v>
      </c>
      <c r="G72" s="148">
        <v>0</v>
      </c>
      <c r="H72" s="148">
        <v>0</v>
      </c>
      <c r="I72" s="148">
        <v>223097.39</v>
      </c>
      <c r="J72" s="148">
        <v>0</v>
      </c>
      <c r="K72" s="148">
        <v>0</v>
      </c>
      <c r="L72" s="148">
        <v>0</v>
      </c>
      <c r="M72" s="148">
        <v>223097.39</v>
      </c>
      <c r="N72" s="136">
        <v>0</v>
      </c>
    </row>
    <row r="73" spans="1:31" x14ac:dyDescent="0.3">
      <c r="A73" s="136" t="s">
        <v>92</v>
      </c>
      <c r="C73" s="136" t="s">
        <v>103</v>
      </c>
      <c r="D73" s="148">
        <v>0</v>
      </c>
      <c r="E73" s="148">
        <v>0</v>
      </c>
      <c r="F73" s="148">
        <v>0</v>
      </c>
      <c r="G73" s="148">
        <v>0</v>
      </c>
      <c r="H73" s="148">
        <v>0</v>
      </c>
      <c r="I73" s="148">
        <v>80172.820000000007</v>
      </c>
      <c r="J73" s="148">
        <v>0</v>
      </c>
      <c r="K73" s="148">
        <v>0</v>
      </c>
      <c r="L73" s="148">
        <v>0</v>
      </c>
      <c r="M73" s="148">
        <v>80172.820000000007</v>
      </c>
      <c r="N73" s="136">
        <v>0</v>
      </c>
    </row>
    <row r="74" spans="1:31" ht="14.4" thickBot="1" x14ac:dyDescent="0.35">
      <c r="B74" s="136" t="s">
        <v>421</v>
      </c>
      <c r="D74" s="148">
        <v>0</v>
      </c>
      <c r="E74" s="148">
        <v>0</v>
      </c>
      <c r="F74" s="148">
        <v>0</v>
      </c>
      <c r="G74" s="148">
        <v>0</v>
      </c>
      <c r="H74" s="148">
        <v>0</v>
      </c>
      <c r="I74" s="148">
        <v>554296.92000000004</v>
      </c>
      <c r="J74" s="148">
        <v>0</v>
      </c>
      <c r="K74" s="148">
        <v>0</v>
      </c>
      <c r="L74" s="148">
        <v>0</v>
      </c>
      <c r="M74" s="148">
        <v>554296.92000000004</v>
      </c>
      <c r="N74" s="136">
        <v>0</v>
      </c>
    </row>
    <row r="75" spans="1:31" ht="15" thickBot="1" x14ac:dyDescent="0.35">
      <c r="A75" s="136" t="s">
        <v>79</v>
      </c>
      <c r="D75" s="148">
        <v>0</v>
      </c>
      <c r="E75" s="148">
        <v>0</v>
      </c>
      <c r="F75" s="148">
        <v>0</v>
      </c>
      <c r="G75" s="148">
        <v>0</v>
      </c>
      <c r="H75" s="148">
        <v>0</v>
      </c>
      <c r="I75" s="148">
        <v>16456517.869999999</v>
      </c>
      <c r="J75" s="148">
        <v>0</v>
      </c>
      <c r="K75" s="148">
        <v>0</v>
      </c>
      <c r="L75" s="151">
        <v>-15902220.949999999</v>
      </c>
      <c r="M75" s="148">
        <v>554296.92000000004</v>
      </c>
      <c r="N75" s="136">
        <v>0</v>
      </c>
      <c r="Y75" s="151">
        <f>Y28</f>
        <v>-13745.31</v>
      </c>
      <c r="AE75" s="152">
        <f>L75+Y75</f>
        <v>-15915966.26</v>
      </c>
    </row>
    <row r="76" spans="1:31" x14ac:dyDescent="0.3">
      <c r="A76" s="136" t="s">
        <v>374</v>
      </c>
      <c r="B76" s="153">
        <v>44568.565671296295</v>
      </c>
      <c r="L76" s="154"/>
    </row>
    <row r="77" spans="1:31" x14ac:dyDescent="0.3">
      <c r="L77" s="155"/>
    </row>
    <row r="108" spans="1:14" ht="14.4" x14ac:dyDescent="0.3">
      <c r="A108" t="s">
        <v>374</v>
      </c>
      <c r="B108" s="33">
        <v>44575.670775462961</v>
      </c>
      <c r="C108"/>
      <c r="D108"/>
      <c r="E108"/>
      <c r="F108"/>
      <c r="G108"/>
      <c r="H108"/>
      <c r="I108"/>
      <c r="J108"/>
      <c r="K108"/>
      <c r="L108"/>
      <c r="M108"/>
      <c r="N108"/>
    </row>
  </sheetData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B27BF-1544-4B1D-9DD3-12AF3740B8EC}">
  <dimension ref="T5:AC26"/>
  <sheetViews>
    <sheetView workbookViewId="0">
      <selection activeCell="U16" sqref="U16"/>
    </sheetView>
  </sheetViews>
  <sheetFormatPr defaultRowHeight="14.4" x14ac:dyDescent="0.3"/>
  <cols>
    <col min="20" max="20" width="40.44140625" customWidth="1"/>
    <col min="21" max="21" width="21.6640625" customWidth="1"/>
    <col min="22" max="22" width="29" customWidth="1"/>
    <col min="24" max="24" width="12.109375" bestFit="1" customWidth="1"/>
    <col min="25" max="29" width="11.6640625" bestFit="1" customWidth="1"/>
  </cols>
  <sheetData>
    <row r="5" spans="20:29" ht="15.6" x14ac:dyDescent="0.3">
      <c r="T5" s="173" t="s">
        <v>430</v>
      </c>
    </row>
    <row r="6" spans="20:29" x14ac:dyDescent="0.3">
      <c r="X6" s="195" t="s">
        <v>431</v>
      </c>
      <c r="Y6" s="195"/>
      <c r="Z6" s="195"/>
      <c r="AA6" s="195"/>
      <c r="AB6" s="195"/>
    </row>
    <row r="7" spans="20:29" x14ac:dyDescent="0.3">
      <c r="T7" s="5" t="s">
        <v>432</v>
      </c>
      <c r="U7" s="174" t="s">
        <v>433</v>
      </c>
      <c r="V7" s="174" t="s">
        <v>434</v>
      </c>
      <c r="X7" s="6" t="s">
        <v>435</v>
      </c>
      <c r="Y7" s="6" t="s">
        <v>436</v>
      </c>
      <c r="Z7" s="6" t="s">
        <v>437</v>
      </c>
      <c r="AA7" s="6" t="s">
        <v>438</v>
      </c>
      <c r="AB7" s="6" t="s">
        <v>439</v>
      </c>
      <c r="AC7" s="6"/>
    </row>
    <row r="8" spans="20:29" x14ac:dyDescent="0.3">
      <c r="V8" s="175"/>
    </row>
    <row r="9" spans="20:29" x14ac:dyDescent="0.3">
      <c r="T9" t="s">
        <v>440</v>
      </c>
      <c r="U9" s="60"/>
      <c r="V9" s="176">
        <f>15902221+13745</f>
        <v>15915966</v>
      </c>
      <c r="X9" s="187">
        <f>-V9+U16</f>
        <v>-12732772.800000001</v>
      </c>
      <c r="Y9" s="185">
        <f>X9+$U$16</f>
        <v>-9549579.6000000015</v>
      </c>
      <c r="Z9" s="185">
        <f t="shared" ref="Z9:AB9" si="0">Y9+$U$16</f>
        <v>-6366386.4000000013</v>
      </c>
      <c r="AA9" s="185">
        <f t="shared" si="0"/>
        <v>-3183193.2000000011</v>
      </c>
      <c r="AB9" s="186">
        <f t="shared" si="0"/>
        <v>0</v>
      </c>
    </row>
    <row r="10" spans="20:29" x14ac:dyDescent="0.3">
      <c r="T10" t="s">
        <v>441</v>
      </c>
      <c r="U10" s="60"/>
      <c r="V10" s="177">
        <f>+V9*0.32488</f>
        <v>5170779.0340799997</v>
      </c>
      <c r="X10" s="1"/>
      <c r="Y10" s="1"/>
    </row>
    <row r="11" spans="20:29" x14ac:dyDescent="0.3">
      <c r="T11" t="s">
        <v>442</v>
      </c>
      <c r="U11" s="60">
        <f>+V9+V10</f>
        <v>21086745.034079999</v>
      </c>
      <c r="V11" s="177"/>
    </row>
    <row r="12" spans="20:29" x14ac:dyDescent="0.3">
      <c r="U12" s="178"/>
    </row>
    <row r="13" spans="20:29" x14ac:dyDescent="0.3">
      <c r="T13" s="10" t="s">
        <v>443</v>
      </c>
      <c r="V13" s="179"/>
    </row>
    <row r="14" spans="20:29" x14ac:dyDescent="0.3">
      <c r="U14" s="178"/>
    </row>
    <row r="15" spans="20:29" x14ac:dyDescent="0.3">
      <c r="T15" t="s">
        <v>442</v>
      </c>
      <c r="U15" s="180"/>
      <c r="V15" s="60">
        <f>+U16+U17</f>
        <v>4217349.0068159997</v>
      </c>
      <c r="W15" s="1"/>
      <c r="X15" t="s">
        <v>444</v>
      </c>
    </row>
    <row r="16" spans="20:29" x14ac:dyDescent="0.3">
      <c r="T16" t="s">
        <v>445</v>
      </c>
      <c r="U16" s="181">
        <f>+V9/5</f>
        <v>3183193.2</v>
      </c>
      <c r="V16" s="60"/>
      <c r="X16" s="29">
        <f>U16/12</f>
        <v>265266.10000000003</v>
      </c>
    </row>
    <row r="17" spans="20:24" x14ac:dyDescent="0.3">
      <c r="T17" t="s">
        <v>446</v>
      </c>
      <c r="U17" s="182">
        <f>+V10/5</f>
        <v>1034155.8068159999</v>
      </c>
      <c r="V17" s="60"/>
      <c r="X17" s="29">
        <f>U17/12</f>
        <v>86179.650567999997</v>
      </c>
    </row>
    <row r="20" spans="20:24" ht="15.6" x14ac:dyDescent="0.3">
      <c r="T20" s="173"/>
      <c r="V20" s="1">
        <f>+V15</f>
        <v>4217349.0068159997</v>
      </c>
      <c r="W20" t="s">
        <v>447</v>
      </c>
    </row>
    <row r="21" spans="20:24" x14ac:dyDescent="0.3">
      <c r="U21" s="1"/>
      <c r="V21" s="1">
        <f>+'[15]20 years'!V15</f>
        <v>1054337.2517039999</v>
      </c>
      <c r="W21" t="s">
        <v>448</v>
      </c>
    </row>
    <row r="22" spans="20:24" x14ac:dyDescent="0.3">
      <c r="U22" s="183"/>
      <c r="V22" s="184">
        <f>+V20-V21</f>
        <v>3163011.7551119998</v>
      </c>
      <c r="W22" t="s">
        <v>449</v>
      </c>
    </row>
    <row r="24" spans="20:24" x14ac:dyDescent="0.3">
      <c r="U24" s="20"/>
    </row>
    <row r="25" spans="20:24" x14ac:dyDescent="0.3">
      <c r="V25" s="60"/>
    </row>
    <row r="26" spans="20:24" x14ac:dyDescent="0.3">
      <c r="V26" s="67">
        <f>+U16-'[15]20 years'!U16</f>
        <v>2387394.9000000004</v>
      </c>
      <c r="W26" t="s">
        <v>450</v>
      </c>
    </row>
  </sheetData>
  <mergeCells count="1">
    <mergeCell ref="X6:AB6"/>
  </mergeCells>
  <phoneticPr fontId="29" type="noConversion"/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620F7-66B2-4C21-846F-AD27FE56A0CA}">
  <sheetPr>
    <tabColor rgb="FFCCCCFF"/>
  </sheetPr>
  <dimension ref="A1:AA113"/>
  <sheetViews>
    <sheetView zoomScale="90" zoomScaleNormal="90" workbookViewId="0">
      <pane xSplit="1" ySplit="7" topLeftCell="U95" activePane="bottomRight" state="frozen"/>
      <selection pane="topRight" activeCell="W100" sqref="W100"/>
      <selection pane="bottomLeft" activeCell="W100" sqref="W100"/>
      <selection pane="bottomRight" activeCell="Y101" sqref="Y101:Y104"/>
    </sheetView>
  </sheetViews>
  <sheetFormatPr defaultRowHeight="14.4" x14ac:dyDescent="0.3"/>
  <cols>
    <col min="1" max="1" width="47.5546875" bestFit="1" customWidth="1"/>
    <col min="2" max="2" width="13.6640625" bestFit="1" customWidth="1"/>
    <col min="3" max="5" width="12.33203125" bestFit="1" customWidth="1"/>
    <col min="6" max="6" width="11.33203125" bestFit="1" customWidth="1"/>
    <col min="7" max="7" width="13.33203125" bestFit="1" customWidth="1"/>
    <col min="8" max="10" width="12.33203125" bestFit="1" customWidth="1"/>
    <col min="11" max="11" width="15.5546875" bestFit="1" customWidth="1"/>
    <col min="12" max="13" width="12.33203125" bestFit="1" customWidth="1"/>
    <col min="14" max="14" width="13.33203125" bestFit="1" customWidth="1"/>
    <col min="15" max="18" width="13.33203125" customWidth="1"/>
    <col min="19" max="19" width="11.6640625" bestFit="1" customWidth="1"/>
    <col min="20" max="21" width="12.33203125" bestFit="1" customWidth="1"/>
    <col min="22" max="22" width="12.33203125" customWidth="1"/>
    <col min="23" max="23" width="11.6640625" bestFit="1" customWidth="1"/>
    <col min="24" max="24" width="11.33203125" bestFit="1" customWidth="1"/>
    <col min="25" max="25" width="15.33203125" customWidth="1"/>
    <col min="26" max="26" width="27.33203125" bestFit="1" customWidth="1"/>
    <col min="27" max="27" width="13.6640625" bestFit="1" customWidth="1"/>
  </cols>
  <sheetData>
    <row r="1" spans="1:26" x14ac:dyDescent="0.3">
      <c r="A1" s="5" t="s">
        <v>380</v>
      </c>
      <c r="B1" s="5" t="s">
        <v>451</v>
      </c>
      <c r="C1" s="5" t="s">
        <v>452</v>
      </c>
      <c r="D1" s="5" t="s">
        <v>453</v>
      </c>
      <c r="E1" s="5" t="s">
        <v>454</v>
      </c>
      <c r="F1" s="5" t="s">
        <v>455</v>
      </c>
      <c r="G1" s="5" t="s">
        <v>456</v>
      </c>
      <c r="H1" s="5" t="s">
        <v>457</v>
      </c>
      <c r="I1" s="5" t="s">
        <v>458</v>
      </c>
      <c r="J1" s="5" t="s">
        <v>459</v>
      </c>
      <c r="K1" s="5" t="s">
        <v>460</v>
      </c>
      <c r="L1" s="5" t="s">
        <v>461</v>
      </c>
      <c r="M1" s="5" t="s">
        <v>462</v>
      </c>
      <c r="N1" s="5" t="s">
        <v>463</v>
      </c>
      <c r="O1" s="5" t="s">
        <v>464</v>
      </c>
      <c r="P1" s="5" t="s">
        <v>465</v>
      </c>
      <c r="Q1" s="5" t="s">
        <v>466</v>
      </c>
      <c r="R1" s="5" t="s">
        <v>467</v>
      </c>
      <c r="S1" s="5" t="s">
        <v>468</v>
      </c>
      <c r="T1" s="5" t="s">
        <v>469</v>
      </c>
      <c r="U1" s="5" t="s">
        <v>470</v>
      </c>
      <c r="V1" s="5" t="s">
        <v>471</v>
      </c>
      <c r="W1" s="5" t="s">
        <v>472</v>
      </c>
      <c r="X1" s="5" t="s">
        <v>473</v>
      </c>
      <c r="Y1" s="5" t="s">
        <v>473</v>
      </c>
    </row>
    <row r="2" spans="1:26" x14ac:dyDescent="0.3">
      <c r="A2" s="157" t="s">
        <v>474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</row>
    <row r="3" spans="1:26" x14ac:dyDescent="0.3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</row>
    <row r="4" spans="1:26" x14ac:dyDescent="0.3">
      <c r="A4" s="157" t="s">
        <v>49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</row>
    <row r="5" spans="1:26" x14ac:dyDescent="0.3">
      <c r="A5" s="157" t="s">
        <v>50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</row>
    <row r="6" spans="1:26" x14ac:dyDescent="0.3">
      <c r="A6" s="157" t="s">
        <v>475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8">
        <v>2023</v>
      </c>
      <c r="Y6" s="157"/>
    </row>
    <row r="7" spans="1:26" x14ac:dyDescent="0.3">
      <c r="A7" s="159" t="s">
        <v>476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6" x14ac:dyDescent="0.3">
      <c r="A8" t="s">
        <v>59</v>
      </c>
    </row>
    <row r="9" spans="1:26" x14ac:dyDescent="0.3">
      <c r="A9" t="s">
        <v>477</v>
      </c>
      <c r="B9" s="2">
        <v>-0.02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/>
      <c r="W9" s="2">
        <v>0</v>
      </c>
      <c r="X9" s="2">
        <v>0</v>
      </c>
      <c r="Y9" s="2">
        <f t="shared" ref="Y9:Y40" si="0">SUM(B9:X9)</f>
        <v>-0.02</v>
      </c>
    </row>
    <row r="10" spans="1:26" x14ac:dyDescent="0.3">
      <c r="A10" t="s">
        <v>478</v>
      </c>
      <c r="B10" s="2">
        <v>-4298647</v>
      </c>
      <c r="C10" s="2">
        <v>-35234.089999999997</v>
      </c>
      <c r="D10" s="2">
        <v>-35234.089999999997</v>
      </c>
      <c r="E10" s="2">
        <v>-35234.089999999997</v>
      </c>
      <c r="F10" s="2">
        <v>0</v>
      </c>
      <c r="G10" s="2">
        <v>-35234.089999999997</v>
      </c>
      <c r="H10" s="2">
        <v>-35234.089999999997</v>
      </c>
      <c r="I10" s="2">
        <v>-35234.089999999997</v>
      </c>
      <c r="J10" s="2">
        <v>0</v>
      </c>
      <c r="K10" s="2">
        <v>0</v>
      </c>
      <c r="L10" s="2">
        <v>-35234.089999999997</v>
      </c>
      <c r="M10" s="2">
        <v>-35234.089999999997</v>
      </c>
      <c r="N10" s="2">
        <v>-35234.089999999997</v>
      </c>
      <c r="O10" s="2">
        <v>0</v>
      </c>
      <c r="P10" s="2">
        <v>0</v>
      </c>
      <c r="Q10" s="2">
        <v>0</v>
      </c>
      <c r="R10" s="2">
        <v>-35234.089999999997</v>
      </c>
      <c r="S10" s="2">
        <v>0</v>
      </c>
      <c r="T10" s="2">
        <v>-35234.089999999997</v>
      </c>
      <c r="U10" s="2">
        <v>-35234.089999999997</v>
      </c>
      <c r="V10" s="2"/>
      <c r="W10" s="2">
        <v>0</v>
      </c>
      <c r="X10" s="2">
        <v>0</v>
      </c>
      <c r="Y10" s="2">
        <f t="shared" si="0"/>
        <v>-4721456.0799999982</v>
      </c>
    </row>
    <row r="11" spans="1:26" x14ac:dyDescent="0.3">
      <c r="A11" t="s">
        <v>479</v>
      </c>
      <c r="B11" s="2">
        <v>-0.01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/>
      <c r="W11" s="2">
        <v>0</v>
      </c>
      <c r="X11" s="2">
        <v>0</v>
      </c>
      <c r="Y11" s="2">
        <f t="shared" si="0"/>
        <v>-0.01</v>
      </c>
    </row>
    <row r="12" spans="1:26" x14ac:dyDescent="0.3">
      <c r="A12" t="s">
        <v>480</v>
      </c>
      <c r="B12" s="2">
        <v>0.01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/>
      <c r="W12" s="2">
        <v>0</v>
      </c>
      <c r="X12" s="2">
        <v>0</v>
      </c>
      <c r="Y12" s="2">
        <f t="shared" si="0"/>
        <v>0.01</v>
      </c>
    </row>
    <row r="13" spans="1:26" x14ac:dyDescent="0.3">
      <c r="A13" t="s">
        <v>481</v>
      </c>
      <c r="B13" s="2">
        <v>797284.24</v>
      </c>
      <c r="C13" s="2">
        <v>3039.91</v>
      </c>
      <c r="D13" s="2">
        <v>3039.91</v>
      </c>
      <c r="E13" s="2">
        <v>3039.91</v>
      </c>
      <c r="F13" s="2">
        <v>0</v>
      </c>
      <c r="G13" s="2">
        <v>3039.91</v>
      </c>
      <c r="H13" s="2">
        <v>3039.91</v>
      </c>
      <c r="I13" s="2">
        <v>3039.91</v>
      </c>
      <c r="J13" s="2">
        <v>0</v>
      </c>
      <c r="K13" s="2">
        <v>0</v>
      </c>
      <c r="L13" s="2">
        <v>3039.91</v>
      </c>
      <c r="M13" s="2">
        <v>3039.91</v>
      </c>
      <c r="N13" s="2">
        <v>3039.91</v>
      </c>
      <c r="O13" s="2">
        <v>0</v>
      </c>
      <c r="P13" s="2">
        <v>0</v>
      </c>
      <c r="Q13" s="2">
        <v>0</v>
      </c>
      <c r="R13" s="2">
        <v>3039.91</v>
      </c>
      <c r="S13" s="2">
        <v>0</v>
      </c>
      <c r="T13" s="2">
        <v>3039.91</v>
      </c>
      <c r="U13" s="2">
        <v>3039.91</v>
      </c>
      <c r="V13" s="2"/>
      <c r="W13" s="2">
        <v>0</v>
      </c>
      <c r="X13" s="2">
        <v>0</v>
      </c>
      <c r="Y13" s="2">
        <f t="shared" si="0"/>
        <v>833763.16000000038</v>
      </c>
    </row>
    <row r="14" spans="1:26" x14ac:dyDescent="0.3">
      <c r="A14" t="s">
        <v>482</v>
      </c>
      <c r="B14" s="2">
        <v>-0.01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/>
      <c r="W14" s="2">
        <v>0</v>
      </c>
      <c r="X14" s="2">
        <v>0</v>
      </c>
      <c r="Y14" s="2">
        <f t="shared" si="0"/>
        <v>-0.01</v>
      </c>
    </row>
    <row r="15" spans="1:26" x14ac:dyDescent="0.3">
      <c r="A15" t="s">
        <v>483</v>
      </c>
      <c r="B15" s="2">
        <v>0.02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/>
      <c r="W15" s="2">
        <v>0</v>
      </c>
      <c r="X15" s="2">
        <v>0</v>
      </c>
      <c r="Y15" s="2">
        <f t="shared" si="0"/>
        <v>0.02</v>
      </c>
      <c r="Z15" s="6" t="s">
        <v>484</v>
      </c>
    </row>
    <row r="16" spans="1:26" x14ac:dyDescent="0.3">
      <c r="A16" t="s">
        <v>485</v>
      </c>
      <c r="B16" s="2">
        <v>-0.01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/>
      <c r="W16" s="2">
        <v>0</v>
      </c>
      <c r="X16" s="2">
        <v>0</v>
      </c>
      <c r="Y16" s="2">
        <f t="shared" si="0"/>
        <v>-0.01</v>
      </c>
      <c r="Z16" s="77"/>
    </row>
    <row r="17" spans="1:25" x14ac:dyDescent="0.3">
      <c r="A17" t="s">
        <v>486</v>
      </c>
      <c r="B17" s="2">
        <v>-10410332.52</v>
      </c>
      <c r="C17" s="2">
        <v>-28612.240000000002</v>
      </c>
      <c r="D17" s="2">
        <v>-28612.240000000002</v>
      </c>
      <c r="E17" s="2">
        <v>-28612.240000000002</v>
      </c>
      <c r="F17" s="2">
        <v>0</v>
      </c>
      <c r="G17" s="2">
        <v>-28612.240000000002</v>
      </c>
      <c r="H17" s="2">
        <v>-28612.240000000002</v>
      </c>
      <c r="I17" s="2">
        <v>-28612.240000000002</v>
      </c>
      <c r="J17" s="2">
        <v>0</v>
      </c>
      <c r="K17" s="2">
        <v>0</v>
      </c>
      <c r="L17" s="2">
        <v>-28612.240000000002</v>
      </c>
      <c r="M17" s="2">
        <v>-28612.240000000002</v>
      </c>
      <c r="N17" s="2">
        <v>-28612.240000000002</v>
      </c>
      <c r="O17" s="2">
        <v>0</v>
      </c>
      <c r="P17" s="2">
        <v>0</v>
      </c>
      <c r="Q17" s="2">
        <v>0</v>
      </c>
      <c r="R17" s="2">
        <v>-28612.240000000002</v>
      </c>
      <c r="S17" s="2">
        <v>0</v>
      </c>
      <c r="T17" s="2">
        <v>-28612.240000000002</v>
      </c>
      <c r="U17" s="2">
        <v>-28612.240000000002</v>
      </c>
      <c r="V17" s="2"/>
      <c r="W17" s="2">
        <v>0</v>
      </c>
      <c r="X17" s="2">
        <v>0</v>
      </c>
      <c r="Y17" s="2">
        <f t="shared" si="0"/>
        <v>-10753679.400000002</v>
      </c>
    </row>
    <row r="18" spans="1:25" x14ac:dyDescent="0.3">
      <c r="A18" t="s">
        <v>487</v>
      </c>
      <c r="B18" s="2">
        <v>0.01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/>
      <c r="W18" s="2">
        <v>0</v>
      </c>
      <c r="X18" s="2">
        <v>0</v>
      </c>
      <c r="Y18" s="2">
        <f t="shared" si="0"/>
        <v>0.01</v>
      </c>
    </row>
    <row r="19" spans="1:25" x14ac:dyDescent="0.3">
      <c r="A19" t="s">
        <v>488</v>
      </c>
      <c r="B19" s="2">
        <v>-1151207.6599999999</v>
      </c>
      <c r="C19" s="2">
        <v>-10282.16</v>
      </c>
      <c r="D19" s="2">
        <v>-10282.16</v>
      </c>
      <c r="E19" s="2">
        <v>-10282.16</v>
      </c>
      <c r="F19" s="2">
        <v>0</v>
      </c>
      <c r="G19" s="2">
        <v>-10282.16</v>
      </c>
      <c r="H19" s="2">
        <v>-10282.16</v>
      </c>
      <c r="I19" s="2">
        <v>-10282.16</v>
      </c>
      <c r="J19" s="2">
        <v>0</v>
      </c>
      <c r="K19" s="2">
        <v>0</v>
      </c>
      <c r="L19" s="2">
        <v>-10282.16</v>
      </c>
      <c r="M19" s="2">
        <v>-10282.16</v>
      </c>
      <c r="N19" s="2">
        <v>-10282.16</v>
      </c>
      <c r="O19" s="2">
        <v>0</v>
      </c>
      <c r="P19" s="2">
        <v>0</v>
      </c>
      <c r="Q19" s="2">
        <v>0</v>
      </c>
      <c r="R19" s="2">
        <v>-10282.16</v>
      </c>
      <c r="S19" s="2">
        <v>0</v>
      </c>
      <c r="T19" s="2">
        <v>-10282.16</v>
      </c>
      <c r="U19" s="2">
        <v>-10282.16</v>
      </c>
      <c r="V19" s="2"/>
      <c r="W19" s="2">
        <v>0</v>
      </c>
      <c r="X19" s="2">
        <v>0</v>
      </c>
      <c r="Y19" s="2">
        <f t="shared" si="0"/>
        <v>-1274593.5799999989</v>
      </c>
    </row>
    <row r="20" spans="1:25" x14ac:dyDescent="0.3">
      <c r="A20" t="s">
        <v>489</v>
      </c>
      <c r="B20" s="2">
        <v>-0.01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/>
      <c r="W20" s="2">
        <v>0</v>
      </c>
      <c r="X20" s="2">
        <v>0</v>
      </c>
      <c r="Y20" s="2">
        <f t="shared" si="0"/>
        <v>-0.01</v>
      </c>
    </row>
    <row r="21" spans="1:25" x14ac:dyDescent="0.3">
      <c r="A21" t="s">
        <v>490</v>
      </c>
      <c r="B21" s="2">
        <v>-2623153.23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0.01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-0.01</v>
      </c>
      <c r="U21" s="2">
        <v>0</v>
      </c>
      <c r="V21" s="2"/>
      <c r="W21" s="2">
        <v>0</v>
      </c>
      <c r="X21" s="2">
        <v>0</v>
      </c>
      <c r="Y21" s="2">
        <f t="shared" si="0"/>
        <v>-2623153.23</v>
      </c>
    </row>
    <row r="22" spans="1:25" x14ac:dyDescent="0.3">
      <c r="A22" t="s">
        <v>491</v>
      </c>
      <c r="B22" s="2">
        <v>-27180099.800000001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/>
      <c r="W22" s="2">
        <v>0</v>
      </c>
      <c r="X22" s="2">
        <v>0</v>
      </c>
      <c r="Y22" s="2">
        <f t="shared" si="0"/>
        <v>-27180099.800000001</v>
      </c>
    </row>
    <row r="23" spans="1:25" x14ac:dyDescent="0.3">
      <c r="A23" t="s">
        <v>492</v>
      </c>
      <c r="B23" s="2">
        <v>2067745.41</v>
      </c>
      <c r="C23" s="2">
        <v>0</v>
      </c>
      <c r="D23" s="2">
        <v>0</v>
      </c>
      <c r="E23" s="2">
        <v>-0.01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0.01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/>
      <c r="W23" s="2">
        <v>0</v>
      </c>
      <c r="X23" s="2">
        <v>0</v>
      </c>
      <c r="Y23" s="2">
        <f t="shared" si="0"/>
        <v>2067745.41</v>
      </c>
    </row>
    <row r="24" spans="1:25" x14ac:dyDescent="0.3">
      <c r="A24" t="s">
        <v>493</v>
      </c>
      <c r="B24" s="2">
        <v>-412713.56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/>
      <c r="W24" s="2">
        <v>0</v>
      </c>
      <c r="X24" s="2">
        <v>0</v>
      </c>
      <c r="Y24" s="2">
        <f t="shared" si="0"/>
        <v>-412713.56</v>
      </c>
    </row>
    <row r="25" spans="1:25" x14ac:dyDescent="0.3">
      <c r="A25" t="s">
        <v>494</v>
      </c>
      <c r="B25" s="2">
        <v>-1153988.47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/>
      <c r="W25" s="2">
        <v>0</v>
      </c>
      <c r="X25" s="2">
        <v>0</v>
      </c>
      <c r="Y25" s="2">
        <f t="shared" si="0"/>
        <v>-1153988.47</v>
      </c>
    </row>
    <row r="26" spans="1:25" x14ac:dyDescent="0.3">
      <c r="A26" t="s">
        <v>495</v>
      </c>
      <c r="B26" s="2">
        <v>1153988.47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/>
      <c r="W26" s="2">
        <v>0</v>
      </c>
      <c r="X26" s="2">
        <v>0</v>
      </c>
      <c r="Y26" s="2">
        <f t="shared" si="0"/>
        <v>1153988.47</v>
      </c>
    </row>
    <row r="27" spans="1:25" x14ac:dyDescent="0.3">
      <c r="A27" t="s">
        <v>496</v>
      </c>
      <c r="B27" s="2">
        <v>-3722785.6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0.01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-0.01</v>
      </c>
      <c r="V27" s="2"/>
      <c r="W27" s="2">
        <v>0</v>
      </c>
      <c r="X27" s="2">
        <v>0</v>
      </c>
      <c r="Y27" s="2">
        <f t="shared" si="0"/>
        <v>-3722785.6</v>
      </c>
    </row>
    <row r="28" spans="1:25" x14ac:dyDescent="0.3">
      <c r="A28" t="s">
        <v>497</v>
      </c>
      <c r="B28" s="2">
        <v>3722785.6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-0.01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0.01</v>
      </c>
      <c r="V28" s="2"/>
      <c r="W28" s="2">
        <v>0</v>
      </c>
      <c r="X28" s="2">
        <v>0</v>
      </c>
      <c r="Y28" s="2">
        <f t="shared" si="0"/>
        <v>3722785.6</v>
      </c>
    </row>
    <row r="29" spans="1:25" x14ac:dyDescent="0.3">
      <c r="A29" t="s">
        <v>498</v>
      </c>
      <c r="B29" s="2">
        <v>-1764072.99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/>
      <c r="W29" s="2">
        <v>0</v>
      </c>
      <c r="X29" s="2">
        <v>0</v>
      </c>
      <c r="Y29" s="2">
        <f t="shared" si="0"/>
        <v>-1764072.99</v>
      </c>
    </row>
    <row r="30" spans="1:25" x14ac:dyDescent="0.3">
      <c r="A30" t="s">
        <v>499</v>
      </c>
      <c r="B30" s="2">
        <v>1764072.99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/>
      <c r="W30" s="2">
        <v>0</v>
      </c>
      <c r="X30" s="2">
        <v>0</v>
      </c>
      <c r="Y30" s="2">
        <f t="shared" si="0"/>
        <v>1764072.99</v>
      </c>
    </row>
    <row r="31" spans="1:25" x14ac:dyDescent="0.3">
      <c r="A31" t="s">
        <v>500</v>
      </c>
      <c r="B31" s="2">
        <v>-162434.63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/>
      <c r="W31" s="2">
        <v>0</v>
      </c>
      <c r="X31" s="2">
        <v>0</v>
      </c>
      <c r="Y31" s="2">
        <f t="shared" si="0"/>
        <v>-162434.63</v>
      </c>
    </row>
    <row r="32" spans="1:25" x14ac:dyDescent="0.3">
      <c r="A32" t="s">
        <v>501</v>
      </c>
      <c r="B32" s="2">
        <v>162434.63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/>
      <c r="W32" s="2">
        <v>0</v>
      </c>
      <c r="X32" s="2">
        <v>0</v>
      </c>
      <c r="Y32" s="2">
        <f t="shared" si="0"/>
        <v>162434.63</v>
      </c>
    </row>
    <row r="33" spans="1:26" x14ac:dyDescent="0.3">
      <c r="A33" s="163" t="s">
        <v>502</v>
      </c>
      <c r="B33" s="2">
        <v>-422777.61</v>
      </c>
      <c r="C33" s="2">
        <v>0.01</v>
      </c>
      <c r="D33" s="2">
        <v>-0.01</v>
      </c>
      <c r="E33" s="2">
        <v>0</v>
      </c>
      <c r="F33" s="2">
        <v>0</v>
      </c>
      <c r="G33" s="164">
        <v>-178017.48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-0.01</v>
      </c>
      <c r="N33" s="2">
        <v>0</v>
      </c>
      <c r="O33" s="2">
        <v>0</v>
      </c>
      <c r="P33" s="2">
        <v>0</v>
      </c>
      <c r="Q33" s="2">
        <v>0</v>
      </c>
      <c r="R33" s="2">
        <v>0.02</v>
      </c>
      <c r="S33" s="2">
        <v>0</v>
      </c>
      <c r="T33" s="2">
        <v>-0.02</v>
      </c>
      <c r="U33" s="2">
        <v>0.01</v>
      </c>
      <c r="V33" s="2"/>
      <c r="W33" s="2">
        <v>0</v>
      </c>
      <c r="X33" s="2">
        <v>0</v>
      </c>
      <c r="Y33" s="2">
        <f t="shared" si="0"/>
        <v>-600795.09</v>
      </c>
    </row>
    <row r="34" spans="1:26" x14ac:dyDescent="0.3">
      <c r="A34" t="s">
        <v>503</v>
      </c>
      <c r="B34" s="2">
        <v>-201500.57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/>
      <c r="W34" s="2">
        <v>0</v>
      </c>
      <c r="X34" s="2">
        <v>0</v>
      </c>
      <c r="Y34" s="2">
        <f t="shared" si="0"/>
        <v>-201500.57</v>
      </c>
    </row>
    <row r="35" spans="1:26" x14ac:dyDescent="0.3">
      <c r="A35" t="s">
        <v>504</v>
      </c>
      <c r="B35" s="2">
        <v>-26686310.780000001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0.01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-0.01</v>
      </c>
      <c r="V35" s="2"/>
      <c r="W35" s="2">
        <v>0</v>
      </c>
      <c r="X35" s="2">
        <v>0.01</v>
      </c>
      <c r="Y35" s="2">
        <f t="shared" si="0"/>
        <v>-26686310.77</v>
      </c>
    </row>
    <row r="36" spans="1:26" x14ac:dyDescent="0.3">
      <c r="A36" t="s">
        <v>505</v>
      </c>
      <c r="B36" s="2">
        <v>26686310.780000001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-0.01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0.01</v>
      </c>
      <c r="V36" s="2"/>
      <c r="W36" s="2">
        <v>0</v>
      </c>
      <c r="X36" s="2">
        <v>-0.01</v>
      </c>
      <c r="Y36" s="2">
        <f t="shared" si="0"/>
        <v>26686310.77</v>
      </c>
    </row>
    <row r="37" spans="1:26" x14ac:dyDescent="0.3">
      <c r="A37" t="s">
        <v>506</v>
      </c>
      <c r="B37" s="2">
        <v>-108182.65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0.01</v>
      </c>
      <c r="J37" s="2">
        <v>0</v>
      </c>
      <c r="K37" s="2">
        <v>0</v>
      </c>
      <c r="L37" s="2">
        <v>0</v>
      </c>
      <c r="M37" s="2">
        <v>-0.01</v>
      </c>
      <c r="N37" s="2">
        <v>0.01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/>
      <c r="W37" s="2">
        <v>0</v>
      </c>
      <c r="X37" s="2">
        <v>-0.01</v>
      </c>
      <c r="Y37" s="2">
        <f t="shared" si="0"/>
        <v>-108182.65</v>
      </c>
    </row>
    <row r="38" spans="1:26" x14ac:dyDescent="0.3">
      <c r="A38" t="s">
        <v>507</v>
      </c>
      <c r="B38" s="2">
        <v>108182.65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-0.01</v>
      </c>
      <c r="J38" s="2">
        <v>0</v>
      </c>
      <c r="K38" s="2">
        <v>0</v>
      </c>
      <c r="L38" s="2">
        <v>0</v>
      </c>
      <c r="M38" s="2">
        <v>0.01</v>
      </c>
      <c r="N38" s="2">
        <v>-0.01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/>
      <c r="W38" s="2">
        <v>0</v>
      </c>
      <c r="X38" s="2">
        <v>0.01</v>
      </c>
      <c r="Y38" s="2">
        <f t="shared" si="0"/>
        <v>108182.65</v>
      </c>
    </row>
    <row r="39" spans="1:26" x14ac:dyDescent="0.3">
      <c r="A39" t="s">
        <v>508</v>
      </c>
      <c r="B39" s="2">
        <v>-21576.27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/>
      <c r="W39" s="2">
        <v>0</v>
      </c>
      <c r="X39" s="2">
        <v>0</v>
      </c>
      <c r="Y39" s="2">
        <f t="shared" si="0"/>
        <v>-21576.27</v>
      </c>
    </row>
    <row r="40" spans="1:26" x14ac:dyDescent="0.3">
      <c r="A40" t="s">
        <v>509</v>
      </c>
      <c r="B40" s="2">
        <v>-28049.17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/>
      <c r="W40" s="2">
        <v>0</v>
      </c>
      <c r="X40" s="2">
        <v>0</v>
      </c>
      <c r="Y40" s="2">
        <f t="shared" si="0"/>
        <v>-28049.17</v>
      </c>
    </row>
    <row r="41" spans="1:26" x14ac:dyDescent="0.3">
      <c r="A41" t="s">
        <v>510</v>
      </c>
      <c r="B41" s="2">
        <v>28049.17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/>
      <c r="W41" s="2">
        <v>0</v>
      </c>
      <c r="X41" s="2">
        <v>0</v>
      </c>
      <c r="Y41" s="2">
        <f t="shared" ref="Y41:Y72" si="1">SUM(B41:X41)</f>
        <v>28049.17</v>
      </c>
    </row>
    <row r="42" spans="1:26" x14ac:dyDescent="0.3">
      <c r="A42" t="s">
        <v>511</v>
      </c>
      <c r="B42" s="2">
        <v>-541834.14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0.01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/>
      <c r="W42" s="2">
        <v>0</v>
      </c>
      <c r="X42" s="2">
        <v>0</v>
      </c>
      <c r="Y42" s="2">
        <f t="shared" si="1"/>
        <v>-541834.13</v>
      </c>
    </row>
    <row r="43" spans="1:26" x14ac:dyDescent="0.3">
      <c r="A43" t="s">
        <v>512</v>
      </c>
      <c r="B43" s="2">
        <v>541834.14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-0.01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/>
      <c r="W43" s="2">
        <v>0</v>
      </c>
      <c r="X43" s="2">
        <v>0</v>
      </c>
      <c r="Y43" s="2">
        <f t="shared" si="1"/>
        <v>541834.13</v>
      </c>
    </row>
    <row r="44" spans="1:26" x14ac:dyDescent="0.3">
      <c r="A44" t="s">
        <v>513</v>
      </c>
      <c r="B44" s="2">
        <v>-18926660.34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/>
      <c r="W44" s="2">
        <v>0</v>
      </c>
      <c r="X44" s="2">
        <v>0</v>
      </c>
      <c r="Y44" s="2">
        <f t="shared" si="1"/>
        <v>-18926660.34</v>
      </c>
      <c r="Z44" s="5" t="s">
        <v>17</v>
      </c>
    </row>
    <row r="45" spans="1:26" x14ac:dyDescent="0.3">
      <c r="A45" t="s">
        <v>514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69.88</v>
      </c>
      <c r="V45" s="2"/>
      <c r="W45" s="2">
        <v>0</v>
      </c>
      <c r="X45" s="2">
        <v>0</v>
      </c>
      <c r="Y45" s="2">
        <f t="shared" si="1"/>
        <v>69.88</v>
      </c>
    </row>
    <row r="46" spans="1:26" x14ac:dyDescent="0.3">
      <c r="A46" t="s">
        <v>515</v>
      </c>
      <c r="B46" s="2">
        <v>-151.15</v>
      </c>
      <c r="C46" s="2">
        <v>0</v>
      </c>
      <c r="D46" s="2">
        <v>-0.02</v>
      </c>
      <c r="E46" s="2">
        <v>121.46</v>
      </c>
      <c r="F46" s="2">
        <v>0</v>
      </c>
      <c r="G46" s="2">
        <v>0.02</v>
      </c>
      <c r="H46" s="2">
        <v>-0.01</v>
      </c>
      <c r="I46" s="2">
        <v>0.01</v>
      </c>
      <c r="J46" s="2">
        <v>0</v>
      </c>
      <c r="K46" s="2">
        <v>0</v>
      </c>
      <c r="L46" s="2">
        <v>0</v>
      </c>
      <c r="M46" s="2">
        <v>-0.01</v>
      </c>
      <c r="N46" s="2">
        <v>-0.01</v>
      </c>
      <c r="O46" s="2">
        <v>0</v>
      </c>
      <c r="P46" s="2">
        <v>0</v>
      </c>
      <c r="Q46" s="2">
        <v>1.02</v>
      </c>
      <c r="R46" s="2">
        <v>0</v>
      </c>
      <c r="S46" s="2">
        <v>0</v>
      </c>
      <c r="T46" s="2">
        <v>0</v>
      </c>
      <c r="U46" s="2">
        <v>0.01</v>
      </c>
      <c r="V46" s="2"/>
      <c r="W46" s="2">
        <v>0</v>
      </c>
      <c r="X46" s="2">
        <v>0</v>
      </c>
      <c r="Y46" s="2">
        <f t="shared" si="1"/>
        <v>-28.680000000000025</v>
      </c>
    </row>
    <row r="47" spans="1:26" x14ac:dyDescent="0.3">
      <c r="A47" t="s">
        <v>516</v>
      </c>
      <c r="B47" s="2">
        <v>-10729.69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0.01</v>
      </c>
      <c r="J47" s="2">
        <v>0</v>
      </c>
      <c r="K47" s="2">
        <v>0</v>
      </c>
      <c r="L47" s="2">
        <v>801.67</v>
      </c>
      <c r="M47" s="2">
        <v>0</v>
      </c>
      <c r="N47" s="2">
        <v>676.1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116.88</v>
      </c>
      <c r="V47" s="2"/>
      <c r="W47" s="2">
        <v>0</v>
      </c>
      <c r="X47" s="2">
        <v>0</v>
      </c>
      <c r="Y47" s="2">
        <f t="shared" si="1"/>
        <v>-9135.0300000000007</v>
      </c>
    </row>
    <row r="48" spans="1:26" x14ac:dyDescent="0.3">
      <c r="A48" t="s">
        <v>517</v>
      </c>
      <c r="B48" s="2">
        <v>-10794563.939999999</v>
      </c>
      <c r="C48" s="2">
        <v>0.01</v>
      </c>
      <c r="D48" s="2">
        <v>-0.01</v>
      </c>
      <c r="E48" s="2">
        <v>0.02</v>
      </c>
      <c r="F48" s="2">
        <v>0</v>
      </c>
      <c r="G48" s="2">
        <v>-0.01</v>
      </c>
      <c r="H48" s="2">
        <v>0</v>
      </c>
      <c r="I48" s="2">
        <v>-0.01</v>
      </c>
      <c r="J48" s="2">
        <v>0</v>
      </c>
      <c r="K48" s="2">
        <v>0</v>
      </c>
      <c r="L48" s="2">
        <v>0</v>
      </c>
      <c r="M48" s="2">
        <v>-0.01</v>
      </c>
      <c r="N48" s="2">
        <v>0.01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/>
      <c r="W48" s="2">
        <v>0</v>
      </c>
      <c r="X48" s="2">
        <v>0</v>
      </c>
      <c r="Y48" s="2">
        <f t="shared" si="1"/>
        <v>-10794563.939999999</v>
      </c>
    </row>
    <row r="49" spans="1:25" x14ac:dyDescent="0.3">
      <c r="A49" t="s">
        <v>518</v>
      </c>
      <c r="B49" s="2">
        <v>-887296.32</v>
      </c>
      <c r="C49" s="2">
        <v>13172.4</v>
      </c>
      <c r="D49" s="2">
        <v>22354.58</v>
      </c>
      <c r="E49" s="2">
        <v>92588.77</v>
      </c>
      <c r="F49" s="2">
        <v>0</v>
      </c>
      <c r="G49" s="2">
        <v>16411.03</v>
      </c>
      <c r="H49" s="2">
        <v>10328.26</v>
      </c>
      <c r="I49" s="2">
        <v>0</v>
      </c>
      <c r="J49" s="2">
        <v>0</v>
      </c>
      <c r="K49" s="2">
        <v>0</v>
      </c>
      <c r="L49" s="2">
        <v>11047.07</v>
      </c>
      <c r="M49" s="2">
        <v>2400.38</v>
      </c>
      <c r="N49" s="2">
        <v>0.01</v>
      </c>
      <c r="O49" s="2">
        <v>0</v>
      </c>
      <c r="P49" s="2">
        <v>0</v>
      </c>
      <c r="Q49" s="2">
        <v>30032.68</v>
      </c>
      <c r="R49" s="2">
        <v>0</v>
      </c>
      <c r="S49" s="2">
        <v>0</v>
      </c>
      <c r="T49" s="2">
        <v>32337.97</v>
      </c>
      <c r="U49" s="2">
        <v>0</v>
      </c>
      <c r="V49" s="2"/>
      <c r="W49" s="2">
        <v>0</v>
      </c>
      <c r="X49" s="2">
        <v>0</v>
      </c>
      <c r="Y49" s="2">
        <f t="shared" si="1"/>
        <v>-656623.16999999993</v>
      </c>
    </row>
    <row r="50" spans="1:25" x14ac:dyDescent="0.3">
      <c r="A50" t="s">
        <v>519</v>
      </c>
      <c r="B50" s="2">
        <v>-51958.559999999998</v>
      </c>
      <c r="C50" s="2">
        <v>0</v>
      </c>
      <c r="D50" s="2">
        <v>0</v>
      </c>
      <c r="E50" s="2">
        <v>23564.6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438.65</v>
      </c>
      <c r="M50" s="2">
        <v>410.63</v>
      </c>
      <c r="N50" s="2">
        <v>-0.01</v>
      </c>
      <c r="O50" s="2">
        <v>0</v>
      </c>
      <c r="P50" s="2">
        <v>0</v>
      </c>
      <c r="Q50" s="2">
        <v>0</v>
      </c>
      <c r="R50" s="2">
        <v>802.86</v>
      </c>
      <c r="S50" s="2">
        <v>0</v>
      </c>
      <c r="T50" s="2">
        <v>414.37</v>
      </c>
      <c r="U50" s="2">
        <v>0</v>
      </c>
      <c r="V50" s="2"/>
      <c r="W50" s="2">
        <v>0</v>
      </c>
      <c r="X50" s="2">
        <v>0</v>
      </c>
      <c r="Y50" s="2">
        <f t="shared" si="1"/>
        <v>-26327.459999999995</v>
      </c>
    </row>
    <row r="51" spans="1:25" x14ac:dyDescent="0.3">
      <c r="A51" t="s">
        <v>520</v>
      </c>
      <c r="B51" s="2">
        <v>20543112.469999999</v>
      </c>
      <c r="C51" s="2">
        <v>0</v>
      </c>
      <c r="D51" s="2">
        <v>0.01</v>
      </c>
      <c r="E51" s="2">
        <v>0</v>
      </c>
      <c r="F51" s="2">
        <v>0</v>
      </c>
      <c r="G51" s="2">
        <v>0</v>
      </c>
      <c r="H51" s="2">
        <v>0</v>
      </c>
      <c r="I51" s="2">
        <v>-0.03</v>
      </c>
      <c r="J51" s="2">
        <v>0</v>
      </c>
      <c r="K51" s="2">
        <v>0</v>
      </c>
      <c r="L51" s="2">
        <v>0</v>
      </c>
      <c r="M51" s="2">
        <v>0.02</v>
      </c>
      <c r="N51" s="2">
        <v>0.01</v>
      </c>
      <c r="O51" s="2">
        <v>0</v>
      </c>
      <c r="P51" s="2">
        <v>0</v>
      </c>
      <c r="Q51" s="2">
        <v>0</v>
      </c>
      <c r="R51" s="2">
        <v>-0.01</v>
      </c>
      <c r="S51" s="2">
        <v>-149494.66</v>
      </c>
      <c r="T51" s="2">
        <v>0</v>
      </c>
      <c r="U51" s="2">
        <v>0.01</v>
      </c>
      <c r="V51" s="2"/>
      <c r="W51" s="2">
        <v>0</v>
      </c>
      <c r="X51" s="2">
        <v>0</v>
      </c>
      <c r="Y51" s="2">
        <f t="shared" si="1"/>
        <v>20393617.82</v>
      </c>
    </row>
    <row r="52" spans="1:25" x14ac:dyDescent="0.3">
      <c r="A52" t="s">
        <v>521</v>
      </c>
      <c r="B52" s="2">
        <v>-186.06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-0.01</v>
      </c>
      <c r="J52" s="2">
        <v>0</v>
      </c>
      <c r="K52" s="2">
        <v>0</v>
      </c>
      <c r="L52" s="2">
        <v>0</v>
      </c>
      <c r="M52" s="2">
        <v>0</v>
      </c>
      <c r="N52" s="2">
        <v>0.01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163.87</v>
      </c>
      <c r="V52" s="2"/>
      <c r="W52" s="2">
        <v>0</v>
      </c>
      <c r="X52" s="2">
        <v>0</v>
      </c>
      <c r="Y52" s="2">
        <f t="shared" si="1"/>
        <v>-22.189999999999998</v>
      </c>
    </row>
    <row r="53" spans="1:25" x14ac:dyDescent="0.3">
      <c r="A53" t="s">
        <v>522</v>
      </c>
      <c r="B53" s="2">
        <v>-311964.93</v>
      </c>
      <c r="C53" s="2">
        <v>1424.28</v>
      </c>
      <c r="D53" s="2">
        <v>1424.28</v>
      </c>
      <c r="E53" s="2">
        <v>1903.15</v>
      </c>
      <c r="F53" s="2">
        <v>0</v>
      </c>
      <c r="G53" s="2">
        <v>1424.28</v>
      </c>
      <c r="H53" s="2">
        <v>7121.71</v>
      </c>
      <c r="I53" s="2">
        <v>-0.01</v>
      </c>
      <c r="J53" s="2">
        <v>0</v>
      </c>
      <c r="K53" s="2">
        <v>0</v>
      </c>
      <c r="L53" s="2">
        <v>1785.58</v>
      </c>
      <c r="M53" s="2">
        <v>1785.59</v>
      </c>
      <c r="N53" s="2">
        <v>1926.29</v>
      </c>
      <c r="O53" s="2">
        <v>0</v>
      </c>
      <c r="P53" s="2">
        <v>357676.79999999999</v>
      </c>
      <c r="Q53" s="2">
        <v>0</v>
      </c>
      <c r="R53" s="2">
        <v>-0.02</v>
      </c>
      <c r="S53" s="2">
        <v>282458.23</v>
      </c>
      <c r="T53" s="2">
        <v>0.02</v>
      </c>
      <c r="U53" s="2">
        <v>-1757.05</v>
      </c>
      <c r="V53" s="2"/>
      <c r="W53" s="2">
        <v>0</v>
      </c>
      <c r="X53" s="2">
        <v>0</v>
      </c>
      <c r="Y53" s="2">
        <f t="shared" si="1"/>
        <v>345208.20000000013</v>
      </c>
    </row>
    <row r="54" spans="1:25" x14ac:dyDescent="0.3">
      <c r="A54" t="s">
        <v>523</v>
      </c>
      <c r="B54" s="2">
        <v>-1150940.33</v>
      </c>
      <c r="C54" s="2">
        <v>84.57</v>
      </c>
      <c r="D54" s="2">
        <v>0</v>
      </c>
      <c r="E54" s="2">
        <v>-0.01</v>
      </c>
      <c r="F54" s="2">
        <v>0</v>
      </c>
      <c r="G54" s="2">
        <v>0</v>
      </c>
      <c r="H54" s="2">
        <v>0.01</v>
      </c>
      <c r="I54" s="2">
        <v>0</v>
      </c>
      <c r="J54" s="2">
        <v>0</v>
      </c>
      <c r="K54" s="2">
        <v>0</v>
      </c>
      <c r="L54" s="2">
        <v>-0.01</v>
      </c>
      <c r="M54" s="2">
        <v>0</v>
      </c>
      <c r="N54" s="2">
        <v>0.01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-0.01</v>
      </c>
      <c r="U54" s="2">
        <v>0</v>
      </c>
      <c r="V54" s="2"/>
      <c r="W54" s="2">
        <v>0</v>
      </c>
      <c r="X54" s="2">
        <v>0</v>
      </c>
      <c r="Y54" s="2">
        <f t="shared" si="1"/>
        <v>-1150855.77</v>
      </c>
    </row>
    <row r="55" spans="1:25" x14ac:dyDescent="0.3">
      <c r="A55" t="s">
        <v>524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0.01</v>
      </c>
      <c r="M55" s="2">
        <v>-0.01</v>
      </c>
      <c r="N55" s="2">
        <v>0.01</v>
      </c>
      <c r="O55" s="2">
        <v>0</v>
      </c>
      <c r="P55" s="2">
        <v>0</v>
      </c>
      <c r="Q55" s="2">
        <v>0</v>
      </c>
      <c r="R55" s="2">
        <v>-0.01</v>
      </c>
      <c r="S55" s="2">
        <v>0</v>
      </c>
      <c r="T55" s="2">
        <v>0</v>
      </c>
      <c r="U55" s="2">
        <v>-0.01</v>
      </c>
      <c r="V55" s="2"/>
      <c r="W55" s="2">
        <v>0</v>
      </c>
      <c r="X55" s="2">
        <v>0</v>
      </c>
      <c r="Y55" s="2">
        <f t="shared" si="1"/>
        <v>-0.01</v>
      </c>
    </row>
    <row r="56" spans="1:25" x14ac:dyDescent="0.3">
      <c r="A56" t="s">
        <v>525</v>
      </c>
      <c r="B56" s="2">
        <v>77325.95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/>
      <c r="W56" s="2">
        <v>0</v>
      </c>
      <c r="X56" s="2">
        <v>0</v>
      </c>
      <c r="Y56" s="2">
        <f t="shared" si="1"/>
        <v>77325.95</v>
      </c>
    </row>
    <row r="57" spans="1:25" x14ac:dyDescent="0.3">
      <c r="A57" t="s">
        <v>526</v>
      </c>
      <c r="B57" s="2">
        <v>-492.97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0.01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-0.01</v>
      </c>
      <c r="V57" s="2"/>
      <c r="W57" s="2">
        <v>0</v>
      </c>
      <c r="X57" s="2">
        <v>0</v>
      </c>
      <c r="Y57" s="2">
        <f t="shared" si="1"/>
        <v>-492.97</v>
      </c>
    </row>
    <row r="58" spans="1:25" x14ac:dyDescent="0.3">
      <c r="A58" t="s">
        <v>527</v>
      </c>
      <c r="B58" s="2">
        <v>2708.04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/>
      <c r="W58" s="2">
        <v>0</v>
      </c>
      <c r="X58" s="2">
        <v>0</v>
      </c>
      <c r="Y58" s="2">
        <f t="shared" si="1"/>
        <v>2708.04</v>
      </c>
    </row>
    <row r="59" spans="1:25" x14ac:dyDescent="0.3">
      <c r="A59" t="s">
        <v>528</v>
      </c>
      <c r="B59" s="2">
        <v>-0.01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/>
      <c r="W59" s="2">
        <v>0</v>
      </c>
      <c r="X59" s="2">
        <v>0</v>
      </c>
      <c r="Y59" s="2">
        <f t="shared" si="1"/>
        <v>-0.01</v>
      </c>
    </row>
    <row r="60" spans="1:25" x14ac:dyDescent="0.3">
      <c r="A60" t="s">
        <v>529</v>
      </c>
      <c r="B60" s="2">
        <v>-0.04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/>
      <c r="W60" s="2">
        <v>0</v>
      </c>
      <c r="X60" s="2">
        <v>0</v>
      </c>
      <c r="Y60" s="2">
        <f t="shared" si="1"/>
        <v>-0.04</v>
      </c>
    </row>
    <row r="61" spans="1:25" x14ac:dyDescent="0.3">
      <c r="A61" t="s">
        <v>530</v>
      </c>
      <c r="B61" s="2">
        <v>-4291.07</v>
      </c>
      <c r="C61" s="2">
        <v>0</v>
      </c>
      <c r="D61" s="2">
        <v>70.599999999999994</v>
      </c>
      <c r="E61" s="2">
        <v>597.4</v>
      </c>
      <c r="F61" s="2">
        <v>0</v>
      </c>
      <c r="G61" s="2">
        <v>216.89</v>
      </c>
      <c r="H61" s="2">
        <v>0.01</v>
      </c>
      <c r="I61" s="2">
        <v>0.01</v>
      </c>
      <c r="J61" s="2">
        <v>0</v>
      </c>
      <c r="K61" s="2">
        <v>0</v>
      </c>
      <c r="L61" s="2">
        <v>0</v>
      </c>
      <c r="M61" s="2">
        <v>-0.01</v>
      </c>
      <c r="N61" s="2">
        <v>116.91</v>
      </c>
      <c r="O61" s="2">
        <v>0</v>
      </c>
      <c r="P61" s="2">
        <v>0</v>
      </c>
      <c r="Q61" s="2">
        <v>0</v>
      </c>
      <c r="R61" s="2">
        <v>272.89999999999998</v>
      </c>
      <c r="S61" s="2">
        <v>0</v>
      </c>
      <c r="T61" s="2">
        <v>138.24</v>
      </c>
      <c r="U61" s="2">
        <v>219.01</v>
      </c>
      <c r="V61" s="2"/>
      <c r="W61" s="2">
        <v>0</v>
      </c>
      <c r="X61" s="2">
        <v>0</v>
      </c>
      <c r="Y61" s="2">
        <f t="shared" si="1"/>
        <v>-2659.1099999999988</v>
      </c>
    </row>
    <row r="62" spans="1:25" x14ac:dyDescent="0.3">
      <c r="A62" t="s">
        <v>531</v>
      </c>
      <c r="B62" s="2">
        <v>1.48</v>
      </c>
      <c r="C62" s="2">
        <v>-0.02</v>
      </c>
      <c r="D62" s="2">
        <v>0</v>
      </c>
      <c r="E62" s="2">
        <v>-0.02</v>
      </c>
      <c r="F62" s="2">
        <v>0</v>
      </c>
      <c r="G62" s="2">
        <v>-0.01</v>
      </c>
      <c r="H62" s="2">
        <v>-0.01</v>
      </c>
      <c r="I62" s="2">
        <v>-0.01</v>
      </c>
      <c r="J62" s="2">
        <v>0</v>
      </c>
      <c r="K62" s="2">
        <v>0</v>
      </c>
      <c r="L62" s="2">
        <v>-0.02</v>
      </c>
      <c r="M62" s="2">
        <v>0</v>
      </c>
      <c r="N62" s="2">
        <v>-0.02</v>
      </c>
      <c r="O62" s="2">
        <v>0</v>
      </c>
      <c r="P62" s="2">
        <v>0</v>
      </c>
      <c r="Q62" s="2">
        <v>0</v>
      </c>
      <c r="R62" s="2">
        <v>-0.01</v>
      </c>
      <c r="S62" s="2">
        <v>0</v>
      </c>
      <c r="T62" s="2">
        <v>-0.01</v>
      </c>
      <c r="U62" s="2">
        <v>-0.01</v>
      </c>
      <c r="V62" s="2"/>
      <c r="W62" s="2">
        <v>0</v>
      </c>
      <c r="X62" s="2">
        <v>0</v>
      </c>
      <c r="Y62" s="2">
        <f t="shared" si="1"/>
        <v>1.3399999999999999</v>
      </c>
    </row>
    <row r="63" spans="1:25" x14ac:dyDescent="0.3">
      <c r="A63" t="s">
        <v>532</v>
      </c>
      <c r="B63" s="2">
        <v>-0.02</v>
      </c>
      <c r="C63" s="2">
        <v>0.01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0.01</v>
      </c>
      <c r="M63" s="2">
        <v>-0.01</v>
      </c>
      <c r="N63" s="2">
        <v>0.01</v>
      </c>
      <c r="O63" s="2">
        <v>0</v>
      </c>
      <c r="P63" s="2">
        <v>0</v>
      </c>
      <c r="Q63" s="2">
        <v>0</v>
      </c>
      <c r="R63" s="2">
        <v>0.01</v>
      </c>
      <c r="S63" s="2">
        <v>0</v>
      </c>
      <c r="T63" s="2">
        <v>-0.02</v>
      </c>
      <c r="U63" s="2">
        <v>0.01</v>
      </c>
      <c r="V63" s="2"/>
      <c r="W63" s="2">
        <v>0</v>
      </c>
      <c r="X63" s="2">
        <v>0</v>
      </c>
      <c r="Y63" s="2">
        <f t="shared" si="1"/>
        <v>0</v>
      </c>
    </row>
    <row r="64" spans="1:25" x14ac:dyDescent="0.3">
      <c r="A64" t="s">
        <v>533</v>
      </c>
      <c r="B64" s="2">
        <v>36342.870000000003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-4469.45</v>
      </c>
      <c r="T64" s="2">
        <v>0</v>
      </c>
      <c r="U64" s="2">
        <v>0</v>
      </c>
      <c r="V64" s="2"/>
      <c r="W64" s="2">
        <v>0</v>
      </c>
      <c r="X64" s="2">
        <v>0</v>
      </c>
      <c r="Y64" s="2">
        <f t="shared" si="1"/>
        <v>31873.420000000002</v>
      </c>
    </row>
    <row r="65" spans="1:25" x14ac:dyDescent="0.3">
      <c r="A65" t="s">
        <v>534</v>
      </c>
      <c r="B65" s="2">
        <v>-0.02</v>
      </c>
      <c r="C65" s="2">
        <v>0</v>
      </c>
      <c r="D65" s="2">
        <v>0</v>
      </c>
      <c r="E65" s="2">
        <v>-0.01</v>
      </c>
      <c r="F65" s="2">
        <v>0</v>
      </c>
      <c r="G65" s="2">
        <v>0.01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-0.02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-0.01</v>
      </c>
      <c r="U65" s="2">
        <v>0.01</v>
      </c>
      <c r="V65" s="2"/>
      <c r="W65" s="2">
        <v>0</v>
      </c>
      <c r="X65" s="2">
        <v>0</v>
      </c>
      <c r="Y65" s="2">
        <f t="shared" si="1"/>
        <v>-3.9999999999999994E-2</v>
      </c>
    </row>
    <row r="66" spans="1:25" x14ac:dyDescent="0.3">
      <c r="A66" t="s">
        <v>535</v>
      </c>
      <c r="B66" s="2">
        <v>0</v>
      </c>
      <c r="C66" s="2">
        <v>0</v>
      </c>
      <c r="D66" s="2">
        <v>0</v>
      </c>
      <c r="E66" s="2">
        <v>0.01</v>
      </c>
      <c r="F66" s="2">
        <v>0</v>
      </c>
      <c r="G66" s="2">
        <v>-0.01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-0.01</v>
      </c>
      <c r="U66" s="2">
        <v>0</v>
      </c>
      <c r="V66" s="2"/>
      <c r="W66" s="2">
        <v>0</v>
      </c>
      <c r="X66" s="2">
        <v>0</v>
      </c>
      <c r="Y66" s="2">
        <f t="shared" si="1"/>
        <v>-0.01</v>
      </c>
    </row>
    <row r="67" spans="1:25" x14ac:dyDescent="0.3">
      <c r="A67" t="s">
        <v>536</v>
      </c>
      <c r="B67" s="2">
        <v>-0.01</v>
      </c>
      <c r="C67" s="2">
        <v>0</v>
      </c>
      <c r="D67" s="2">
        <v>0</v>
      </c>
      <c r="E67" s="2">
        <v>0.01</v>
      </c>
      <c r="F67" s="2">
        <v>0</v>
      </c>
      <c r="G67" s="2">
        <v>-0.02</v>
      </c>
      <c r="H67" s="2">
        <v>0.02</v>
      </c>
      <c r="I67" s="2">
        <v>0</v>
      </c>
      <c r="J67" s="2">
        <v>0</v>
      </c>
      <c r="K67" s="2">
        <v>0</v>
      </c>
      <c r="L67" s="2">
        <v>-0.01</v>
      </c>
      <c r="M67" s="2">
        <v>0</v>
      </c>
      <c r="N67" s="2">
        <v>-0.01</v>
      </c>
      <c r="O67" s="2">
        <v>0</v>
      </c>
      <c r="P67" s="2">
        <v>0</v>
      </c>
      <c r="Q67" s="2">
        <v>0</v>
      </c>
      <c r="R67" s="2">
        <v>0.02</v>
      </c>
      <c r="S67" s="2">
        <v>0</v>
      </c>
      <c r="T67" s="2">
        <v>-0.02</v>
      </c>
      <c r="U67" s="2">
        <v>0.01</v>
      </c>
      <c r="V67" s="2"/>
      <c r="W67" s="2">
        <v>0</v>
      </c>
      <c r="X67" s="2">
        <v>0</v>
      </c>
      <c r="Y67" s="2">
        <f t="shared" si="1"/>
        <v>-0.01</v>
      </c>
    </row>
    <row r="68" spans="1:25" x14ac:dyDescent="0.3">
      <c r="A68" t="s">
        <v>537</v>
      </c>
      <c r="B68" s="2">
        <v>0.01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/>
      <c r="W68" s="2">
        <v>0</v>
      </c>
      <c r="X68" s="2">
        <v>0</v>
      </c>
      <c r="Y68" s="2">
        <f t="shared" si="1"/>
        <v>0.01</v>
      </c>
    </row>
    <row r="69" spans="1:25" x14ac:dyDescent="0.3">
      <c r="A69" t="s">
        <v>538</v>
      </c>
      <c r="B69" s="2">
        <v>-0.48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/>
      <c r="W69" s="2">
        <v>0</v>
      </c>
      <c r="X69" s="2">
        <v>0</v>
      </c>
      <c r="Y69" s="2">
        <f t="shared" si="1"/>
        <v>-0.48</v>
      </c>
    </row>
    <row r="70" spans="1:25" x14ac:dyDescent="0.3">
      <c r="A70" t="s">
        <v>539</v>
      </c>
      <c r="B70" s="2">
        <v>-26.82</v>
      </c>
      <c r="C70" s="2">
        <v>-0.01</v>
      </c>
      <c r="D70" s="2">
        <v>0.01</v>
      </c>
      <c r="E70" s="2">
        <v>-0.01</v>
      </c>
      <c r="F70" s="2">
        <v>0</v>
      </c>
      <c r="G70" s="2">
        <v>2.83</v>
      </c>
      <c r="H70" s="2">
        <v>0</v>
      </c>
      <c r="I70" s="2">
        <v>-0.01</v>
      </c>
      <c r="J70" s="2">
        <v>0</v>
      </c>
      <c r="K70" s="2">
        <v>0</v>
      </c>
      <c r="L70" s="2">
        <v>3.99</v>
      </c>
      <c r="M70" s="2">
        <v>3.99</v>
      </c>
      <c r="N70" s="2">
        <v>0.01</v>
      </c>
      <c r="O70" s="2">
        <v>0</v>
      </c>
      <c r="P70" s="2">
        <v>0</v>
      </c>
      <c r="Q70" s="2">
        <v>0</v>
      </c>
      <c r="R70" s="2">
        <v>0</v>
      </c>
      <c r="S70" s="2">
        <v>-0.01</v>
      </c>
      <c r="T70" s="2">
        <v>2.57</v>
      </c>
      <c r="U70" s="2">
        <v>1.64</v>
      </c>
      <c r="V70" s="2"/>
      <c r="W70" s="2">
        <v>0</v>
      </c>
      <c r="X70" s="2">
        <v>0</v>
      </c>
      <c r="Y70" s="2">
        <f t="shared" si="1"/>
        <v>-11.82</v>
      </c>
    </row>
    <row r="71" spans="1:25" x14ac:dyDescent="0.3">
      <c r="A71" t="s">
        <v>540</v>
      </c>
      <c r="B71" s="2">
        <v>50051.46</v>
      </c>
      <c r="C71" s="2">
        <v>0</v>
      </c>
      <c r="D71" s="2">
        <v>-0.01</v>
      </c>
      <c r="E71" s="2">
        <v>0.02</v>
      </c>
      <c r="F71" s="2">
        <v>0</v>
      </c>
      <c r="G71" s="2">
        <v>-7463.72</v>
      </c>
      <c r="H71" s="2">
        <v>-7989.56</v>
      </c>
      <c r="I71" s="2">
        <v>-9197.44</v>
      </c>
      <c r="J71" s="2">
        <v>0</v>
      </c>
      <c r="K71" s="2">
        <v>0</v>
      </c>
      <c r="L71" s="2">
        <v>-10691.61</v>
      </c>
      <c r="M71" s="2">
        <v>-0.01</v>
      </c>
      <c r="N71" s="2">
        <v>-5073.5200000000004</v>
      </c>
      <c r="O71" s="2">
        <v>0</v>
      </c>
      <c r="P71" s="2">
        <v>0</v>
      </c>
      <c r="Q71" s="2">
        <v>0</v>
      </c>
      <c r="R71" s="2">
        <v>-3953.42</v>
      </c>
      <c r="S71" s="2">
        <v>0</v>
      </c>
      <c r="T71" s="2">
        <v>-3256.14</v>
      </c>
      <c r="U71" s="2">
        <v>-3577.57</v>
      </c>
      <c r="V71" s="2"/>
      <c r="W71" s="2">
        <v>0</v>
      </c>
      <c r="X71" s="2">
        <v>0</v>
      </c>
      <c r="Y71" s="2">
        <f t="shared" si="1"/>
        <v>-1151.5200000000086</v>
      </c>
    </row>
    <row r="72" spans="1:25" x14ac:dyDescent="0.3">
      <c r="A72" t="s">
        <v>541</v>
      </c>
      <c r="B72" s="2">
        <v>-0.02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/>
      <c r="W72" s="2">
        <v>0</v>
      </c>
      <c r="X72" s="2">
        <v>0</v>
      </c>
      <c r="Y72" s="2">
        <f t="shared" si="1"/>
        <v>-0.02</v>
      </c>
    </row>
    <row r="73" spans="1:25" x14ac:dyDescent="0.3">
      <c r="A73" t="s">
        <v>542</v>
      </c>
      <c r="B73" s="2">
        <v>-53469.97</v>
      </c>
      <c r="C73" s="2">
        <v>0</v>
      </c>
      <c r="D73" s="2">
        <v>0</v>
      </c>
      <c r="E73" s="2">
        <v>-0.02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0.01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0.01</v>
      </c>
      <c r="V73" s="2"/>
      <c r="W73" s="2">
        <v>0</v>
      </c>
      <c r="X73" s="2">
        <v>0</v>
      </c>
      <c r="Y73" s="2">
        <f t="shared" ref="Y73:Y95" si="2">SUM(B73:X73)</f>
        <v>-53469.969999999994</v>
      </c>
    </row>
    <row r="74" spans="1:25" x14ac:dyDescent="0.3">
      <c r="A74" t="s">
        <v>543</v>
      </c>
      <c r="B74" s="2">
        <v>-32243.34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629.32000000000005</v>
      </c>
      <c r="T74" s="2">
        <v>0</v>
      </c>
      <c r="U74" s="2">
        <v>0</v>
      </c>
      <c r="V74" s="2"/>
      <c r="W74" s="2">
        <v>0</v>
      </c>
      <c r="X74" s="2">
        <v>0</v>
      </c>
      <c r="Y74" s="2">
        <f t="shared" si="2"/>
        <v>-31614.02</v>
      </c>
    </row>
    <row r="75" spans="1:25" x14ac:dyDescent="0.3">
      <c r="A75" t="s">
        <v>544</v>
      </c>
      <c r="B75" s="2">
        <v>-0.18</v>
      </c>
      <c r="C75" s="2">
        <v>0</v>
      </c>
      <c r="D75" s="2">
        <v>-0.01</v>
      </c>
      <c r="E75" s="2">
        <v>0</v>
      </c>
      <c r="F75" s="2">
        <v>0</v>
      </c>
      <c r="G75" s="2">
        <v>0.01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-0.01</v>
      </c>
      <c r="N75" s="2">
        <v>0</v>
      </c>
      <c r="O75" s="2">
        <v>0</v>
      </c>
      <c r="P75" s="2">
        <v>0</v>
      </c>
      <c r="Q75" s="2">
        <v>0</v>
      </c>
      <c r="R75" s="2">
        <v>0.01</v>
      </c>
      <c r="S75" s="2">
        <v>0</v>
      </c>
      <c r="T75" s="2">
        <v>0</v>
      </c>
      <c r="U75" s="2">
        <v>0</v>
      </c>
      <c r="V75" s="2"/>
      <c r="W75" s="2">
        <v>0</v>
      </c>
      <c r="X75" s="2">
        <v>0</v>
      </c>
      <c r="Y75" s="2">
        <f t="shared" si="2"/>
        <v>-0.18</v>
      </c>
    </row>
    <row r="76" spans="1:25" x14ac:dyDescent="0.3">
      <c r="A76" t="s">
        <v>545</v>
      </c>
      <c r="B76" s="2">
        <v>0.01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/>
      <c r="W76" s="2">
        <v>0</v>
      </c>
      <c r="X76" s="2">
        <v>0</v>
      </c>
      <c r="Y76" s="2">
        <f t="shared" si="2"/>
        <v>0.01</v>
      </c>
    </row>
    <row r="77" spans="1:25" x14ac:dyDescent="0.3">
      <c r="A77" t="s">
        <v>546</v>
      </c>
      <c r="B77" s="2">
        <v>0.05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/>
      <c r="W77" s="2">
        <v>0</v>
      </c>
      <c r="X77" s="2">
        <v>0</v>
      </c>
      <c r="Y77" s="2">
        <f t="shared" si="2"/>
        <v>0.05</v>
      </c>
    </row>
    <row r="78" spans="1:25" x14ac:dyDescent="0.3">
      <c r="A78" t="s">
        <v>547</v>
      </c>
      <c r="B78" s="2">
        <v>-228106.14</v>
      </c>
      <c r="C78" s="2">
        <v>0</v>
      </c>
      <c r="D78" s="2">
        <v>0.01</v>
      </c>
      <c r="E78" s="2">
        <v>0</v>
      </c>
      <c r="F78" s="2">
        <v>0</v>
      </c>
      <c r="G78" s="2">
        <v>-0.01</v>
      </c>
      <c r="H78" s="2">
        <v>-0.01</v>
      </c>
      <c r="I78" s="2">
        <v>0.02</v>
      </c>
      <c r="J78" s="2">
        <v>0</v>
      </c>
      <c r="K78" s="2">
        <v>0</v>
      </c>
      <c r="L78" s="2">
        <v>0</v>
      </c>
      <c r="M78" s="2">
        <v>0</v>
      </c>
      <c r="N78" s="2">
        <v>-0.01</v>
      </c>
      <c r="O78" s="2">
        <v>0</v>
      </c>
      <c r="P78" s="2">
        <v>0</v>
      </c>
      <c r="Q78" s="2">
        <v>0</v>
      </c>
      <c r="R78" s="2">
        <v>0.01</v>
      </c>
      <c r="S78" s="2">
        <v>0</v>
      </c>
      <c r="T78" s="2">
        <v>-0.01</v>
      </c>
      <c r="U78" s="2">
        <v>0.01</v>
      </c>
      <c r="V78" s="2"/>
      <c r="W78" s="2">
        <v>0</v>
      </c>
      <c r="X78" s="2">
        <v>0</v>
      </c>
      <c r="Y78" s="2">
        <f t="shared" si="2"/>
        <v>-228106.13000000003</v>
      </c>
    </row>
    <row r="79" spans="1:25" x14ac:dyDescent="0.3">
      <c r="A79" t="s">
        <v>548</v>
      </c>
      <c r="B79" s="2">
        <v>-448773.9</v>
      </c>
      <c r="C79" s="2">
        <v>0.01</v>
      </c>
      <c r="D79" s="2">
        <v>-0.02</v>
      </c>
      <c r="E79" s="2">
        <v>0.02</v>
      </c>
      <c r="F79" s="2">
        <v>0</v>
      </c>
      <c r="G79" s="2">
        <v>-0.02</v>
      </c>
      <c r="H79" s="2">
        <v>0.01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-0.01</v>
      </c>
      <c r="T79" s="2">
        <v>0</v>
      </c>
      <c r="U79" s="2">
        <v>0</v>
      </c>
      <c r="V79" s="2"/>
      <c r="W79" s="2">
        <v>0</v>
      </c>
      <c r="X79" s="2">
        <v>0</v>
      </c>
      <c r="Y79" s="2">
        <f t="shared" si="2"/>
        <v>-448773.91000000003</v>
      </c>
    </row>
    <row r="80" spans="1:25" x14ac:dyDescent="0.3">
      <c r="A80" t="s">
        <v>549</v>
      </c>
      <c r="B80" s="2">
        <v>-3439391.22</v>
      </c>
      <c r="C80" s="2">
        <v>0</v>
      </c>
      <c r="D80" s="2">
        <v>0.01</v>
      </c>
      <c r="E80" s="2">
        <v>-0.01</v>
      </c>
      <c r="F80" s="2">
        <v>0</v>
      </c>
      <c r="G80" s="2">
        <v>0.01</v>
      </c>
      <c r="H80" s="2">
        <v>0</v>
      </c>
      <c r="I80" s="2">
        <v>0</v>
      </c>
      <c r="J80" s="2">
        <v>0</v>
      </c>
      <c r="K80" s="2">
        <v>0</v>
      </c>
      <c r="L80" s="2">
        <v>0.01</v>
      </c>
      <c r="M80" s="2">
        <v>0</v>
      </c>
      <c r="N80" s="2">
        <v>-0.01</v>
      </c>
      <c r="O80" s="2">
        <v>0</v>
      </c>
      <c r="P80" s="2">
        <v>0</v>
      </c>
      <c r="Q80" s="2">
        <v>0</v>
      </c>
      <c r="R80" s="2">
        <v>0.01</v>
      </c>
      <c r="S80" s="2">
        <v>0.02</v>
      </c>
      <c r="T80" s="2">
        <v>-0.02</v>
      </c>
      <c r="U80" s="2">
        <v>0.01</v>
      </c>
      <c r="V80" s="2"/>
      <c r="W80" s="2">
        <v>0</v>
      </c>
      <c r="X80" s="2">
        <v>0</v>
      </c>
      <c r="Y80" s="2">
        <f t="shared" si="2"/>
        <v>-3439391.1900000009</v>
      </c>
    </row>
    <row r="81" spans="1:27" x14ac:dyDescent="0.3">
      <c r="A81" t="s">
        <v>550</v>
      </c>
      <c r="B81" s="2">
        <v>0</v>
      </c>
      <c r="C81" s="2">
        <v>-0.01</v>
      </c>
      <c r="D81" s="2">
        <v>0</v>
      </c>
      <c r="E81" s="2">
        <v>0.01</v>
      </c>
      <c r="F81" s="2">
        <v>0</v>
      </c>
      <c r="G81" s="2">
        <v>-0.02</v>
      </c>
      <c r="H81" s="2">
        <v>0.01</v>
      </c>
      <c r="I81" s="2">
        <v>0.01</v>
      </c>
      <c r="J81" s="2">
        <v>0</v>
      </c>
      <c r="K81" s="2">
        <v>0</v>
      </c>
      <c r="L81" s="2">
        <v>-0.01</v>
      </c>
      <c r="M81" s="2">
        <v>0.01</v>
      </c>
      <c r="N81" s="2">
        <v>-0.01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0.01</v>
      </c>
      <c r="U81" s="2">
        <v>0</v>
      </c>
      <c r="V81" s="2"/>
      <c r="W81" s="2">
        <v>0</v>
      </c>
      <c r="X81" s="2">
        <v>0</v>
      </c>
      <c r="Y81" s="2">
        <f t="shared" si="2"/>
        <v>0</v>
      </c>
    </row>
    <row r="82" spans="1:27" x14ac:dyDescent="0.3">
      <c r="A82" t="s">
        <v>551</v>
      </c>
      <c r="B82" s="2">
        <v>67454.67</v>
      </c>
      <c r="C82" s="2">
        <v>-361.73</v>
      </c>
      <c r="D82" s="2">
        <v>-361.7</v>
      </c>
      <c r="E82" s="2">
        <v>-361.72</v>
      </c>
      <c r="F82" s="2">
        <v>0</v>
      </c>
      <c r="G82" s="2">
        <v>-361.72</v>
      </c>
      <c r="H82" s="2">
        <v>-361.72</v>
      </c>
      <c r="I82" s="2">
        <v>-361.7</v>
      </c>
      <c r="J82" s="2">
        <v>0</v>
      </c>
      <c r="K82" s="2">
        <v>0</v>
      </c>
      <c r="L82" s="2">
        <v>-361.72</v>
      </c>
      <c r="M82" s="2">
        <v>-361.72</v>
      </c>
      <c r="N82" s="2">
        <v>-361.71</v>
      </c>
      <c r="O82" s="2">
        <v>0</v>
      </c>
      <c r="P82" s="2">
        <v>0</v>
      </c>
      <c r="Q82" s="2">
        <v>0</v>
      </c>
      <c r="R82" s="2">
        <v>-361.72</v>
      </c>
      <c r="S82" s="2">
        <v>0</v>
      </c>
      <c r="T82" s="2">
        <v>-361.71</v>
      </c>
      <c r="U82" s="2">
        <v>-361.73</v>
      </c>
      <c r="V82" s="2"/>
      <c r="W82" s="2">
        <v>0</v>
      </c>
      <c r="X82" s="2">
        <v>0</v>
      </c>
      <c r="Y82" s="2">
        <f t="shared" si="2"/>
        <v>63114.07</v>
      </c>
      <c r="Z82" s="5" t="s">
        <v>17</v>
      </c>
    </row>
    <row r="83" spans="1:27" x14ac:dyDescent="0.3">
      <c r="A83" t="s">
        <v>552</v>
      </c>
      <c r="B83" s="2">
        <v>0.05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/>
      <c r="W83" s="2">
        <v>0</v>
      </c>
      <c r="X83" s="2">
        <v>0</v>
      </c>
      <c r="Y83" s="2">
        <f t="shared" si="2"/>
        <v>0.05</v>
      </c>
      <c r="Z83" s="5" t="s">
        <v>17</v>
      </c>
    </row>
    <row r="84" spans="1:27" x14ac:dyDescent="0.3">
      <c r="A84" t="s">
        <v>553</v>
      </c>
      <c r="B84" s="2">
        <v>351799549.30000001</v>
      </c>
      <c r="C84" s="2">
        <v>-1024410.42</v>
      </c>
      <c r="D84" s="2">
        <v>-803268.48</v>
      </c>
      <c r="E84" s="2">
        <v>-917076.32</v>
      </c>
      <c r="F84" s="2">
        <v>0</v>
      </c>
      <c r="G84" s="2">
        <v>-914918.39</v>
      </c>
      <c r="H84" s="2">
        <v>-914918.39</v>
      </c>
      <c r="I84" s="2">
        <v>-854387.01</v>
      </c>
      <c r="J84" s="2">
        <v>0</v>
      </c>
      <c r="K84" s="2">
        <v>0</v>
      </c>
      <c r="L84" s="2">
        <v>-904829.84</v>
      </c>
      <c r="M84" s="2">
        <v>-893506</v>
      </c>
      <c r="N84" s="2">
        <v>-895021</v>
      </c>
      <c r="O84" s="2">
        <v>0</v>
      </c>
      <c r="P84" s="2">
        <v>0</v>
      </c>
      <c r="Q84" s="2">
        <v>0</v>
      </c>
      <c r="R84" s="2">
        <v>-902481.67</v>
      </c>
      <c r="S84" s="2">
        <v>355372</v>
      </c>
      <c r="T84" s="2">
        <v>-902481.67</v>
      </c>
      <c r="U84" s="2">
        <v>-1626132.67</v>
      </c>
      <c r="V84" s="2"/>
      <c r="W84" s="2">
        <v>0</v>
      </c>
      <c r="X84" s="2">
        <v>0</v>
      </c>
      <c r="Y84" s="2">
        <f t="shared" si="2"/>
        <v>340601489.44</v>
      </c>
      <c r="Z84" s="5" t="s">
        <v>17</v>
      </c>
      <c r="AA84" s="2"/>
    </row>
    <row r="85" spans="1:27" x14ac:dyDescent="0.3">
      <c r="A85" t="s">
        <v>554</v>
      </c>
      <c r="B85" s="2">
        <v>-21649156.420000002</v>
      </c>
      <c r="C85" s="2">
        <v>0</v>
      </c>
      <c r="D85" s="2">
        <v>0</v>
      </c>
      <c r="E85" s="2">
        <v>-0.01</v>
      </c>
      <c r="F85" s="2">
        <v>0</v>
      </c>
      <c r="G85" s="2">
        <v>0.01</v>
      </c>
      <c r="H85" s="2">
        <v>0</v>
      </c>
      <c r="I85" s="2">
        <v>0</v>
      </c>
      <c r="J85" s="2">
        <v>0</v>
      </c>
      <c r="K85" s="2">
        <v>0</v>
      </c>
      <c r="L85" s="2">
        <v>-0.01</v>
      </c>
      <c r="M85" s="2">
        <v>0</v>
      </c>
      <c r="N85" s="2">
        <v>0.01</v>
      </c>
      <c r="O85" s="2">
        <v>0</v>
      </c>
      <c r="P85" s="2">
        <v>0</v>
      </c>
      <c r="Q85" s="2">
        <v>0</v>
      </c>
      <c r="R85" s="2">
        <v>-0.01</v>
      </c>
      <c r="S85" s="2">
        <v>-0.01</v>
      </c>
      <c r="T85" s="2">
        <v>0.01</v>
      </c>
      <c r="U85" s="2">
        <v>-0.01</v>
      </c>
      <c r="V85" s="2"/>
      <c r="W85" s="2">
        <v>0</v>
      </c>
      <c r="X85" s="2">
        <v>0</v>
      </c>
      <c r="Y85" s="2">
        <f t="shared" si="2"/>
        <v>-21649156.440000005</v>
      </c>
    </row>
    <row r="86" spans="1:27" x14ac:dyDescent="0.3">
      <c r="A86" t="s">
        <v>555</v>
      </c>
      <c r="B86" s="2">
        <v>15915785.23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0.01</v>
      </c>
      <c r="M86" s="2">
        <v>-0.01</v>
      </c>
      <c r="N86" s="2">
        <v>0</v>
      </c>
      <c r="O86" s="2">
        <v>0</v>
      </c>
      <c r="P86" s="2">
        <v>0</v>
      </c>
      <c r="Q86" s="2">
        <v>0</v>
      </c>
      <c r="R86" s="2">
        <v>0.01</v>
      </c>
      <c r="S86" s="2">
        <v>0</v>
      </c>
      <c r="T86" s="2">
        <v>-0.01</v>
      </c>
      <c r="U86" s="2">
        <v>0</v>
      </c>
      <c r="V86" s="2"/>
      <c r="W86" s="2">
        <v>0</v>
      </c>
      <c r="X86" s="2">
        <v>0</v>
      </c>
      <c r="Y86" s="2">
        <f t="shared" si="2"/>
        <v>15915785.23</v>
      </c>
      <c r="Z86" s="5" t="s">
        <v>17</v>
      </c>
    </row>
    <row r="87" spans="1:27" x14ac:dyDescent="0.3">
      <c r="A87" t="s">
        <v>556</v>
      </c>
      <c r="B87" s="2">
        <v>-15629881.189999999</v>
      </c>
      <c r="C87" s="2">
        <v>0</v>
      </c>
      <c r="D87" s="2">
        <v>0</v>
      </c>
      <c r="E87" s="2">
        <v>0.01</v>
      </c>
      <c r="F87" s="2">
        <v>0</v>
      </c>
      <c r="G87" s="2">
        <v>-0.02</v>
      </c>
      <c r="H87" s="2">
        <v>0.01</v>
      </c>
      <c r="I87" s="2">
        <v>0.01</v>
      </c>
      <c r="J87" s="2">
        <v>0</v>
      </c>
      <c r="K87" s="2">
        <v>0</v>
      </c>
      <c r="L87" s="2">
        <v>-0.02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0.01</v>
      </c>
      <c r="S87" s="2">
        <v>0</v>
      </c>
      <c r="T87" s="2">
        <v>-0.01</v>
      </c>
      <c r="U87" s="2">
        <v>0</v>
      </c>
      <c r="V87" s="2"/>
      <c r="W87" s="2">
        <v>0</v>
      </c>
      <c r="X87" s="2">
        <v>0</v>
      </c>
      <c r="Y87" s="2">
        <f t="shared" si="2"/>
        <v>-15629881.199999999</v>
      </c>
      <c r="Z87" s="5"/>
    </row>
    <row r="88" spans="1:27" x14ac:dyDescent="0.3">
      <c r="A88" t="s">
        <v>557</v>
      </c>
      <c r="B88" s="2">
        <v>0</v>
      </c>
      <c r="C88" s="2">
        <v>-0.02</v>
      </c>
      <c r="D88" s="2">
        <v>0.01</v>
      </c>
      <c r="E88" s="2">
        <v>0</v>
      </c>
      <c r="F88" s="2">
        <v>0</v>
      </c>
      <c r="G88" s="2">
        <v>-0.01</v>
      </c>
      <c r="H88" s="2">
        <v>0.02</v>
      </c>
      <c r="I88" s="2">
        <v>-0.01</v>
      </c>
      <c r="J88" s="2">
        <v>0</v>
      </c>
      <c r="K88" s="2">
        <v>0</v>
      </c>
      <c r="L88" s="2">
        <v>0</v>
      </c>
      <c r="M88" s="2">
        <v>0.01</v>
      </c>
      <c r="N88" s="2">
        <v>0.01</v>
      </c>
      <c r="O88" s="2">
        <v>0</v>
      </c>
      <c r="P88" s="2">
        <v>0</v>
      </c>
      <c r="Q88" s="2">
        <v>0</v>
      </c>
      <c r="R88" s="2">
        <v>-0.03</v>
      </c>
      <c r="S88" s="2">
        <v>0</v>
      </c>
      <c r="T88" s="2">
        <v>0.02</v>
      </c>
      <c r="U88" s="2">
        <v>-0.01</v>
      </c>
      <c r="V88" s="2"/>
      <c r="W88" s="2">
        <v>0</v>
      </c>
      <c r="X88" s="2">
        <v>0</v>
      </c>
      <c r="Y88" s="2">
        <f t="shared" si="2"/>
        <v>-9.9999999999999967E-3</v>
      </c>
      <c r="AA88" s="2"/>
    </row>
    <row r="89" spans="1:27" x14ac:dyDescent="0.3">
      <c r="A89" t="s">
        <v>558</v>
      </c>
      <c r="B89" s="2">
        <v>-27759511.050000001</v>
      </c>
      <c r="C89" s="2">
        <v>-0.01</v>
      </c>
      <c r="D89" s="2">
        <v>0.01</v>
      </c>
      <c r="E89" s="2">
        <v>0</v>
      </c>
      <c r="F89" s="2">
        <v>0</v>
      </c>
      <c r="G89" s="2">
        <v>0</v>
      </c>
      <c r="H89" s="2">
        <v>-0.01</v>
      </c>
      <c r="I89" s="2">
        <v>0.01</v>
      </c>
      <c r="J89" s="2">
        <v>0</v>
      </c>
      <c r="K89" s="2">
        <v>-0.02</v>
      </c>
      <c r="L89" s="2">
        <v>0.01</v>
      </c>
      <c r="M89" s="2">
        <v>0.01</v>
      </c>
      <c r="N89" s="2">
        <v>-0.01</v>
      </c>
      <c r="O89" s="2">
        <v>0</v>
      </c>
      <c r="P89" s="2">
        <v>0</v>
      </c>
      <c r="Q89" s="2">
        <v>0</v>
      </c>
      <c r="R89" s="2">
        <v>0</v>
      </c>
      <c r="S89" s="2">
        <v>-0.01</v>
      </c>
      <c r="T89" s="2">
        <v>0.01</v>
      </c>
      <c r="U89" s="2">
        <v>0</v>
      </c>
      <c r="V89" s="2"/>
      <c r="W89" s="2">
        <v>0</v>
      </c>
      <c r="X89" s="2">
        <v>0</v>
      </c>
      <c r="Y89" s="2">
        <f t="shared" si="2"/>
        <v>-27759511.059999999</v>
      </c>
      <c r="AA89" s="2"/>
    </row>
    <row r="90" spans="1:27" x14ac:dyDescent="0.3">
      <c r="A90" t="s">
        <v>559</v>
      </c>
      <c r="B90" s="2">
        <v>-16662332.32</v>
      </c>
      <c r="C90" s="2">
        <v>0.01</v>
      </c>
      <c r="D90" s="2">
        <v>-0.01</v>
      </c>
      <c r="E90" s="2">
        <v>0</v>
      </c>
      <c r="F90" s="2">
        <v>0</v>
      </c>
      <c r="G90" s="2">
        <v>0</v>
      </c>
      <c r="H90" s="2">
        <v>0</v>
      </c>
      <c r="I90" s="2">
        <v>0.01</v>
      </c>
      <c r="J90" s="2">
        <v>0</v>
      </c>
      <c r="K90" s="2">
        <v>0</v>
      </c>
      <c r="L90" s="2">
        <v>-0.02</v>
      </c>
      <c r="M90" s="2">
        <v>0.02</v>
      </c>
      <c r="N90" s="2">
        <v>0</v>
      </c>
      <c r="O90" s="2">
        <v>0</v>
      </c>
      <c r="P90" s="2">
        <v>0</v>
      </c>
      <c r="Q90" s="2">
        <v>0</v>
      </c>
      <c r="R90" s="2">
        <v>0.01</v>
      </c>
      <c r="S90" s="2">
        <v>0</v>
      </c>
      <c r="T90" s="2">
        <v>-0.02</v>
      </c>
      <c r="U90" s="2">
        <v>0</v>
      </c>
      <c r="V90" s="2"/>
      <c r="W90" s="2">
        <v>0</v>
      </c>
      <c r="X90" s="2">
        <v>0</v>
      </c>
      <c r="Y90" s="2">
        <f t="shared" si="2"/>
        <v>-16662332.32</v>
      </c>
    </row>
    <row r="91" spans="1:27" x14ac:dyDescent="0.3">
      <c r="A91" t="s">
        <v>560</v>
      </c>
      <c r="B91" s="2">
        <v>-1301.3699999999999</v>
      </c>
      <c r="C91" s="2">
        <v>245.74</v>
      </c>
      <c r="D91" s="2">
        <v>6.05</v>
      </c>
      <c r="E91" s="2">
        <v>125.85</v>
      </c>
      <c r="F91" s="2">
        <v>0</v>
      </c>
      <c r="G91" s="2">
        <v>125.86</v>
      </c>
      <c r="H91" s="2">
        <v>125.85</v>
      </c>
      <c r="I91" s="2">
        <v>125.87</v>
      </c>
      <c r="J91" s="2">
        <v>0</v>
      </c>
      <c r="K91" s="2">
        <v>0</v>
      </c>
      <c r="L91" s="2">
        <v>125.85</v>
      </c>
      <c r="M91" s="2">
        <v>125.87</v>
      </c>
      <c r="N91" s="2">
        <v>125.85</v>
      </c>
      <c r="O91" s="2">
        <v>0</v>
      </c>
      <c r="P91" s="2">
        <v>0</v>
      </c>
      <c r="Q91" s="2">
        <v>0</v>
      </c>
      <c r="R91" s="2">
        <v>125.85</v>
      </c>
      <c r="S91" s="2">
        <v>0</v>
      </c>
      <c r="T91" s="2">
        <v>6</v>
      </c>
      <c r="U91" s="2">
        <v>6.34</v>
      </c>
      <c r="V91" s="2"/>
      <c r="W91" s="2">
        <v>0</v>
      </c>
      <c r="X91" s="2">
        <v>0</v>
      </c>
      <c r="Y91" s="2">
        <f t="shared" si="2"/>
        <v>-30.389999999999848</v>
      </c>
    </row>
    <row r="92" spans="1:27" x14ac:dyDescent="0.3">
      <c r="A92" t="s">
        <v>561</v>
      </c>
      <c r="B92" s="2">
        <v>109262247.86</v>
      </c>
      <c r="C92" s="2">
        <v>-1122566.18</v>
      </c>
      <c r="D92" s="2">
        <v>-1131494.68</v>
      </c>
      <c r="E92" s="2">
        <v>-1226540.42</v>
      </c>
      <c r="F92" s="2">
        <v>0</v>
      </c>
      <c r="G92" s="2">
        <v>-1118356.32</v>
      </c>
      <c r="H92" s="2">
        <v>-1117225.49</v>
      </c>
      <c r="I92" s="2">
        <v>-1098567.6399999999</v>
      </c>
      <c r="J92" s="2">
        <v>0</v>
      </c>
      <c r="K92" s="2">
        <v>0</v>
      </c>
      <c r="L92" s="2">
        <v>-1111150.3799999999</v>
      </c>
      <c r="M92" s="2">
        <v>-1112365.6499999999</v>
      </c>
      <c r="N92" s="2">
        <v>-1105410.8600000001</v>
      </c>
      <c r="O92" s="2">
        <v>0</v>
      </c>
      <c r="P92" s="2">
        <v>-357676.79999999999</v>
      </c>
      <c r="Q92" s="2">
        <v>-30033.7</v>
      </c>
      <c r="R92" s="2">
        <v>-1104887.3999999999</v>
      </c>
      <c r="S92" s="2">
        <v>-129123.44</v>
      </c>
      <c r="T92" s="2">
        <v>-1137282.1200000001</v>
      </c>
      <c r="U92" s="2">
        <v>-1102882.27</v>
      </c>
      <c r="V92" s="2"/>
      <c r="W92" s="2">
        <v>0</v>
      </c>
      <c r="X92" s="2">
        <v>0</v>
      </c>
      <c r="Y92" s="2">
        <f t="shared" si="2"/>
        <v>95256684.50999999</v>
      </c>
    </row>
    <row r="93" spans="1:27" x14ac:dyDescent="0.3">
      <c r="A93" t="s">
        <v>562</v>
      </c>
      <c r="B93" s="2">
        <v>-4783630.2300000004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0.01</v>
      </c>
      <c r="O93" s="2">
        <v>0</v>
      </c>
      <c r="P93" s="2">
        <v>0</v>
      </c>
      <c r="Q93" s="2">
        <v>0</v>
      </c>
      <c r="R93" s="2">
        <v>-0.01</v>
      </c>
      <c r="S93" s="2">
        <v>0.02</v>
      </c>
      <c r="T93" s="2">
        <v>0</v>
      </c>
      <c r="U93" s="2">
        <v>0.01</v>
      </c>
      <c r="V93" s="2"/>
      <c r="W93" s="2">
        <v>0</v>
      </c>
      <c r="X93" s="2">
        <v>0</v>
      </c>
      <c r="Y93" s="2">
        <f t="shared" si="2"/>
        <v>-4783630.2000000011</v>
      </c>
    </row>
    <row r="94" spans="1:27" x14ac:dyDescent="0.3">
      <c r="A94" t="s">
        <v>563</v>
      </c>
      <c r="B94" s="2">
        <v>347574.88</v>
      </c>
      <c r="C94" s="2">
        <v>0</v>
      </c>
      <c r="D94" s="2">
        <v>-0.01</v>
      </c>
      <c r="E94" s="2">
        <v>0.01</v>
      </c>
      <c r="F94" s="2">
        <v>0</v>
      </c>
      <c r="G94" s="2">
        <v>0</v>
      </c>
      <c r="H94" s="2">
        <v>-0.01</v>
      </c>
      <c r="I94" s="2">
        <v>0</v>
      </c>
      <c r="J94" s="2">
        <v>0</v>
      </c>
      <c r="K94" s="2">
        <v>0</v>
      </c>
      <c r="L94" s="2">
        <v>-0.01</v>
      </c>
      <c r="M94" s="2">
        <v>0.01</v>
      </c>
      <c r="N94" s="2">
        <v>0</v>
      </c>
      <c r="O94" s="2">
        <v>0</v>
      </c>
      <c r="P94" s="2">
        <v>0</v>
      </c>
      <c r="Q94" s="2">
        <v>0</v>
      </c>
      <c r="R94" s="2">
        <v>0.01</v>
      </c>
      <c r="S94" s="2">
        <v>-0.01</v>
      </c>
      <c r="T94" s="2">
        <v>0</v>
      </c>
      <c r="U94" s="2">
        <v>-0.01</v>
      </c>
      <c r="V94" s="2"/>
      <c r="W94" s="2">
        <v>0</v>
      </c>
      <c r="X94" s="2">
        <v>0</v>
      </c>
      <c r="Y94" s="2">
        <f t="shared" si="2"/>
        <v>347574.86</v>
      </c>
    </row>
    <row r="95" spans="1:27" x14ac:dyDescent="0.3">
      <c r="A95" t="s">
        <v>564</v>
      </c>
      <c r="B95" s="2">
        <v>0.02</v>
      </c>
      <c r="C95" s="2">
        <v>0</v>
      </c>
      <c r="D95" s="2">
        <v>0</v>
      </c>
      <c r="E95" s="2">
        <v>0</v>
      </c>
      <c r="F95" s="2">
        <v>2592089.8199999998</v>
      </c>
      <c r="G95" s="2">
        <v>0</v>
      </c>
      <c r="H95" s="2">
        <v>0</v>
      </c>
      <c r="I95" s="2">
        <v>0</v>
      </c>
      <c r="J95" s="2">
        <v>-2246713.19</v>
      </c>
      <c r="K95" s="2">
        <v>0</v>
      </c>
      <c r="L95" s="2">
        <v>0</v>
      </c>
      <c r="M95" s="2">
        <v>0</v>
      </c>
      <c r="N95" s="2">
        <v>0</v>
      </c>
      <c r="O95" s="2">
        <v>-6015186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/>
      <c r="W95" s="2">
        <v>5669809.3700000001</v>
      </c>
      <c r="X95" s="2">
        <v>0</v>
      </c>
      <c r="Y95" s="2">
        <f t="shared" si="2"/>
        <v>2.0000000484287739E-2</v>
      </c>
    </row>
    <row r="96" spans="1:27" x14ac:dyDescent="0.3">
      <c r="A96" s="160" t="s">
        <v>565</v>
      </c>
      <c r="B96" s="161">
        <f>SUM(B9:B95)</f>
        <v>331418115.64999998</v>
      </c>
      <c r="C96" s="161">
        <f t="shared" ref="C96:Y96" si="3">SUM(C9:C95)</f>
        <v>-2203499.94</v>
      </c>
      <c r="D96" s="161">
        <f t="shared" si="3"/>
        <v>-1982357.97</v>
      </c>
      <c r="E96" s="161">
        <f t="shared" si="3"/>
        <v>-2096165.8</v>
      </c>
      <c r="F96" s="161">
        <f t="shared" si="3"/>
        <v>2592089.8199999998</v>
      </c>
      <c r="G96" s="161">
        <f t="shared" si="3"/>
        <v>-2272025.3899999997</v>
      </c>
      <c r="H96" s="161">
        <f t="shared" si="3"/>
        <v>-2094007.8800000001</v>
      </c>
      <c r="I96" s="161">
        <f t="shared" si="3"/>
        <v>-2033476.5</v>
      </c>
      <c r="J96" s="161">
        <f t="shared" si="3"/>
        <v>-2246713.19</v>
      </c>
      <c r="K96" s="161">
        <f t="shared" si="3"/>
        <v>-0.02</v>
      </c>
      <c r="L96" s="161">
        <f t="shared" si="3"/>
        <v>-2083919.3699999999</v>
      </c>
      <c r="M96" s="161">
        <f t="shared" si="3"/>
        <v>-2072595.4999999998</v>
      </c>
      <c r="N96" s="161">
        <f t="shared" si="3"/>
        <v>-2074110.49</v>
      </c>
      <c r="O96" s="161">
        <f t="shared" si="3"/>
        <v>-6015186</v>
      </c>
      <c r="P96" s="161">
        <f t="shared" si="3"/>
        <v>0</v>
      </c>
      <c r="Q96" s="161">
        <f t="shared" si="3"/>
        <v>0</v>
      </c>
      <c r="R96" s="161">
        <f t="shared" si="3"/>
        <v>-2081571.1600000001</v>
      </c>
      <c r="S96" s="161">
        <f t="shared" si="3"/>
        <v>355371.99</v>
      </c>
      <c r="T96" s="161">
        <f t="shared" si="3"/>
        <v>-2081571.1800000002</v>
      </c>
      <c r="U96" s="161">
        <f t="shared" si="3"/>
        <v>-2805222.21</v>
      </c>
      <c r="V96" s="161"/>
      <c r="W96" s="161">
        <f t="shared" si="3"/>
        <v>5669809.3700000001</v>
      </c>
      <c r="X96" s="161">
        <f t="shared" si="3"/>
        <v>0</v>
      </c>
      <c r="Y96" s="161">
        <f t="shared" si="3"/>
        <v>305892964.23000008</v>
      </c>
    </row>
    <row r="97" spans="1:27" x14ac:dyDescent="0.3">
      <c r="A97" s="162" t="s">
        <v>476</v>
      </c>
    </row>
    <row r="98" spans="1:27" x14ac:dyDescent="0.3">
      <c r="A98" s="160" t="s">
        <v>391</v>
      </c>
      <c r="B98" s="161">
        <f>B96</f>
        <v>331418115.64999998</v>
      </c>
      <c r="C98" s="161">
        <f t="shared" ref="C98:Y98" si="4">C96</f>
        <v>-2203499.94</v>
      </c>
      <c r="D98" s="161">
        <f t="shared" si="4"/>
        <v>-1982357.97</v>
      </c>
      <c r="E98" s="161">
        <f t="shared" si="4"/>
        <v>-2096165.8</v>
      </c>
      <c r="F98" s="161">
        <f t="shared" si="4"/>
        <v>2592089.8199999998</v>
      </c>
      <c r="G98" s="161">
        <f t="shared" si="4"/>
        <v>-2272025.3899999997</v>
      </c>
      <c r="H98" s="161">
        <f t="shared" si="4"/>
        <v>-2094007.8800000001</v>
      </c>
      <c r="I98" s="161">
        <f t="shared" si="4"/>
        <v>-2033476.5</v>
      </c>
      <c r="J98" s="161">
        <f t="shared" si="4"/>
        <v>-2246713.19</v>
      </c>
      <c r="K98" s="161">
        <f t="shared" si="4"/>
        <v>-0.02</v>
      </c>
      <c r="L98" s="161">
        <f t="shared" si="4"/>
        <v>-2083919.3699999999</v>
      </c>
      <c r="M98" s="161">
        <f t="shared" si="4"/>
        <v>-2072595.4999999998</v>
      </c>
      <c r="N98" s="161">
        <f t="shared" si="4"/>
        <v>-2074110.49</v>
      </c>
      <c r="O98" s="161">
        <f t="shared" si="4"/>
        <v>-6015186</v>
      </c>
      <c r="P98" s="161">
        <f t="shared" si="4"/>
        <v>0</v>
      </c>
      <c r="Q98" s="161">
        <f t="shared" si="4"/>
        <v>0</v>
      </c>
      <c r="R98" s="161">
        <f t="shared" si="4"/>
        <v>-2081571.1600000001</v>
      </c>
      <c r="S98" s="161">
        <f t="shared" si="4"/>
        <v>355371.99</v>
      </c>
      <c r="T98" s="161">
        <f t="shared" si="4"/>
        <v>-2081571.1800000002</v>
      </c>
      <c r="U98" s="161">
        <f t="shared" si="4"/>
        <v>-2805222.21</v>
      </c>
      <c r="V98" s="161"/>
      <c r="W98" s="161">
        <f t="shared" si="4"/>
        <v>5669809.3700000001</v>
      </c>
      <c r="X98" s="161">
        <f t="shared" si="4"/>
        <v>0</v>
      </c>
      <c r="Y98" s="161">
        <f t="shared" si="4"/>
        <v>305892964.23000008</v>
      </c>
      <c r="Z98" s="2"/>
    </row>
    <row r="99" spans="1:27" x14ac:dyDescent="0.3">
      <c r="A99" s="162" t="s">
        <v>476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7" x14ac:dyDescent="0.3">
      <c r="A100" t="s">
        <v>566</v>
      </c>
      <c r="B100" s="2"/>
      <c r="W100" s="20"/>
      <c r="X100" s="20"/>
    </row>
    <row r="101" spans="1:27" x14ac:dyDescent="0.3">
      <c r="A101" s="31" t="s">
        <v>221</v>
      </c>
      <c r="B101" s="79">
        <v>0</v>
      </c>
      <c r="W101" s="20"/>
      <c r="X101" s="20"/>
      <c r="Y101" s="79">
        <v>178017.48</v>
      </c>
      <c r="Z101" s="32" t="s">
        <v>221</v>
      </c>
    </row>
    <row r="102" spans="1:27" x14ac:dyDescent="0.3">
      <c r="A102" s="31" t="s">
        <v>567</v>
      </c>
      <c r="B102" s="79">
        <v>17429</v>
      </c>
      <c r="W102" s="20"/>
      <c r="X102" s="20"/>
      <c r="Y102" s="172">
        <v>17429</v>
      </c>
      <c r="Z102" s="32" t="s">
        <v>567</v>
      </c>
    </row>
    <row r="103" spans="1:27" x14ac:dyDescent="0.3">
      <c r="A103" s="31" t="s">
        <v>222</v>
      </c>
      <c r="B103" s="79">
        <v>-6352163.0099999998</v>
      </c>
      <c r="C103" s="60"/>
      <c r="W103" s="20"/>
      <c r="X103" s="20"/>
      <c r="Y103" s="79">
        <v>-6352163.0099999998</v>
      </c>
      <c r="Z103" t="s">
        <v>222</v>
      </c>
      <c r="AA103" s="1"/>
    </row>
    <row r="104" spans="1:27" x14ac:dyDescent="0.3">
      <c r="A104" s="31" t="s">
        <v>223</v>
      </c>
      <c r="B104" s="79">
        <v>16202161.232123999</v>
      </c>
      <c r="N104" s="2"/>
      <c r="O104" s="2"/>
      <c r="P104" s="2"/>
      <c r="Q104" s="2"/>
      <c r="R104" s="2"/>
      <c r="W104" s="20"/>
      <c r="X104" s="20"/>
      <c r="Y104" s="79">
        <v>16202161.232123999</v>
      </c>
      <c r="Z104" t="s">
        <v>223</v>
      </c>
      <c r="AA104" s="1"/>
    </row>
    <row r="105" spans="1:27" ht="15" thickBot="1" x14ac:dyDescent="0.35">
      <c r="A105" s="31" t="s">
        <v>568</v>
      </c>
      <c r="B105" s="78">
        <f>+B98+B101+B103+B104+B102</f>
        <v>341285542.87212396</v>
      </c>
      <c r="W105" s="20"/>
      <c r="X105" s="20"/>
      <c r="Y105" s="78">
        <f>+Y98+Y101+Y103+Y104+Y102</f>
        <v>315938408.93212408</v>
      </c>
    </row>
    <row r="106" spans="1:27" ht="15" thickTop="1" x14ac:dyDescent="0.3">
      <c r="B106" s="60"/>
      <c r="W106" s="20"/>
      <c r="X106" s="20"/>
      <c r="Y106" s="60"/>
    </row>
    <row r="107" spans="1:27" x14ac:dyDescent="0.3">
      <c r="W107" s="20"/>
      <c r="X107" s="20"/>
      <c r="Y107" s="60"/>
    </row>
    <row r="108" spans="1:27" x14ac:dyDescent="0.3">
      <c r="W108" s="20"/>
      <c r="X108" s="20"/>
      <c r="Y108" s="60"/>
    </row>
    <row r="109" spans="1:27" x14ac:dyDescent="0.3">
      <c r="S109" s="20"/>
      <c r="T109" s="20"/>
      <c r="U109" s="20"/>
      <c r="V109" s="20"/>
      <c r="W109" s="20"/>
      <c r="X109" s="20"/>
      <c r="Y109" s="1"/>
    </row>
    <row r="110" spans="1:27" x14ac:dyDescent="0.3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5"/>
    </row>
    <row r="111" spans="1:27" x14ac:dyDescent="0.3">
      <c r="S111" s="20"/>
      <c r="T111" s="20"/>
      <c r="U111" s="20"/>
      <c r="V111" s="20"/>
      <c r="W111" s="20"/>
      <c r="X111" s="20"/>
      <c r="Y111" s="20"/>
    </row>
    <row r="112" spans="1:27" x14ac:dyDescent="0.3">
      <c r="Y112" s="2"/>
    </row>
    <row r="113" spans="25:25" x14ac:dyDescent="0.3">
      <c r="Y113" s="29"/>
    </row>
  </sheetData>
  <pageMargins left="0.7" right="0.7" top="0.75" bottom="0.75" header="0.3" footer="0.3"/>
  <pageSetup paperSize="5" scale="45" orientation="landscape" r:id="rId1"/>
  <customProperties>
    <customPr name="EpmWorksheetKeyString_GUID" r:id="rId2"/>
  </customProperties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7C4D6-6D94-4BD0-9C65-8FBD28A769CE}">
  <sheetPr>
    <tabColor rgb="FFCCCCFF"/>
  </sheetPr>
  <dimension ref="A1:U113"/>
  <sheetViews>
    <sheetView zoomScale="85" zoomScaleNormal="85" workbookViewId="0">
      <pane xSplit="1" ySplit="7" topLeftCell="N93" activePane="bottomRight" state="frozen"/>
      <selection pane="topRight" activeCell="W100" sqref="W100"/>
      <selection pane="bottomLeft" activeCell="W100" sqref="W100"/>
      <selection pane="bottomRight" activeCell="S105" sqref="S105"/>
    </sheetView>
  </sheetViews>
  <sheetFormatPr defaultRowHeight="14.4" x14ac:dyDescent="0.3"/>
  <cols>
    <col min="1" max="1" width="47.5546875" bestFit="1" customWidth="1"/>
    <col min="2" max="2" width="15.44140625" bestFit="1" customWidth="1"/>
    <col min="3" max="5" width="14" bestFit="1" customWidth="1"/>
    <col min="6" max="6" width="13.33203125" bestFit="1" customWidth="1"/>
    <col min="7" max="9" width="14" bestFit="1" customWidth="1"/>
    <col min="10" max="10" width="12.44140625" bestFit="1" customWidth="1"/>
    <col min="11" max="17" width="14" bestFit="1" customWidth="1"/>
    <col min="18" max="18" width="13.33203125" bestFit="1" customWidth="1"/>
    <col min="19" max="19" width="18.33203125" bestFit="1" customWidth="1"/>
    <col min="20" max="20" width="27.33203125" bestFit="1" customWidth="1"/>
    <col min="21" max="21" width="13.6640625" bestFit="1" customWidth="1"/>
  </cols>
  <sheetData>
    <row r="1" spans="1:20" x14ac:dyDescent="0.3">
      <c r="A1" s="5" t="s">
        <v>380</v>
      </c>
      <c r="B1" s="5" t="s">
        <v>451</v>
      </c>
      <c r="C1" s="5" t="s">
        <v>452</v>
      </c>
      <c r="D1" s="5" t="s">
        <v>453</v>
      </c>
      <c r="E1" s="5" t="s">
        <v>454</v>
      </c>
      <c r="F1" s="5" t="s">
        <v>455</v>
      </c>
      <c r="G1" s="5" t="s">
        <v>456</v>
      </c>
      <c r="H1" s="5" t="s">
        <v>457</v>
      </c>
      <c r="I1" s="5" t="s">
        <v>458</v>
      </c>
      <c r="J1" s="5" t="s">
        <v>459</v>
      </c>
      <c r="K1" s="5" t="s">
        <v>461</v>
      </c>
      <c r="L1" s="5" t="s">
        <v>462</v>
      </c>
      <c r="M1" s="5" t="s">
        <v>463</v>
      </c>
      <c r="N1" s="5" t="s">
        <v>464</v>
      </c>
      <c r="O1" s="5" t="s">
        <v>467</v>
      </c>
      <c r="P1" s="5" t="s">
        <v>469</v>
      </c>
      <c r="Q1" s="5" t="s">
        <v>470</v>
      </c>
      <c r="R1" s="5" t="s">
        <v>471</v>
      </c>
      <c r="S1" s="5" t="s">
        <v>473</v>
      </c>
    </row>
    <row r="2" spans="1:20" x14ac:dyDescent="0.3">
      <c r="A2" s="157" t="s">
        <v>474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20" x14ac:dyDescent="0.3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</row>
    <row r="4" spans="1:20" x14ac:dyDescent="0.3">
      <c r="A4" s="157" t="s">
        <v>225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</row>
    <row r="5" spans="1:20" x14ac:dyDescent="0.3">
      <c r="A5" s="157" t="s">
        <v>50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</row>
    <row r="6" spans="1:20" x14ac:dyDescent="0.3">
      <c r="A6" s="157" t="s">
        <v>475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</row>
    <row r="7" spans="1:20" x14ac:dyDescent="0.3">
      <c r="A7" s="159" t="s">
        <v>476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20" x14ac:dyDescent="0.3">
      <c r="A8" t="s">
        <v>59</v>
      </c>
    </row>
    <row r="9" spans="1:20" x14ac:dyDescent="0.3">
      <c r="A9" s="1" t="s">
        <v>477</v>
      </c>
      <c r="B9" s="1">
        <v>-0.02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2">
        <f t="shared" ref="S9:S41" si="0">SUM(B9:R9)</f>
        <v>-0.02</v>
      </c>
    </row>
    <row r="10" spans="1:20" x14ac:dyDescent="0.3">
      <c r="A10" s="1" t="s">
        <v>478</v>
      </c>
      <c r="B10" s="1">
        <v>-4721456.08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2">
        <f t="shared" si="0"/>
        <v>-4721456.08</v>
      </c>
    </row>
    <row r="11" spans="1:20" x14ac:dyDescent="0.3">
      <c r="A11" s="1" t="s">
        <v>479</v>
      </c>
      <c r="B11" s="1">
        <v>-0.01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2">
        <f t="shared" si="0"/>
        <v>-0.01</v>
      </c>
    </row>
    <row r="12" spans="1:20" x14ac:dyDescent="0.3">
      <c r="A12" s="1" t="s">
        <v>480</v>
      </c>
      <c r="B12" s="1">
        <v>0.01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2">
        <f t="shared" si="0"/>
        <v>0.01</v>
      </c>
    </row>
    <row r="13" spans="1:20" x14ac:dyDescent="0.3">
      <c r="A13" s="1" t="s">
        <v>481</v>
      </c>
      <c r="B13" s="1">
        <v>833763.16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2">
        <f t="shared" si="0"/>
        <v>833763.16</v>
      </c>
    </row>
    <row r="14" spans="1:20" x14ac:dyDescent="0.3">
      <c r="A14" s="1" t="s">
        <v>482</v>
      </c>
      <c r="B14" s="1">
        <v>-0.01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2">
        <f t="shared" si="0"/>
        <v>-0.01</v>
      </c>
    </row>
    <row r="15" spans="1:20" x14ac:dyDescent="0.3">
      <c r="A15" s="1" t="s">
        <v>483</v>
      </c>
      <c r="B15" s="1">
        <v>0.02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2">
        <f t="shared" si="0"/>
        <v>0.02</v>
      </c>
      <c r="T15" s="6" t="s">
        <v>484</v>
      </c>
    </row>
    <row r="16" spans="1:20" x14ac:dyDescent="0.3">
      <c r="A16" s="1" t="s">
        <v>485</v>
      </c>
      <c r="B16" s="1">
        <v>-0.01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2">
        <f t="shared" si="0"/>
        <v>-0.01</v>
      </c>
      <c r="T16" s="77"/>
    </row>
    <row r="17" spans="1:19" x14ac:dyDescent="0.3">
      <c r="A17" s="1" t="s">
        <v>486</v>
      </c>
      <c r="B17" s="1">
        <v>-10753679.4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2">
        <f t="shared" si="0"/>
        <v>-10753679.4</v>
      </c>
    </row>
    <row r="18" spans="1:19" x14ac:dyDescent="0.3">
      <c r="A18" s="1" t="s">
        <v>487</v>
      </c>
      <c r="B18" s="1">
        <v>0.01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2">
        <f t="shared" si="0"/>
        <v>0.01</v>
      </c>
    </row>
    <row r="19" spans="1:19" x14ac:dyDescent="0.3">
      <c r="A19" s="1" t="s">
        <v>488</v>
      </c>
      <c r="B19" s="1">
        <v>-1274593.58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2">
        <f t="shared" si="0"/>
        <v>-1274593.58</v>
      </c>
    </row>
    <row r="20" spans="1:19" x14ac:dyDescent="0.3">
      <c r="A20" s="1" t="s">
        <v>489</v>
      </c>
      <c r="B20" s="1">
        <v>-0.01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2">
        <f t="shared" si="0"/>
        <v>-0.01</v>
      </c>
    </row>
    <row r="21" spans="1:19" x14ac:dyDescent="0.3">
      <c r="A21" s="1" t="s">
        <v>490</v>
      </c>
      <c r="B21" s="1">
        <v>-2623153.23</v>
      </c>
      <c r="C21" s="1">
        <v>0.01</v>
      </c>
      <c r="D21" s="1">
        <v>0</v>
      </c>
      <c r="E21" s="1">
        <v>-0.01</v>
      </c>
      <c r="F21" s="1">
        <v>0</v>
      </c>
      <c r="G21" s="1">
        <v>0</v>
      </c>
      <c r="H21" s="1">
        <v>0</v>
      </c>
      <c r="I21" s="1">
        <v>0.01</v>
      </c>
      <c r="J21" s="1">
        <v>0</v>
      </c>
      <c r="K21" s="1">
        <v>0</v>
      </c>
      <c r="L21" s="1">
        <v>-0.01</v>
      </c>
      <c r="M21" s="1">
        <v>-0.01</v>
      </c>
      <c r="N21" s="1">
        <v>0</v>
      </c>
      <c r="O21" s="1">
        <v>0.01</v>
      </c>
      <c r="P21" s="1">
        <v>0.01</v>
      </c>
      <c r="Q21" s="1">
        <v>-0.01</v>
      </c>
      <c r="R21" s="1">
        <v>0</v>
      </c>
      <c r="S21" s="2">
        <f t="shared" si="0"/>
        <v>-2623153.23</v>
      </c>
    </row>
    <row r="22" spans="1:19" x14ac:dyDescent="0.3">
      <c r="A22" s="1" t="s">
        <v>491</v>
      </c>
      <c r="B22" s="1">
        <v>-27180099.800000001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2">
        <f t="shared" si="0"/>
        <v>-27180099.800000001</v>
      </c>
    </row>
    <row r="23" spans="1:19" x14ac:dyDescent="0.3">
      <c r="A23" s="1" t="s">
        <v>492</v>
      </c>
      <c r="B23" s="1">
        <v>2067745.41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2">
        <f t="shared" si="0"/>
        <v>2067745.41</v>
      </c>
    </row>
    <row r="24" spans="1:19" x14ac:dyDescent="0.3">
      <c r="A24" s="1" t="s">
        <v>493</v>
      </c>
      <c r="B24" s="1">
        <v>-412713.56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2">
        <f t="shared" si="0"/>
        <v>-412713.56</v>
      </c>
    </row>
    <row r="25" spans="1:19" x14ac:dyDescent="0.3">
      <c r="A25" s="1" t="s">
        <v>494</v>
      </c>
      <c r="B25" s="1">
        <v>-1153988.47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2">
        <f t="shared" si="0"/>
        <v>-1153988.47</v>
      </c>
    </row>
    <row r="26" spans="1:19" x14ac:dyDescent="0.3">
      <c r="A26" s="1" t="s">
        <v>495</v>
      </c>
      <c r="B26" s="1">
        <v>1153988.47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2">
        <f t="shared" si="0"/>
        <v>1153988.47</v>
      </c>
    </row>
    <row r="27" spans="1:19" x14ac:dyDescent="0.3">
      <c r="A27" s="1" t="s">
        <v>496</v>
      </c>
      <c r="B27" s="1">
        <v>-3722785.6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2">
        <f t="shared" si="0"/>
        <v>-3722785.6</v>
      </c>
    </row>
    <row r="28" spans="1:19" x14ac:dyDescent="0.3">
      <c r="A28" s="1" t="s">
        <v>497</v>
      </c>
      <c r="B28" s="1">
        <v>3722785.6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2">
        <f t="shared" si="0"/>
        <v>3722785.6</v>
      </c>
    </row>
    <row r="29" spans="1:19" x14ac:dyDescent="0.3">
      <c r="A29" s="1" t="s">
        <v>498</v>
      </c>
      <c r="B29" s="1">
        <v>-1764072.99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2">
        <f t="shared" si="0"/>
        <v>-1764072.99</v>
      </c>
    </row>
    <row r="30" spans="1:19" x14ac:dyDescent="0.3">
      <c r="A30" s="1" t="s">
        <v>499</v>
      </c>
      <c r="B30" s="1">
        <v>1764072.99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2">
        <f t="shared" si="0"/>
        <v>1764072.99</v>
      </c>
    </row>
    <row r="31" spans="1:19" x14ac:dyDescent="0.3">
      <c r="A31" s="1" t="s">
        <v>500</v>
      </c>
      <c r="B31" s="1">
        <v>-162434.63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2">
        <f t="shared" si="0"/>
        <v>-162434.63</v>
      </c>
    </row>
    <row r="32" spans="1:19" x14ac:dyDescent="0.3">
      <c r="A32" s="1" t="s">
        <v>501</v>
      </c>
      <c r="B32" s="1">
        <v>162434.63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2">
        <f t="shared" si="0"/>
        <v>162434.63</v>
      </c>
    </row>
    <row r="33" spans="1:20" x14ac:dyDescent="0.3">
      <c r="A33" s="75" t="s">
        <v>502</v>
      </c>
      <c r="B33" s="75">
        <v>-600795.09</v>
      </c>
      <c r="C33" s="1">
        <v>0.01</v>
      </c>
      <c r="D33" s="1">
        <v>-0.01</v>
      </c>
      <c r="E33" s="1">
        <v>0</v>
      </c>
      <c r="F33" s="1">
        <v>0</v>
      </c>
      <c r="G33" s="1">
        <v>0</v>
      </c>
      <c r="H33" s="1">
        <v>0.01</v>
      </c>
      <c r="I33" s="1">
        <v>-0.01</v>
      </c>
      <c r="J33" s="1">
        <v>0</v>
      </c>
      <c r="K33" s="1">
        <v>0</v>
      </c>
      <c r="L33" s="1">
        <v>0.01</v>
      </c>
      <c r="M33" s="1">
        <v>-0.01</v>
      </c>
      <c r="N33" s="1">
        <v>0</v>
      </c>
      <c r="O33" s="1">
        <v>0</v>
      </c>
      <c r="P33" s="1">
        <v>0</v>
      </c>
      <c r="Q33" s="1">
        <v>0.01</v>
      </c>
      <c r="R33" s="1">
        <v>0</v>
      </c>
      <c r="S33" s="2">
        <f t="shared" si="0"/>
        <v>-600795.07999999996</v>
      </c>
    </row>
    <row r="34" spans="1:20" x14ac:dyDescent="0.3">
      <c r="A34" s="1" t="s">
        <v>503</v>
      </c>
      <c r="B34" s="1">
        <v>-201500.57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2">
        <f t="shared" si="0"/>
        <v>-201500.57</v>
      </c>
    </row>
    <row r="35" spans="1:20" x14ac:dyDescent="0.3">
      <c r="A35" s="1" t="s">
        <v>504</v>
      </c>
      <c r="B35" s="1">
        <v>-26686310.77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2">
        <f t="shared" si="0"/>
        <v>-26686310.77</v>
      </c>
    </row>
    <row r="36" spans="1:20" x14ac:dyDescent="0.3">
      <c r="A36" s="1" t="s">
        <v>505</v>
      </c>
      <c r="B36" s="1">
        <v>26686310.77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2">
        <f t="shared" si="0"/>
        <v>26686310.77</v>
      </c>
    </row>
    <row r="37" spans="1:20" x14ac:dyDescent="0.3">
      <c r="A37" s="1" t="s">
        <v>506</v>
      </c>
      <c r="B37" s="1">
        <v>-108182.65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2">
        <f t="shared" si="0"/>
        <v>-108182.65</v>
      </c>
    </row>
    <row r="38" spans="1:20" x14ac:dyDescent="0.3">
      <c r="A38" s="1" t="s">
        <v>507</v>
      </c>
      <c r="B38" s="1">
        <v>108182.65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2">
        <f t="shared" si="0"/>
        <v>108182.65</v>
      </c>
    </row>
    <row r="39" spans="1:20" x14ac:dyDescent="0.3">
      <c r="A39" s="1" t="s">
        <v>508</v>
      </c>
      <c r="B39" s="1">
        <v>-21576.27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2">
        <f t="shared" si="0"/>
        <v>-21576.27</v>
      </c>
    </row>
    <row r="40" spans="1:20" x14ac:dyDescent="0.3">
      <c r="A40" s="1" t="s">
        <v>509</v>
      </c>
      <c r="B40" s="1">
        <v>-28049.17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2">
        <f t="shared" si="0"/>
        <v>-28049.17</v>
      </c>
    </row>
    <row r="41" spans="1:20" x14ac:dyDescent="0.3">
      <c r="A41" s="1" t="s">
        <v>510</v>
      </c>
      <c r="B41" s="1">
        <v>28049.17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2">
        <f t="shared" si="0"/>
        <v>28049.17</v>
      </c>
    </row>
    <row r="42" spans="1:20" x14ac:dyDescent="0.3">
      <c r="A42" s="1" t="s">
        <v>511</v>
      </c>
      <c r="B42" s="1">
        <v>-541834.13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2">
        <f t="shared" ref="S42:S73" si="1">SUM(B42:R42)</f>
        <v>-541834.13</v>
      </c>
    </row>
    <row r="43" spans="1:20" x14ac:dyDescent="0.3">
      <c r="A43" s="1" t="s">
        <v>512</v>
      </c>
      <c r="B43" s="1">
        <v>541834.13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2">
        <f t="shared" si="1"/>
        <v>541834.13</v>
      </c>
    </row>
    <row r="44" spans="1:20" x14ac:dyDescent="0.3">
      <c r="A44" s="1" t="s">
        <v>513</v>
      </c>
      <c r="B44" s="1">
        <v>-18926660.34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2">
        <f t="shared" si="1"/>
        <v>-18926660.34</v>
      </c>
      <c r="T44" s="5" t="s">
        <v>17</v>
      </c>
    </row>
    <row r="45" spans="1:20" x14ac:dyDescent="0.3">
      <c r="A45" s="1" t="s">
        <v>514</v>
      </c>
      <c r="B45" s="1">
        <v>69.88</v>
      </c>
      <c r="C45" s="1">
        <v>-69.89</v>
      </c>
      <c r="D45" s="1">
        <v>56.64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2">
        <f t="shared" si="1"/>
        <v>56.629999999999995</v>
      </c>
    </row>
    <row r="46" spans="1:20" x14ac:dyDescent="0.3">
      <c r="A46" s="1" t="s">
        <v>515</v>
      </c>
      <c r="B46" s="1">
        <v>-28.68</v>
      </c>
      <c r="C46" s="1">
        <v>0</v>
      </c>
      <c r="D46" s="1">
        <v>0</v>
      </c>
      <c r="E46" s="1">
        <v>22.08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2">
        <f t="shared" si="1"/>
        <v>-6.6000000000000014</v>
      </c>
    </row>
    <row r="47" spans="1:20" x14ac:dyDescent="0.3">
      <c r="A47" s="1" t="s">
        <v>516</v>
      </c>
      <c r="B47" s="1">
        <v>-9135.0300000000007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-0.01</v>
      </c>
      <c r="N47" s="1">
        <v>0</v>
      </c>
      <c r="O47" s="1">
        <v>0</v>
      </c>
      <c r="P47" s="1">
        <v>0</v>
      </c>
      <c r="Q47" s="1">
        <v>0.01</v>
      </c>
      <c r="R47" s="1">
        <v>0</v>
      </c>
      <c r="S47" s="2">
        <f t="shared" si="1"/>
        <v>-9135.0300000000007</v>
      </c>
    </row>
    <row r="48" spans="1:20" x14ac:dyDescent="0.3">
      <c r="A48" s="1" t="s">
        <v>517</v>
      </c>
      <c r="B48" s="1">
        <v>-10794563.939999999</v>
      </c>
      <c r="C48" s="1">
        <v>0.01</v>
      </c>
      <c r="D48" s="1">
        <v>-0.01</v>
      </c>
      <c r="E48" s="1">
        <v>-0.01</v>
      </c>
      <c r="F48" s="1">
        <v>0</v>
      </c>
      <c r="G48" s="1">
        <v>0.01</v>
      </c>
      <c r="H48" s="1">
        <v>0</v>
      </c>
      <c r="I48" s="1">
        <v>-0.01</v>
      </c>
      <c r="J48" s="1">
        <v>0</v>
      </c>
      <c r="K48" s="1">
        <v>0</v>
      </c>
      <c r="L48" s="1">
        <v>0</v>
      </c>
      <c r="M48" s="1">
        <v>0.01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2">
        <f t="shared" si="1"/>
        <v>-10794563.939999999</v>
      </c>
    </row>
    <row r="49" spans="1:19" x14ac:dyDescent="0.3">
      <c r="A49" s="1" t="s">
        <v>518</v>
      </c>
      <c r="B49" s="1">
        <v>-656623.17000000004</v>
      </c>
      <c r="C49" s="1">
        <v>8698.14</v>
      </c>
      <c r="D49" s="1">
        <v>-0.02</v>
      </c>
      <c r="E49" s="1">
        <v>8418.5300000000007</v>
      </c>
      <c r="F49" s="1">
        <v>0</v>
      </c>
      <c r="G49" s="1">
        <v>0.01</v>
      </c>
      <c r="H49" s="1">
        <v>8389.44</v>
      </c>
      <c r="I49" s="1">
        <v>0.01</v>
      </c>
      <c r="J49" s="1">
        <v>0</v>
      </c>
      <c r="K49" s="1">
        <v>8342.81</v>
      </c>
      <c r="L49" s="1">
        <v>-0.02</v>
      </c>
      <c r="M49" s="1">
        <v>24065.29</v>
      </c>
      <c r="N49" s="1">
        <v>0</v>
      </c>
      <c r="O49" s="1">
        <v>0.01</v>
      </c>
      <c r="P49" s="1">
        <v>8265.11</v>
      </c>
      <c r="Q49" s="1">
        <v>3045.05</v>
      </c>
      <c r="R49" s="1">
        <v>0</v>
      </c>
      <c r="S49" s="2">
        <f t="shared" si="1"/>
        <v>-587398.80999999994</v>
      </c>
    </row>
    <row r="50" spans="1:19" x14ac:dyDescent="0.3">
      <c r="A50" s="1" t="s">
        <v>519</v>
      </c>
      <c r="B50" s="1">
        <v>-26327.46</v>
      </c>
      <c r="C50" s="1">
        <v>1478.35</v>
      </c>
      <c r="D50" s="1">
        <v>0</v>
      </c>
      <c r="E50" s="1">
        <v>8875.09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2">
        <f t="shared" si="1"/>
        <v>-15974.02</v>
      </c>
    </row>
    <row r="51" spans="1:19" x14ac:dyDescent="0.3">
      <c r="A51" s="1" t="s">
        <v>520</v>
      </c>
      <c r="B51" s="1">
        <v>20393617.82</v>
      </c>
      <c r="C51" s="1">
        <v>0</v>
      </c>
      <c r="D51" s="1">
        <v>-0.01</v>
      </c>
      <c r="E51" s="1">
        <v>0.01</v>
      </c>
      <c r="F51" s="1">
        <v>0</v>
      </c>
      <c r="G51" s="1">
        <v>-0.01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0.01</v>
      </c>
      <c r="N51" s="1">
        <v>0</v>
      </c>
      <c r="O51" s="1">
        <v>-0.01</v>
      </c>
      <c r="P51" s="1">
        <v>0.01</v>
      </c>
      <c r="Q51" s="1">
        <v>-0.01</v>
      </c>
      <c r="R51" s="1">
        <v>0</v>
      </c>
      <c r="S51" s="2">
        <f t="shared" si="1"/>
        <v>20393617.809999999</v>
      </c>
    </row>
    <row r="52" spans="1:19" x14ac:dyDescent="0.3">
      <c r="A52" s="1" t="s">
        <v>521</v>
      </c>
      <c r="B52" s="1">
        <v>-22.19</v>
      </c>
      <c r="C52" s="1">
        <v>0</v>
      </c>
      <c r="D52" s="1">
        <v>0</v>
      </c>
      <c r="E52" s="1">
        <v>-0.01</v>
      </c>
      <c r="F52" s="1">
        <v>0</v>
      </c>
      <c r="G52" s="1">
        <v>0</v>
      </c>
      <c r="H52" s="1">
        <v>0</v>
      </c>
      <c r="I52" s="1">
        <v>0.01</v>
      </c>
      <c r="J52" s="1">
        <v>0</v>
      </c>
      <c r="K52" s="1">
        <v>0</v>
      </c>
      <c r="L52" s="1">
        <v>0</v>
      </c>
      <c r="M52" s="1">
        <v>-0.01</v>
      </c>
      <c r="N52" s="1">
        <v>0</v>
      </c>
      <c r="O52" s="1">
        <v>0</v>
      </c>
      <c r="P52" s="1">
        <v>0</v>
      </c>
      <c r="Q52" s="1">
        <v>0.01</v>
      </c>
      <c r="R52" s="1">
        <v>0</v>
      </c>
      <c r="S52" s="2">
        <f t="shared" si="1"/>
        <v>-22.19</v>
      </c>
    </row>
    <row r="53" spans="1:19" x14ac:dyDescent="0.3">
      <c r="A53" s="1" t="s">
        <v>522</v>
      </c>
      <c r="B53" s="1">
        <v>345208.2</v>
      </c>
      <c r="C53" s="1">
        <v>0.01</v>
      </c>
      <c r="D53" s="1">
        <v>0</v>
      </c>
      <c r="E53" s="1">
        <v>-985.3</v>
      </c>
      <c r="F53" s="1">
        <v>0</v>
      </c>
      <c r="G53" s="1">
        <v>-0.02</v>
      </c>
      <c r="H53" s="1">
        <v>0.02</v>
      </c>
      <c r="I53" s="1">
        <v>-972.26</v>
      </c>
      <c r="J53" s="1">
        <v>0</v>
      </c>
      <c r="K53" s="1">
        <v>0</v>
      </c>
      <c r="L53" s="1">
        <v>0</v>
      </c>
      <c r="M53" s="1">
        <v>-959.51</v>
      </c>
      <c r="N53" s="1">
        <v>0</v>
      </c>
      <c r="O53" s="1">
        <v>0</v>
      </c>
      <c r="P53" s="1">
        <v>0.01</v>
      </c>
      <c r="Q53" s="1">
        <v>-947.08</v>
      </c>
      <c r="R53" s="1">
        <v>0</v>
      </c>
      <c r="S53" s="2">
        <f t="shared" si="1"/>
        <v>341344.07</v>
      </c>
    </row>
    <row r="54" spans="1:19" x14ac:dyDescent="0.3">
      <c r="A54" s="1" t="s">
        <v>523</v>
      </c>
      <c r="B54" s="1">
        <v>-1150855.77</v>
      </c>
      <c r="C54" s="1">
        <v>1017.64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498.28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11722.95</v>
      </c>
      <c r="R54" s="1">
        <v>0</v>
      </c>
      <c r="S54" s="2">
        <f t="shared" si="1"/>
        <v>-1137616.9000000001</v>
      </c>
    </row>
    <row r="55" spans="1:19" x14ac:dyDescent="0.3">
      <c r="A55" s="1" t="s">
        <v>524</v>
      </c>
      <c r="B55" s="1">
        <v>-0.01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0.01</v>
      </c>
      <c r="M55" s="1">
        <v>-0.01</v>
      </c>
      <c r="N55" s="1">
        <v>0</v>
      </c>
      <c r="O55" s="1">
        <v>0.01</v>
      </c>
      <c r="P55" s="1">
        <v>-0.01</v>
      </c>
      <c r="Q55" s="1">
        <v>0.01</v>
      </c>
      <c r="R55" s="1">
        <v>0</v>
      </c>
      <c r="S55" s="2">
        <f t="shared" si="1"/>
        <v>0</v>
      </c>
    </row>
    <row r="56" spans="1:19" x14ac:dyDescent="0.3">
      <c r="A56" s="1" t="s">
        <v>525</v>
      </c>
      <c r="B56" s="1">
        <v>77325.95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2">
        <f t="shared" si="1"/>
        <v>77325.95</v>
      </c>
    </row>
    <row r="57" spans="1:19" x14ac:dyDescent="0.3">
      <c r="A57" s="1" t="s">
        <v>526</v>
      </c>
      <c r="B57" s="1">
        <v>-492.97</v>
      </c>
      <c r="C57" s="1">
        <v>0</v>
      </c>
      <c r="D57" s="1">
        <v>-0.01</v>
      </c>
      <c r="E57" s="1">
        <v>0.01</v>
      </c>
      <c r="F57" s="1">
        <v>0</v>
      </c>
      <c r="G57" s="1">
        <v>0</v>
      </c>
      <c r="H57" s="1">
        <v>0.01</v>
      </c>
      <c r="I57" s="1">
        <v>-0.01</v>
      </c>
      <c r="J57" s="1">
        <v>0</v>
      </c>
      <c r="K57" s="1">
        <v>0.01</v>
      </c>
      <c r="L57" s="1">
        <v>-0.01</v>
      </c>
      <c r="M57" s="1">
        <v>0</v>
      </c>
      <c r="N57" s="1">
        <v>0</v>
      </c>
      <c r="O57" s="1">
        <v>0</v>
      </c>
      <c r="P57" s="1">
        <v>0</v>
      </c>
      <c r="Q57" s="1">
        <v>-0.01</v>
      </c>
      <c r="R57" s="1">
        <v>0</v>
      </c>
      <c r="S57" s="2">
        <f t="shared" si="1"/>
        <v>-492.98</v>
      </c>
    </row>
    <row r="58" spans="1:19" x14ac:dyDescent="0.3">
      <c r="A58" s="1" t="s">
        <v>527</v>
      </c>
      <c r="B58" s="1">
        <v>2708.04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2">
        <f t="shared" si="1"/>
        <v>2708.04</v>
      </c>
    </row>
    <row r="59" spans="1:19" x14ac:dyDescent="0.3">
      <c r="A59" s="1" t="s">
        <v>528</v>
      </c>
      <c r="B59" s="1">
        <v>-0.01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2">
        <f t="shared" si="1"/>
        <v>-0.01</v>
      </c>
    </row>
    <row r="60" spans="1:19" x14ac:dyDescent="0.3">
      <c r="A60" s="1" t="s">
        <v>529</v>
      </c>
      <c r="B60" s="1">
        <v>-0.04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2">
        <f t="shared" si="1"/>
        <v>-0.04</v>
      </c>
    </row>
    <row r="61" spans="1:19" x14ac:dyDescent="0.3">
      <c r="A61" s="1" t="s">
        <v>530</v>
      </c>
      <c r="B61" s="1">
        <v>-2659.11</v>
      </c>
      <c r="C61" s="1">
        <v>400.39</v>
      </c>
      <c r="D61" s="1">
        <v>26.8</v>
      </c>
      <c r="E61" s="1">
        <v>19.760000000000002</v>
      </c>
      <c r="F61" s="1">
        <v>0</v>
      </c>
      <c r="G61" s="1">
        <v>0.01</v>
      </c>
      <c r="H61" s="1">
        <v>-0.01</v>
      </c>
      <c r="I61" s="1">
        <v>0</v>
      </c>
      <c r="J61" s="1">
        <v>0</v>
      </c>
      <c r="K61" s="1">
        <v>0</v>
      </c>
      <c r="L61" s="1">
        <v>10.45</v>
      </c>
      <c r="M61" s="1">
        <v>0.01</v>
      </c>
      <c r="N61" s="1">
        <v>0</v>
      </c>
      <c r="O61" s="1">
        <v>34.67</v>
      </c>
      <c r="P61" s="1">
        <v>43.68</v>
      </c>
      <c r="Q61" s="1">
        <v>13.57</v>
      </c>
      <c r="R61" s="1">
        <v>0</v>
      </c>
      <c r="S61" s="2">
        <f t="shared" si="1"/>
        <v>-2109.7799999999997</v>
      </c>
    </row>
    <row r="62" spans="1:19" x14ac:dyDescent="0.3">
      <c r="A62" s="1" t="s">
        <v>531</v>
      </c>
      <c r="B62" s="1">
        <v>1.34</v>
      </c>
      <c r="C62" s="1">
        <v>-0.02</v>
      </c>
      <c r="D62" s="1">
        <v>0</v>
      </c>
      <c r="E62" s="1">
        <v>-0.02</v>
      </c>
      <c r="F62" s="1">
        <v>0</v>
      </c>
      <c r="G62" s="1">
        <v>-0.01</v>
      </c>
      <c r="H62" s="1">
        <v>-0.01</v>
      </c>
      <c r="I62" s="1">
        <v>-0.01</v>
      </c>
      <c r="J62" s="1">
        <v>0</v>
      </c>
      <c r="K62" s="1">
        <v>-0.02</v>
      </c>
      <c r="L62" s="1">
        <v>0</v>
      </c>
      <c r="M62" s="1">
        <v>-0.02</v>
      </c>
      <c r="N62" s="1">
        <v>0</v>
      </c>
      <c r="O62" s="1">
        <v>-0.01</v>
      </c>
      <c r="P62" s="1">
        <v>-0.01</v>
      </c>
      <c r="Q62" s="1">
        <v>-0.01</v>
      </c>
      <c r="R62" s="1">
        <v>0</v>
      </c>
      <c r="S62" s="2">
        <f t="shared" si="1"/>
        <v>1.2</v>
      </c>
    </row>
    <row r="63" spans="1:19" x14ac:dyDescent="0.3">
      <c r="A63" s="1" t="s">
        <v>532</v>
      </c>
      <c r="B63" s="1">
        <v>0</v>
      </c>
      <c r="C63" s="1">
        <v>0</v>
      </c>
      <c r="D63" s="1">
        <v>-0.01</v>
      </c>
      <c r="E63" s="1">
        <v>0</v>
      </c>
      <c r="F63" s="1">
        <v>0</v>
      </c>
      <c r="G63" s="1">
        <v>-0.01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0.01</v>
      </c>
      <c r="P63" s="1">
        <v>0.01</v>
      </c>
      <c r="Q63" s="1">
        <v>-0.01</v>
      </c>
      <c r="R63" s="1">
        <v>0</v>
      </c>
      <c r="S63" s="2">
        <f t="shared" si="1"/>
        <v>-0.01</v>
      </c>
    </row>
    <row r="64" spans="1:19" x14ac:dyDescent="0.3">
      <c r="A64" s="1" t="s">
        <v>533</v>
      </c>
      <c r="B64" s="1">
        <v>31873.42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2">
        <f t="shared" si="1"/>
        <v>31873.42</v>
      </c>
    </row>
    <row r="65" spans="1:19" x14ac:dyDescent="0.3">
      <c r="A65" s="1" t="s">
        <v>534</v>
      </c>
      <c r="B65" s="1">
        <v>-0.04</v>
      </c>
      <c r="C65" s="1">
        <v>0.01</v>
      </c>
      <c r="D65" s="1">
        <v>-0.01</v>
      </c>
      <c r="E65" s="1">
        <v>-0.01</v>
      </c>
      <c r="F65" s="1">
        <v>0</v>
      </c>
      <c r="G65" s="1">
        <v>0</v>
      </c>
      <c r="H65" s="1">
        <v>0</v>
      </c>
      <c r="I65" s="1">
        <v>0.01</v>
      </c>
      <c r="J65" s="1">
        <v>0</v>
      </c>
      <c r="K65" s="1">
        <v>0</v>
      </c>
      <c r="L65" s="1">
        <v>0</v>
      </c>
      <c r="M65" s="1">
        <v>0.01</v>
      </c>
      <c r="N65" s="1">
        <v>0</v>
      </c>
      <c r="O65" s="1">
        <v>0</v>
      </c>
      <c r="P65" s="1">
        <v>-0.02</v>
      </c>
      <c r="Q65" s="1">
        <v>0</v>
      </c>
      <c r="R65" s="1">
        <v>0</v>
      </c>
      <c r="S65" s="2">
        <f t="shared" si="1"/>
        <v>-0.05</v>
      </c>
    </row>
    <row r="66" spans="1:19" x14ac:dyDescent="0.3">
      <c r="A66" s="1" t="s">
        <v>535</v>
      </c>
      <c r="B66" s="1">
        <v>-0.01</v>
      </c>
      <c r="C66" s="1">
        <v>0</v>
      </c>
      <c r="D66" s="1">
        <v>0</v>
      </c>
      <c r="E66" s="1">
        <v>0.01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0.01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2">
        <f t="shared" si="1"/>
        <v>0.01</v>
      </c>
    </row>
    <row r="67" spans="1:19" x14ac:dyDescent="0.3">
      <c r="A67" s="1" t="s">
        <v>536</v>
      </c>
      <c r="B67" s="1">
        <v>-0.01</v>
      </c>
      <c r="C67" s="1">
        <v>-0.01</v>
      </c>
      <c r="D67" s="1">
        <v>0.01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-0.01</v>
      </c>
      <c r="N67" s="1">
        <v>0</v>
      </c>
      <c r="O67" s="1">
        <v>-0.01</v>
      </c>
      <c r="P67" s="1">
        <v>0.01</v>
      </c>
      <c r="Q67" s="1">
        <v>0.01</v>
      </c>
      <c r="R67" s="1">
        <v>0</v>
      </c>
      <c r="S67" s="2">
        <f t="shared" si="1"/>
        <v>-9.9999999999999967E-3</v>
      </c>
    </row>
    <row r="68" spans="1:19" x14ac:dyDescent="0.3">
      <c r="A68" s="1" t="s">
        <v>537</v>
      </c>
      <c r="B68" s="1">
        <v>0.01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-0.01</v>
      </c>
      <c r="I68" s="1">
        <v>0</v>
      </c>
      <c r="J68" s="1">
        <v>0</v>
      </c>
      <c r="K68" s="1">
        <v>-0.01</v>
      </c>
      <c r="L68" s="1">
        <v>0</v>
      </c>
      <c r="M68" s="1">
        <v>-0.01</v>
      </c>
      <c r="N68" s="1">
        <v>0</v>
      </c>
      <c r="O68" s="1">
        <v>0</v>
      </c>
      <c r="P68" s="1">
        <v>-0.01</v>
      </c>
      <c r="Q68" s="1">
        <v>0</v>
      </c>
      <c r="R68" s="1">
        <v>0</v>
      </c>
      <c r="S68" s="2">
        <f t="shared" si="1"/>
        <v>-0.03</v>
      </c>
    </row>
    <row r="69" spans="1:19" x14ac:dyDescent="0.3">
      <c r="A69" s="1" t="s">
        <v>538</v>
      </c>
      <c r="B69" s="1">
        <v>-0.48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2">
        <f t="shared" si="1"/>
        <v>-0.48</v>
      </c>
    </row>
    <row r="70" spans="1:19" x14ac:dyDescent="0.3">
      <c r="A70" s="1" t="s">
        <v>539</v>
      </c>
      <c r="B70" s="1">
        <v>-11.82</v>
      </c>
      <c r="C70" s="1">
        <v>0</v>
      </c>
      <c r="D70" s="1">
        <v>-0.01</v>
      </c>
      <c r="E70" s="1">
        <v>0.01</v>
      </c>
      <c r="F70" s="1">
        <v>0</v>
      </c>
      <c r="G70" s="1">
        <v>0.99</v>
      </c>
      <c r="H70" s="1">
        <v>0</v>
      </c>
      <c r="I70" s="1">
        <v>-0.01</v>
      </c>
      <c r="J70" s="1">
        <v>0</v>
      </c>
      <c r="K70" s="1">
        <v>1.5</v>
      </c>
      <c r="L70" s="1">
        <v>1.5</v>
      </c>
      <c r="M70" s="1">
        <v>0.01</v>
      </c>
      <c r="N70" s="1">
        <v>0</v>
      </c>
      <c r="O70" s="1">
        <v>-0.01</v>
      </c>
      <c r="P70" s="1">
        <v>1.23</v>
      </c>
      <c r="Q70" s="1">
        <v>0.8</v>
      </c>
      <c r="R70" s="1">
        <v>0</v>
      </c>
      <c r="S70" s="2">
        <f t="shared" si="1"/>
        <v>-5.81</v>
      </c>
    </row>
    <row r="71" spans="1:19" x14ac:dyDescent="0.3">
      <c r="A71" s="1" t="s">
        <v>540</v>
      </c>
      <c r="B71" s="1">
        <v>-1151.52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2">
        <f t="shared" si="1"/>
        <v>-1151.52</v>
      </c>
    </row>
    <row r="72" spans="1:19" x14ac:dyDescent="0.3">
      <c r="A72" s="1" t="s">
        <v>541</v>
      </c>
      <c r="B72" s="1">
        <v>-0.02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2">
        <f t="shared" si="1"/>
        <v>-0.02</v>
      </c>
    </row>
    <row r="73" spans="1:19" x14ac:dyDescent="0.3">
      <c r="A73" s="1" t="s">
        <v>542</v>
      </c>
      <c r="B73" s="1">
        <v>-53469.97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2">
        <f t="shared" si="1"/>
        <v>-53469.97</v>
      </c>
    </row>
    <row r="74" spans="1:19" x14ac:dyDescent="0.3">
      <c r="A74" s="1" t="s">
        <v>543</v>
      </c>
      <c r="B74" s="1">
        <v>-31614.02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2">
        <f t="shared" ref="S74:S95" si="2">SUM(B74:R74)</f>
        <v>-31614.02</v>
      </c>
    </row>
    <row r="75" spans="1:19" x14ac:dyDescent="0.3">
      <c r="A75" s="1" t="s">
        <v>544</v>
      </c>
      <c r="B75" s="1">
        <v>-0.18</v>
      </c>
      <c r="C75" s="1">
        <v>0.01</v>
      </c>
      <c r="D75" s="1">
        <v>0</v>
      </c>
      <c r="E75" s="1">
        <v>0</v>
      </c>
      <c r="F75" s="1">
        <v>0</v>
      </c>
      <c r="G75" s="1">
        <v>0</v>
      </c>
      <c r="H75" s="1">
        <v>-0.01</v>
      </c>
      <c r="I75" s="1">
        <v>0.01</v>
      </c>
      <c r="J75" s="1">
        <v>0</v>
      </c>
      <c r="K75" s="1">
        <v>0</v>
      </c>
      <c r="L75" s="1">
        <v>-0.01</v>
      </c>
      <c r="M75" s="1">
        <v>0.01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2">
        <f t="shared" si="2"/>
        <v>-0.16999999999999998</v>
      </c>
    </row>
    <row r="76" spans="1:19" x14ac:dyDescent="0.3">
      <c r="A76" s="1" t="s">
        <v>545</v>
      </c>
      <c r="B76" s="1">
        <v>0.01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2">
        <f t="shared" si="2"/>
        <v>0.01</v>
      </c>
    </row>
    <row r="77" spans="1:19" x14ac:dyDescent="0.3">
      <c r="A77" s="1" t="s">
        <v>546</v>
      </c>
      <c r="B77" s="1">
        <v>0.05</v>
      </c>
      <c r="C77" s="1">
        <v>0</v>
      </c>
      <c r="D77" s="1">
        <v>-0.01</v>
      </c>
      <c r="E77" s="1">
        <v>0</v>
      </c>
      <c r="F77" s="1">
        <v>0</v>
      </c>
      <c r="G77" s="1">
        <v>0.01</v>
      </c>
      <c r="H77" s="1">
        <v>-0.01</v>
      </c>
      <c r="I77" s="1">
        <v>-0.02</v>
      </c>
      <c r="J77" s="1">
        <v>0</v>
      </c>
      <c r="K77" s="1">
        <v>-0.01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2">
        <f t="shared" si="2"/>
        <v>0.01</v>
      </c>
    </row>
    <row r="78" spans="1:19" x14ac:dyDescent="0.3">
      <c r="A78" s="1" t="s">
        <v>547</v>
      </c>
      <c r="B78" s="1">
        <v>-228106.13</v>
      </c>
      <c r="C78" s="1">
        <v>0.01</v>
      </c>
      <c r="D78" s="1">
        <v>-0.01</v>
      </c>
      <c r="E78" s="1">
        <v>0</v>
      </c>
      <c r="F78" s="1">
        <v>0</v>
      </c>
      <c r="G78" s="1">
        <v>0</v>
      </c>
      <c r="H78" s="1">
        <v>0</v>
      </c>
      <c r="I78" s="1">
        <v>0.01</v>
      </c>
      <c r="J78" s="1">
        <v>0</v>
      </c>
      <c r="K78" s="1">
        <v>-0.02</v>
      </c>
      <c r="L78" s="1">
        <v>0.01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2">
        <f t="shared" si="2"/>
        <v>-228106.12999999998</v>
      </c>
    </row>
    <row r="79" spans="1:19" x14ac:dyDescent="0.3">
      <c r="A79" s="1" t="s">
        <v>548</v>
      </c>
      <c r="B79" s="1">
        <v>-448773.91</v>
      </c>
      <c r="C79" s="1">
        <v>0</v>
      </c>
      <c r="D79" s="1">
        <v>0</v>
      </c>
      <c r="E79" s="1">
        <v>0</v>
      </c>
      <c r="F79" s="1">
        <v>0</v>
      </c>
      <c r="G79" s="1">
        <v>0.01</v>
      </c>
      <c r="H79" s="1">
        <v>-0.01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0.01</v>
      </c>
      <c r="P79" s="1">
        <v>0</v>
      </c>
      <c r="Q79" s="1">
        <v>-0.01</v>
      </c>
      <c r="R79" s="1">
        <v>0</v>
      </c>
      <c r="S79" s="2">
        <f t="shared" si="2"/>
        <v>-448773.91</v>
      </c>
    </row>
    <row r="80" spans="1:19" x14ac:dyDescent="0.3">
      <c r="A80" s="1" t="s">
        <v>549</v>
      </c>
      <c r="B80" s="1">
        <v>-3439391.19</v>
      </c>
      <c r="C80" s="1">
        <v>0</v>
      </c>
      <c r="D80" s="1">
        <v>-0.01</v>
      </c>
      <c r="E80" s="1">
        <v>0</v>
      </c>
      <c r="F80" s="1">
        <v>0</v>
      </c>
      <c r="G80" s="1">
        <v>0</v>
      </c>
      <c r="H80" s="1">
        <v>0</v>
      </c>
      <c r="I80" s="1">
        <v>0.01</v>
      </c>
      <c r="J80" s="1">
        <v>0</v>
      </c>
      <c r="K80" s="1">
        <v>0</v>
      </c>
      <c r="L80" s="1">
        <v>-0.01</v>
      </c>
      <c r="M80" s="1">
        <v>0</v>
      </c>
      <c r="N80" s="1">
        <v>0</v>
      </c>
      <c r="O80" s="1">
        <v>0</v>
      </c>
      <c r="P80" s="1">
        <v>0</v>
      </c>
      <c r="Q80" s="1">
        <v>0.01</v>
      </c>
      <c r="R80" s="1">
        <v>0</v>
      </c>
      <c r="S80" s="2">
        <f t="shared" si="2"/>
        <v>-3439391.19</v>
      </c>
    </row>
    <row r="81" spans="1:21" x14ac:dyDescent="0.3">
      <c r="A81" s="1" t="s">
        <v>550</v>
      </c>
      <c r="B81" s="1">
        <v>0</v>
      </c>
      <c r="C81" s="1">
        <v>-0.01</v>
      </c>
      <c r="D81" s="1">
        <v>0.01</v>
      </c>
      <c r="E81" s="1">
        <v>0</v>
      </c>
      <c r="F81" s="1">
        <v>0</v>
      </c>
      <c r="G81" s="1">
        <v>-0.01</v>
      </c>
      <c r="H81" s="1">
        <v>-0.01</v>
      </c>
      <c r="I81" s="1">
        <v>0.02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-0.01</v>
      </c>
      <c r="P81" s="1">
        <v>0.01</v>
      </c>
      <c r="Q81" s="1">
        <v>0</v>
      </c>
      <c r="R81" s="1">
        <v>0</v>
      </c>
      <c r="S81" s="2">
        <f t="shared" si="2"/>
        <v>0</v>
      </c>
    </row>
    <row r="82" spans="1:21" x14ac:dyDescent="0.3">
      <c r="A82" s="1" t="s">
        <v>551</v>
      </c>
      <c r="B82" s="1">
        <v>63114.07</v>
      </c>
      <c r="C82" s="1">
        <v>-361.69</v>
      </c>
      <c r="D82" s="1">
        <v>-361.71</v>
      </c>
      <c r="E82" s="1">
        <v>-361.7</v>
      </c>
      <c r="F82" s="1">
        <v>0</v>
      </c>
      <c r="G82" s="1">
        <v>-361.71</v>
      </c>
      <c r="H82" s="1">
        <v>-361.71</v>
      </c>
      <c r="I82" s="1">
        <v>-361.7</v>
      </c>
      <c r="J82" s="1">
        <v>0</v>
      </c>
      <c r="K82" s="1">
        <v>-361.7</v>
      </c>
      <c r="L82" s="1">
        <v>-361.71</v>
      </c>
      <c r="M82" s="1">
        <v>-361.7</v>
      </c>
      <c r="N82" s="1">
        <v>0</v>
      </c>
      <c r="O82" s="1">
        <v>-361.72</v>
      </c>
      <c r="P82" s="1">
        <v>-361.69</v>
      </c>
      <c r="Q82" s="1">
        <v>-361.71</v>
      </c>
      <c r="R82" s="1">
        <v>0</v>
      </c>
      <c r="S82" s="2">
        <f t="shared" si="2"/>
        <v>58773.62000000001</v>
      </c>
    </row>
    <row r="83" spans="1:21" x14ac:dyDescent="0.3">
      <c r="A83" s="1" t="s">
        <v>552</v>
      </c>
      <c r="B83" s="1">
        <v>0.05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2">
        <f t="shared" si="2"/>
        <v>0.05</v>
      </c>
      <c r="T83" s="5" t="s">
        <v>17</v>
      </c>
    </row>
    <row r="84" spans="1:21" x14ac:dyDescent="0.3">
      <c r="A84" s="1" t="s">
        <v>553</v>
      </c>
      <c r="B84" s="1">
        <v>340601489.44</v>
      </c>
      <c r="C84" s="1">
        <v>-1113077.83</v>
      </c>
      <c r="D84" s="1">
        <v>-1113077.83</v>
      </c>
      <c r="E84" s="1">
        <v>-1113077.82</v>
      </c>
      <c r="F84" s="1">
        <v>0</v>
      </c>
      <c r="G84" s="1">
        <v>-1113077.8400000001</v>
      </c>
      <c r="H84" s="1">
        <v>-1113077.82</v>
      </c>
      <c r="I84" s="1">
        <v>-1113077.8400000001</v>
      </c>
      <c r="J84" s="1">
        <v>0</v>
      </c>
      <c r="K84" s="1">
        <v>-1113077.83</v>
      </c>
      <c r="L84" s="1">
        <v>-1113077.83</v>
      </c>
      <c r="M84" s="1">
        <v>-1113077.82</v>
      </c>
      <c r="N84" s="1">
        <v>0</v>
      </c>
      <c r="O84" s="1">
        <v>-1113077.8400000001</v>
      </c>
      <c r="P84" s="1">
        <v>-1113077.82</v>
      </c>
      <c r="Q84" s="1">
        <v>-1113077.8400000001</v>
      </c>
      <c r="R84" s="1">
        <v>0</v>
      </c>
      <c r="S84" s="2">
        <f t="shared" si="2"/>
        <v>327244555.4800002</v>
      </c>
      <c r="T84" s="5" t="s">
        <v>17</v>
      </c>
    </row>
    <row r="85" spans="1:21" x14ac:dyDescent="0.3">
      <c r="A85" s="1" t="s">
        <v>554</v>
      </c>
      <c r="B85" s="1">
        <v>-21649156.440000001</v>
      </c>
      <c r="C85" s="1">
        <v>0.02</v>
      </c>
      <c r="D85" s="1">
        <v>-0.01</v>
      </c>
      <c r="E85" s="1">
        <v>-0.01</v>
      </c>
      <c r="F85" s="1">
        <v>0</v>
      </c>
      <c r="G85" s="1">
        <v>0.01</v>
      </c>
      <c r="H85" s="1">
        <v>0.01</v>
      </c>
      <c r="I85" s="1">
        <v>-0.01</v>
      </c>
      <c r="J85" s="1">
        <v>0</v>
      </c>
      <c r="K85" s="1">
        <v>-0.01</v>
      </c>
      <c r="L85" s="1">
        <v>0.01</v>
      </c>
      <c r="M85" s="1">
        <v>0.01</v>
      </c>
      <c r="N85" s="1">
        <v>0</v>
      </c>
      <c r="O85" s="1">
        <v>-0.01</v>
      </c>
      <c r="P85" s="1">
        <v>0</v>
      </c>
      <c r="Q85" s="1">
        <v>-0.01</v>
      </c>
      <c r="R85" s="1">
        <v>0</v>
      </c>
      <c r="S85" s="2">
        <f t="shared" si="2"/>
        <v>-21649156.440000005</v>
      </c>
      <c r="T85" s="5" t="s">
        <v>17</v>
      </c>
      <c r="U85" s="2"/>
    </row>
    <row r="86" spans="1:21" x14ac:dyDescent="0.3">
      <c r="A86" s="1" t="s">
        <v>555</v>
      </c>
      <c r="B86" s="1">
        <v>15915785.23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0.01</v>
      </c>
      <c r="P86" s="1">
        <v>-0.01</v>
      </c>
      <c r="Q86" s="1">
        <v>0</v>
      </c>
      <c r="R86" s="1">
        <v>0</v>
      </c>
      <c r="S86" s="2">
        <f t="shared" si="2"/>
        <v>15915785.23</v>
      </c>
    </row>
    <row r="87" spans="1:21" x14ac:dyDescent="0.3">
      <c r="A87" s="1" t="s">
        <v>556</v>
      </c>
      <c r="B87" s="1">
        <v>-15629881.199999999</v>
      </c>
      <c r="C87" s="1">
        <v>0</v>
      </c>
      <c r="D87" s="1">
        <v>0.01</v>
      </c>
      <c r="E87" s="1">
        <v>-0.01</v>
      </c>
      <c r="F87" s="1">
        <v>0</v>
      </c>
      <c r="G87" s="1">
        <v>0</v>
      </c>
      <c r="H87" s="1">
        <v>0</v>
      </c>
      <c r="I87" s="1">
        <v>-0.01</v>
      </c>
      <c r="J87" s="1">
        <v>0</v>
      </c>
      <c r="K87" s="1">
        <v>0</v>
      </c>
      <c r="L87" s="1">
        <v>0.01</v>
      </c>
      <c r="M87" s="1">
        <v>0.01</v>
      </c>
      <c r="N87" s="1">
        <v>0</v>
      </c>
      <c r="O87" s="1">
        <v>0</v>
      </c>
      <c r="P87" s="1">
        <v>0.01</v>
      </c>
      <c r="Q87" s="1">
        <v>-0.01</v>
      </c>
      <c r="R87" s="1">
        <v>0</v>
      </c>
      <c r="S87" s="2">
        <f t="shared" si="2"/>
        <v>-15629881.189999999</v>
      </c>
      <c r="T87" s="5" t="s">
        <v>17</v>
      </c>
    </row>
    <row r="88" spans="1:21" x14ac:dyDescent="0.3">
      <c r="A88" s="1" t="s">
        <v>557</v>
      </c>
      <c r="B88" s="1">
        <v>-0.01</v>
      </c>
      <c r="C88" s="1">
        <v>0</v>
      </c>
      <c r="D88" s="1">
        <v>0</v>
      </c>
      <c r="E88" s="1">
        <v>0</v>
      </c>
      <c r="F88" s="1">
        <v>0</v>
      </c>
      <c r="G88" s="1">
        <v>0.01</v>
      </c>
      <c r="H88" s="1">
        <v>0</v>
      </c>
      <c r="I88" s="1">
        <v>-0.01</v>
      </c>
      <c r="J88" s="1">
        <v>0</v>
      </c>
      <c r="K88" s="1">
        <v>0.01</v>
      </c>
      <c r="L88" s="1">
        <v>0</v>
      </c>
      <c r="M88" s="1">
        <v>0</v>
      </c>
      <c r="N88" s="1">
        <v>0</v>
      </c>
      <c r="O88" s="1">
        <v>-0.01</v>
      </c>
      <c r="P88" s="1">
        <v>0</v>
      </c>
      <c r="Q88" s="1">
        <v>0</v>
      </c>
      <c r="R88" s="1">
        <v>0</v>
      </c>
      <c r="S88" s="2">
        <f t="shared" si="2"/>
        <v>-0.01</v>
      </c>
      <c r="U88" s="2"/>
    </row>
    <row r="89" spans="1:21" x14ac:dyDescent="0.3">
      <c r="A89" s="1" t="s">
        <v>558</v>
      </c>
      <c r="B89" s="1">
        <v>-27759511.059999999</v>
      </c>
      <c r="C89" s="1">
        <v>0</v>
      </c>
      <c r="D89" s="1">
        <v>0</v>
      </c>
      <c r="E89" s="1">
        <v>0.01</v>
      </c>
      <c r="F89" s="1">
        <v>0</v>
      </c>
      <c r="G89" s="1">
        <v>0</v>
      </c>
      <c r="H89" s="1">
        <v>-0.01</v>
      </c>
      <c r="I89" s="1">
        <v>0.01</v>
      </c>
      <c r="J89" s="1">
        <v>0</v>
      </c>
      <c r="K89" s="1">
        <v>-0.01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2">
        <f t="shared" si="2"/>
        <v>-27759511.059999999</v>
      </c>
      <c r="U89" s="2"/>
    </row>
    <row r="90" spans="1:21" x14ac:dyDescent="0.3">
      <c r="A90" s="1" t="s">
        <v>559</v>
      </c>
      <c r="B90" s="1">
        <v>-16662332.32</v>
      </c>
      <c r="C90" s="1">
        <v>0</v>
      </c>
      <c r="D90" s="1">
        <v>-0.01</v>
      </c>
      <c r="E90" s="1">
        <v>0.03</v>
      </c>
      <c r="F90" s="1">
        <v>0</v>
      </c>
      <c r="G90" s="1">
        <v>-0.01</v>
      </c>
      <c r="H90" s="1">
        <v>0</v>
      </c>
      <c r="I90" s="1">
        <v>-0.01</v>
      </c>
      <c r="J90" s="1">
        <v>0</v>
      </c>
      <c r="K90" s="1">
        <v>0.01</v>
      </c>
      <c r="L90" s="1">
        <v>-0.01</v>
      </c>
      <c r="M90" s="1">
        <v>0.01</v>
      </c>
      <c r="N90" s="1">
        <v>0</v>
      </c>
      <c r="O90" s="1">
        <v>0</v>
      </c>
      <c r="P90" s="1">
        <v>-0.01</v>
      </c>
      <c r="Q90" s="1">
        <v>0.01</v>
      </c>
      <c r="R90" s="1">
        <v>0</v>
      </c>
      <c r="S90" s="2">
        <f t="shared" si="2"/>
        <v>-16662332.310000001</v>
      </c>
    </row>
    <row r="91" spans="1:21" x14ac:dyDescent="0.3">
      <c r="A91" s="1" t="s">
        <v>560</v>
      </c>
      <c r="B91" s="1">
        <v>-30.39</v>
      </c>
      <c r="C91" s="1">
        <v>6.04</v>
      </c>
      <c r="D91" s="1">
        <v>6.04</v>
      </c>
      <c r="E91" s="1">
        <v>3.05</v>
      </c>
      <c r="F91" s="1">
        <v>0</v>
      </c>
      <c r="G91" s="1">
        <v>3.06</v>
      </c>
      <c r="H91" s="1">
        <v>3.05</v>
      </c>
      <c r="I91" s="1">
        <v>3.05</v>
      </c>
      <c r="J91" s="1">
        <v>0</v>
      </c>
      <c r="K91" s="1">
        <v>3.04</v>
      </c>
      <c r="L91" s="1">
        <v>3.04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2">
        <f t="shared" si="2"/>
        <v>-2.0000000000002238E-2</v>
      </c>
    </row>
    <row r="92" spans="1:21" x14ac:dyDescent="0.3">
      <c r="A92" s="1" t="s">
        <v>561</v>
      </c>
      <c r="B92" s="1">
        <v>95256684.510000005</v>
      </c>
      <c r="C92" s="1">
        <v>-1119168.92</v>
      </c>
      <c r="D92" s="1">
        <v>-1107728.93</v>
      </c>
      <c r="E92" s="1">
        <v>-1123992.9099999999</v>
      </c>
      <c r="F92" s="1">
        <v>0</v>
      </c>
      <c r="G92" s="1">
        <v>-1107642.92</v>
      </c>
      <c r="H92" s="1">
        <v>-1116030.99</v>
      </c>
      <c r="I92" s="1">
        <v>-1106669.9099999999</v>
      </c>
      <c r="J92" s="1">
        <v>0</v>
      </c>
      <c r="K92" s="1">
        <v>-1116484.93</v>
      </c>
      <c r="L92" s="1">
        <v>-1107653.9099999999</v>
      </c>
      <c r="M92" s="1">
        <v>-1130743.92</v>
      </c>
      <c r="N92" s="1">
        <v>0</v>
      </c>
      <c r="O92" s="1">
        <v>-1107673.93</v>
      </c>
      <c r="P92" s="1">
        <v>-1115948.9099999999</v>
      </c>
      <c r="Q92" s="1">
        <v>-1121474.93</v>
      </c>
      <c r="R92" s="1">
        <v>0</v>
      </c>
      <c r="S92" s="2">
        <f t="shared" si="2"/>
        <v>81875469.399999991</v>
      </c>
    </row>
    <row r="93" spans="1:21" x14ac:dyDescent="0.3">
      <c r="A93" s="1" t="s">
        <v>562</v>
      </c>
      <c r="B93" s="1">
        <v>-4783630.2</v>
      </c>
      <c r="C93" s="1">
        <v>-0.01</v>
      </c>
      <c r="D93" s="1">
        <v>0</v>
      </c>
      <c r="E93" s="1">
        <v>0</v>
      </c>
      <c r="F93" s="1">
        <v>0</v>
      </c>
      <c r="G93" s="1">
        <v>0.01</v>
      </c>
      <c r="H93" s="1">
        <v>0</v>
      </c>
      <c r="I93" s="1">
        <v>0.01</v>
      </c>
      <c r="J93" s="1">
        <v>0</v>
      </c>
      <c r="K93" s="1">
        <v>-0.02</v>
      </c>
      <c r="L93" s="1">
        <v>0</v>
      </c>
      <c r="M93" s="1">
        <v>0.01</v>
      </c>
      <c r="N93" s="1">
        <v>0</v>
      </c>
      <c r="O93" s="1">
        <v>-0.01</v>
      </c>
      <c r="P93" s="1">
        <v>0.01</v>
      </c>
      <c r="Q93" s="1">
        <v>0</v>
      </c>
      <c r="R93" s="1">
        <v>0</v>
      </c>
      <c r="S93" s="2">
        <f t="shared" si="2"/>
        <v>-4783630.2</v>
      </c>
    </row>
    <row r="94" spans="1:21" x14ac:dyDescent="0.3">
      <c r="A94" s="1" t="s">
        <v>563</v>
      </c>
      <c r="B94" s="1">
        <v>347574.86</v>
      </c>
      <c r="C94" s="1">
        <v>0</v>
      </c>
      <c r="D94" s="1">
        <v>0</v>
      </c>
      <c r="E94" s="1">
        <v>-0.01</v>
      </c>
      <c r="F94" s="1">
        <v>0</v>
      </c>
      <c r="G94" s="1">
        <v>0.01</v>
      </c>
      <c r="H94" s="1">
        <v>0</v>
      </c>
      <c r="I94" s="1">
        <v>0</v>
      </c>
      <c r="J94" s="1">
        <v>0</v>
      </c>
      <c r="K94" s="1">
        <v>0.01</v>
      </c>
      <c r="L94" s="1">
        <v>0</v>
      </c>
      <c r="M94" s="1">
        <v>0</v>
      </c>
      <c r="N94" s="1">
        <v>0</v>
      </c>
      <c r="O94" s="1">
        <v>0</v>
      </c>
      <c r="P94" s="1">
        <v>-0.02</v>
      </c>
      <c r="Q94" s="1">
        <v>0.01</v>
      </c>
      <c r="R94" s="1">
        <v>0</v>
      </c>
      <c r="S94" s="2">
        <f t="shared" si="2"/>
        <v>347574.86</v>
      </c>
    </row>
    <row r="95" spans="1:21" x14ac:dyDescent="0.3">
      <c r="A95" s="1" t="s">
        <v>564</v>
      </c>
      <c r="B95" s="1">
        <v>0.02</v>
      </c>
      <c r="C95" s="1">
        <v>0</v>
      </c>
      <c r="D95" s="1">
        <v>0</v>
      </c>
      <c r="E95" s="1">
        <v>0</v>
      </c>
      <c r="F95" s="1">
        <v>5234940.29</v>
      </c>
      <c r="G95" s="1">
        <v>0</v>
      </c>
      <c r="H95" s="1">
        <v>0</v>
      </c>
      <c r="I95" s="1">
        <v>0</v>
      </c>
      <c r="J95" s="1">
        <v>-92506.51</v>
      </c>
      <c r="K95" s="1">
        <v>0</v>
      </c>
      <c r="L95" s="1">
        <v>0</v>
      </c>
      <c r="M95" s="1">
        <v>0</v>
      </c>
      <c r="N95" s="1">
        <v>-8281827.6699999999</v>
      </c>
      <c r="O95" s="1">
        <v>0</v>
      </c>
      <c r="P95" s="1">
        <v>0</v>
      </c>
      <c r="Q95" s="1">
        <v>0</v>
      </c>
      <c r="R95" s="1">
        <v>3139394</v>
      </c>
      <c r="S95" s="2">
        <f t="shared" si="2"/>
        <v>0.12999999988824129</v>
      </c>
    </row>
    <row r="96" spans="1:21" x14ac:dyDescent="0.3">
      <c r="A96" s="160" t="s">
        <v>565</v>
      </c>
      <c r="B96" s="161">
        <f>SUM(B9:B95)</f>
        <v>305892964.23000008</v>
      </c>
      <c r="C96" s="161">
        <f t="shared" ref="C96:S96" si="3">SUM(C9:C95)</f>
        <v>-2221077.7299999995</v>
      </c>
      <c r="D96" s="161">
        <f t="shared" si="3"/>
        <v>-2221079.1</v>
      </c>
      <c r="E96" s="161">
        <f t="shared" si="3"/>
        <v>-2221079.2299999995</v>
      </c>
      <c r="F96" s="161">
        <f t="shared" si="3"/>
        <v>5234940.29</v>
      </c>
      <c r="G96" s="161">
        <f t="shared" si="3"/>
        <v>-2221078.4000000004</v>
      </c>
      <c r="H96" s="161">
        <f t="shared" si="3"/>
        <v>-2221078.06</v>
      </c>
      <c r="I96" s="161">
        <f t="shared" si="3"/>
        <v>-2221078.66</v>
      </c>
      <c r="J96" s="161">
        <f t="shared" si="3"/>
        <v>-92506.51</v>
      </c>
      <c r="K96" s="161">
        <f t="shared" si="3"/>
        <v>-2221078.89</v>
      </c>
      <c r="L96" s="161">
        <f t="shared" si="3"/>
        <v>-2221078.48</v>
      </c>
      <c r="M96" s="161">
        <f t="shared" si="3"/>
        <v>-2221077.64</v>
      </c>
      <c r="N96" s="161">
        <f t="shared" si="3"/>
        <v>-8281827.6699999999</v>
      </c>
      <c r="O96" s="161">
        <f t="shared" si="3"/>
        <v>-2221078.84</v>
      </c>
      <c r="P96" s="161">
        <f t="shared" si="3"/>
        <v>-2221078.41</v>
      </c>
      <c r="Q96" s="161">
        <f t="shared" si="3"/>
        <v>-2221079.1900000004</v>
      </c>
      <c r="R96" s="161">
        <f t="shared" si="3"/>
        <v>3139394</v>
      </c>
      <c r="S96" s="161">
        <f t="shared" si="3"/>
        <v>279240021.71000022</v>
      </c>
    </row>
    <row r="97" spans="1:21" x14ac:dyDescent="0.3">
      <c r="A97" s="162" t="s">
        <v>476</v>
      </c>
    </row>
    <row r="98" spans="1:21" x14ac:dyDescent="0.3">
      <c r="A98" s="160" t="s">
        <v>391</v>
      </c>
      <c r="B98" s="161">
        <f>B96</f>
        <v>305892964.23000008</v>
      </c>
      <c r="C98" s="161">
        <f t="shared" ref="C98:S98" si="4">C96</f>
        <v>-2221077.7299999995</v>
      </c>
      <c r="D98" s="161">
        <f t="shared" si="4"/>
        <v>-2221079.1</v>
      </c>
      <c r="E98" s="161">
        <f t="shared" si="4"/>
        <v>-2221079.2299999995</v>
      </c>
      <c r="F98" s="161">
        <f t="shared" si="4"/>
        <v>5234940.29</v>
      </c>
      <c r="G98" s="161">
        <f t="shared" si="4"/>
        <v>-2221078.4000000004</v>
      </c>
      <c r="H98" s="161">
        <f t="shared" si="4"/>
        <v>-2221078.06</v>
      </c>
      <c r="I98" s="161">
        <f t="shared" si="4"/>
        <v>-2221078.66</v>
      </c>
      <c r="J98" s="161">
        <f t="shared" si="4"/>
        <v>-92506.51</v>
      </c>
      <c r="K98" s="161">
        <f t="shared" si="4"/>
        <v>-2221078.89</v>
      </c>
      <c r="L98" s="161">
        <f t="shared" si="4"/>
        <v>-2221078.48</v>
      </c>
      <c r="M98" s="161">
        <f t="shared" si="4"/>
        <v>-2221077.64</v>
      </c>
      <c r="N98" s="161">
        <f t="shared" si="4"/>
        <v>-8281827.6699999999</v>
      </c>
      <c r="O98" s="161">
        <f t="shared" si="4"/>
        <v>-2221078.84</v>
      </c>
      <c r="P98" s="161">
        <f t="shared" si="4"/>
        <v>-2221078.41</v>
      </c>
      <c r="Q98" s="161">
        <f t="shared" si="4"/>
        <v>-2221079.1900000004</v>
      </c>
      <c r="R98" s="161">
        <f t="shared" si="4"/>
        <v>3139394</v>
      </c>
      <c r="S98" s="161">
        <f t="shared" si="4"/>
        <v>279240021.71000022</v>
      </c>
      <c r="T98" s="2"/>
    </row>
    <row r="99" spans="1:21" x14ac:dyDescent="0.3">
      <c r="A99" s="162" t="s">
        <v>476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21" x14ac:dyDescent="0.3">
      <c r="A100" t="s">
        <v>569</v>
      </c>
      <c r="B100" s="2"/>
      <c r="Q100" s="20"/>
      <c r="R100" s="20"/>
    </row>
    <row r="101" spans="1:21" x14ac:dyDescent="0.3">
      <c r="A101" s="31" t="s">
        <v>221</v>
      </c>
      <c r="B101" s="79">
        <v>178017.48</v>
      </c>
      <c r="Q101" s="20"/>
      <c r="R101" s="20"/>
      <c r="S101" s="79">
        <v>178017.48</v>
      </c>
      <c r="T101" s="32" t="s">
        <v>221</v>
      </c>
    </row>
    <row r="102" spans="1:21" x14ac:dyDescent="0.3">
      <c r="A102" s="31" t="s">
        <v>567</v>
      </c>
      <c r="B102" s="79">
        <v>17429</v>
      </c>
      <c r="Q102" s="20"/>
      <c r="R102" s="20"/>
      <c r="S102" s="172">
        <v>17429</v>
      </c>
      <c r="T102" s="32" t="s">
        <v>567</v>
      </c>
    </row>
    <row r="103" spans="1:21" x14ac:dyDescent="0.3">
      <c r="A103" s="31" t="s">
        <v>222</v>
      </c>
      <c r="B103" s="79">
        <v>-6352163.0099999998</v>
      </c>
      <c r="C103" s="60"/>
      <c r="Q103" s="20"/>
      <c r="R103" s="20"/>
      <c r="S103" s="79">
        <v>-6352163.0099999998</v>
      </c>
      <c r="T103" t="s">
        <v>222</v>
      </c>
      <c r="U103" s="1"/>
    </row>
    <row r="104" spans="1:21" x14ac:dyDescent="0.3">
      <c r="A104" s="31" t="s">
        <v>223</v>
      </c>
      <c r="B104" s="79">
        <v>16202161.232123999</v>
      </c>
      <c r="M104" s="2"/>
      <c r="Q104" s="20"/>
      <c r="R104" s="20"/>
      <c r="S104" s="79">
        <v>16202161.232123999</v>
      </c>
      <c r="T104" t="s">
        <v>223</v>
      </c>
      <c r="U104" s="1"/>
    </row>
    <row r="105" spans="1:21" ht="15" thickBot="1" x14ac:dyDescent="0.35">
      <c r="A105" s="31" t="s">
        <v>568</v>
      </c>
      <c r="B105" s="78">
        <f>+B98+B101+B103+B104+B102</f>
        <v>315938408.93212408</v>
      </c>
      <c r="Q105" s="20"/>
      <c r="R105" s="20"/>
      <c r="S105" s="78">
        <f>+S98+S101+S103+S104+S102</f>
        <v>289285466.41212422</v>
      </c>
    </row>
    <row r="106" spans="1:21" ht="15" thickTop="1" x14ac:dyDescent="0.3">
      <c r="B106" s="60"/>
      <c r="Q106" s="20"/>
      <c r="R106" s="20"/>
      <c r="S106" s="60"/>
    </row>
    <row r="107" spans="1:21" x14ac:dyDescent="0.3">
      <c r="Q107" s="20"/>
      <c r="R107" s="20"/>
      <c r="S107" s="60"/>
    </row>
    <row r="108" spans="1:21" x14ac:dyDescent="0.3">
      <c r="Q108" s="20"/>
      <c r="R108" s="20"/>
      <c r="S108" s="60"/>
    </row>
    <row r="109" spans="1:21" x14ac:dyDescent="0.3">
      <c r="N109" s="20"/>
      <c r="O109" s="20"/>
      <c r="P109" s="20"/>
      <c r="Q109" s="20"/>
      <c r="R109" s="20"/>
      <c r="S109" s="1"/>
    </row>
    <row r="110" spans="1:21" x14ac:dyDescent="0.3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5"/>
    </row>
    <row r="111" spans="1:21" x14ac:dyDescent="0.3">
      <c r="N111" s="20"/>
      <c r="O111" s="20"/>
      <c r="P111" s="20"/>
      <c r="Q111" s="20"/>
      <c r="R111" s="20"/>
      <c r="S111" s="20"/>
    </row>
    <row r="112" spans="1:21" x14ac:dyDescent="0.3">
      <c r="S112" s="2"/>
    </row>
    <row r="113" spans="19:19" x14ac:dyDescent="0.3">
      <c r="S113" s="29"/>
    </row>
  </sheetData>
  <pageMargins left="0.7" right="0.7" top="0.75" bottom="0.75" header="0.3" footer="0.3"/>
  <pageSetup paperSize="5" scale="45" orientation="landscape" r:id="rId1"/>
  <customProperties>
    <customPr name="EpmWorksheetKeyString_GUID" r:id="rId2"/>
  </customPropertie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89147-1FA8-4CF7-BD3E-F4842B9183CE}">
  <sheetPr>
    <tabColor rgb="FFCCCCFF"/>
  </sheetPr>
  <dimension ref="A1:U113"/>
  <sheetViews>
    <sheetView zoomScale="85" zoomScaleNormal="85" workbookViewId="0">
      <pane xSplit="1" ySplit="7" topLeftCell="J104" activePane="bottomRight" state="frozen"/>
      <selection pane="topRight" activeCell="W100" sqref="W100"/>
      <selection pane="bottomLeft" activeCell="W100" sqref="W100"/>
      <selection pane="bottomRight" activeCell="S109" sqref="S109"/>
    </sheetView>
  </sheetViews>
  <sheetFormatPr defaultRowHeight="14.4" x14ac:dyDescent="0.3"/>
  <cols>
    <col min="1" max="1" width="47.5546875" bestFit="1" customWidth="1"/>
    <col min="2" max="2" width="15.33203125" bestFit="1" customWidth="1"/>
    <col min="3" max="3" width="12.33203125" bestFit="1" customWidth="1"/>
    <col min="4" max="4" width="13" bestFit="1" customWidth="1"/>
    <col min="5" max="10" width="12.33203125" bestFit="1" customWidth="1"/>
    <col min="11" max="12" width="11.88671875" bestFit="1" customWidth="1"/>
    <col min="13" max="13" width="13.33203125" bestFit="1" customWidth="1"/>
    <col min="14" max="14" width="12.6640625" bestFit="1" customWidth="1"/>
    <col min="15" max="17" width="11.88671875" bestFit="1" customWidth="1"/>
    <col min="18" max="18" width="11.33203125" bestFit="1" customWidth="1"/>
    <col min="19" max="19" width="18.33203125" bestFit="1" customWidth="1"/>
    <col min="20" max="20" width="27.33203125" bestFit="1" customWidth="1"/>
    <col min="21" max="21" width="13.6640625" bestFit="1" customWidth="1"/>
  </cols>
  <sheetData>
    <row r="1" spans="1:20" x14ac:dyDescent="0.3">
      <c r="A1" s="5" t="s">
        <v>380</v>
      </c>
      <c r="B1" s="5" t="s">
        <v>451</v>
      </c>
      <c r="C1" s="5" t="s">
        <v>452</v>
      </c>
      <c r="D1" s="5" t="s">
        <v>453</v>
      </c>
      <c r="E1" s="5" t="s">
        <v>454</v>
      </c>
      <c r="F1" s="5" t="s">
        <v>455</v>
      </c>
      <c r="G1" s="5" t="s">
        <v>456</v>
      </c>
      <c r="H1" s="5" t="s">
        <v>457</v>
      </c>
      <c r="I1" s="5" t="s">
        <v>458</v>
      </c>
      <c r="J1" s="5" t="s">
        <v>459</v>
      </c>
      <c r="K1" s="5" t="s">
        <v>461</v>
      </c>
      <c r="L1" s="5" t="s">
        <v>462</v>
      </c>
      <c r="M1" s="5" t="s">
        <v>463</v>
      </c>
      <c r="N1" s="5" t="s">
        <v>464</v>
      </c>
      <c r="O1" s="5" t="s">
        <v>467</v>
      </c>
      <c r="P1" s="5" t="s">
        <v>469</v>
      </c>
      <c r="Q1" s="5" t="s">
        <v>470</v>
      </c>
      <c r="R1" s="5" t="s">
        <v>471</v>
      </c>
      <c r="S1" s="5" t="s">
        <v>473</v>
      </c>
    </row>
    <row r="2" spans="1:20" x14ac:dyDescent="0.3">
      <c r="A2" s="157" t="s">
        <v>474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20" x14ac:dyDescent="0.3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</row>
    <row r="4" spans="1:20" x14ac:dyDescent="0.3">
      <c r="A4" s="157" t="s">
        <v>230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</row>
    <row r="5" spans="1:20" x14ac:dyDescent="0.3">
      <c r="A5" s="157" t="s">
        <v>50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</row>
    <row r="6" spans="1:20" x14ac:dyDescent="0.3">
      <c r="A6" s="157" t="s">
        <v>475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</row>
    <row r="7" spans="1:20" x14ac:dyDescent="0.3">
      <c r="A7" s="159" t="s">
        <v>476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20" x14ac:dyDescent="0.3">
      <c r="A8" t="s">
        <v>59</v>
      </c>
    </row>
    <row r="9" spans="1:20" x14ac:dyDescent="0.3">
      <c r="A9" t="s">
        <v>477</v>
      </c>
      <c r="B9" s="2">
        <v>-0.02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f t="shared" ref="S9:S41" si="0">SUM(B9:R9)</f>
        <v>-0.02</v>
      </c>
    </row>
    <row r="10" spans="1:20" x14ac:dyDescent="0.3">
      <c r="A10" t="s">
        <v>478</v>
      </c>
      <c r="B10" s="2">
        <v>-4721456.08</v>
      </c>
      <c r="C10" s="2">
        <v>78690.92</v>
      </c>
      <c r="D10" s="2">
        <v>78690.92</v>
      </c>
      <c r="E10" s="2">
        <v>78690.92</v>
      </c>
      <c r="F10" s="2">
        <v>0</v>
      </c>
      <c r="G10" s="2">
        <v>78690.92</v>
      </c>
      <c r="H10" s="2">
        <v>78690.92</v>
      </c>
      <c r="I10" s="2">
        <v>78690.92</v>
      </c>
      <c r="J10" s="2">
        <v>0</v>
      </c>
      <c r="K10" s="2">
        <v>78690.92</v>
      </c>
      <c r="L10" s="2">
        <v>78690.92</v>
      </c>
      <c r="M10" s="2">
        <v>78690.92</v>
      </c>
      <c r="N10" s="2">
        <v>0</v>
      </c>
      <c r="O10" s="2">
        <v>78690.92</v>
      </c>
      <c r="P10" s="2">
        <v>78690.92</v>
      </c>
      <c r="Q10" s="2">
        <v>78690.92</v>
      </c>
      <c r="R10" s="2">
        <v>0</v>
      </c>
      <c r="S10" s="2">
        <f t="shared" si="0"/>
        <v>-3777165.040000001</v>
      </c>
    </row>
    <row r="11" spans="1:20" x14ac:dyDescent="0.3">
      <c r="A11" t="s">
        <v>479</v>
      </c>
      <c r="B11" s="2">
        <v>-0.01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f t="shared" si="0"/>
        <v>-0.01</v>
      </c>
    </row>
    <row r="12" spans="1:20" x14ac:dyDescent="0.3">
      <c r="A12" t="s">
        <v>480</v>
      </c>
      <c r="B12" s="2">
        <v>0.01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f t="shared" si="0"/>
        <v>0.01</v>
      </c>
    </row>
    <row r="13" spans="1:20" x14ac:dyDescent="0.3">
      <c r="A13" t="s">
        <v>481</v>
      </c>
      <c r="B13" s="2">
        <v>833763.16</v>
      </c>
      <c r="C13" s="2">
        <v>-13896.08</v>
      </c>
      <c r="D13" s="2">
        <v>-13896.08</v>
      </c>
      <c r="E13" s="2">
        <v>-13896.08</v>
      </c>
      <c r="F13" s="2">
        <v>0</v>
      </c>
      <c r="G13" s="2">
        <v>-13896.08</v>
      </c>
      <c r="H13" s="2">
        <v>-13896.08</v>
      </c>
      <c r="I13" s="2">
        <v>-13896.08</v>
      </c>
      <c r="J13" s="2">
        <v>0</v>
      </c>
      <c r="K13" s="2">
        <v>-13896.08</v>
      </c>
      <c r="L13" s="2">
        <v>-13896.08</v>
      </c>
      <c r="M13" s="2">
        <v>-13896.08</v>
      </c>
      <c r="N13" s="2">
        <v>0</v>
      </c>
      <c r="O13" s="2">
        <v>-13896.08</v>
      </c>
      <c r="P13" s="2">
        <v>-13896.08</v>
      </c>
      <c r="Q13" s="2">
        <v>-13896.08</v>
      </c>
      <c r="R13" s="2">
        <v>0</v>
      </c>
      <c r="S13" s="2">
        <f t="shared" si="0"/>
        <v>667010.20000000054</v>
      </c>
    </row>
    <row r="14" spans="1:20" x14ac:dyDescent="0.3">
      <c r="A14" t="s">
        <v>482</v>
      </c>
      <c r="B14" s="2">
        <v>-0.01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f t="shared" si="0"/>
        <v>-0.01</v>
      </c>
    </row>
    <row r="15" spans="1:20" x14ac:dyDescent="0.3">
      <c r="A15" t="s">
        <v>483</v>
      </c>
      <c r="B15" s="2">
        <v>0.02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f t="shared" si="0"/>
        <v>0.02</v>
      </c>
      <c r="T15" s="6" t="s">
        <v>484</v>
      </c>
    </row>
    <row r="16" spans="1:20" x14ac:dyDescent="0.3">
      <c r="A16" t="s">
        <v>485</v>
      </c>
      <c r="B16" s="2">
        <v>-0.01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f t="shared" si="0"/>
        <v>-0.01</v>
      </c>
      <c r="T16" s="77"/>
    </row>
    <row r="17" spans="1:19" x14ac:dyDescent="0.3">
      <c r="A17" t="s">
        <v>486</v>
      </c>
      <c r="B17" s="2">
        <v>-10753679.4</v>
      </c>
      <c r="C17" s="2">
        <v>179228</v>
      </c>
      <c r="D17" s="2">
        <v>179228</v>
      </c>
      <c r="E17" s="2">
        <v>179228</v>
      </c>
      <c r="F17" s="2">
        <v>0</v>
      </c>
      <c r="G17" s="2">
        <v>179228</v>
      </c>
      <c r="H17" s="2">
        <v>179228</v>
      </c>
      <c r="I17" s="2">
        <v>179228</v>
      </c>
      <c r="J17" s="2">
        <v>0</v>
      </c>
      <c r="K17" s="2">
        <v>179228</v>
      </c>
      <c r="L17" s="2">
        <v>179228</v>
      </c>
      <c r="M17" s="2">
        <v>179228</v>
      </c>
      <c r="N17" s="2">
        <v>0</v>
      </c>
      <c r="O17" s="2">
        <v>179228</v>
      </c>
      <c r="P17" s="2">
        <v>179228</v>
      </c>
      <c r="Q17" s="2">
        <v>179228</v>
      </c>
      <c r="R17" s="2">
        <v>0</v>
      </c>
      <c r="S17" s="2">
        <f t="shared" si="0"/>
        <v>-8602943.4000000004</v>
      </c>
    </row>
    <row r="18" spans="1:19" x14ac:dyDescent="0.3">
      <c r="A18" t="s">
        <v>487</v>
      </c>
      <c r="B18" s="2">
        <v>0.01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f t="shared" si="0"/>
        <v>0.01</v>
      </c>
    </row>
    <row r="19" spans="1:19" x14ac:dyDescent="0.3">
      <c r="A19" t="s">
        <v>488</v>
      </c>
      <c r="B19" s="2">
        <v>-1274593.58</v>
      </c>
      <c r="C19" s="2">
        <v>21243.25</v>
      </c>
      <c r="D19" s="2">
        <v>21243.25</v>
      </c>
      <c r="E19" s="2">
        <v>21243.25</v>
      </c>
      <c r="F19" s="2">
        <v>0</v>
      </c>
      <c r="G19" s="2">
        <v>21243.25</v>
      </c>
      <c r="H19" s="2">
        <v>21243.25</v>
      </c>
      <c r="I19" s="2">
        <v>21243.25</v>
      </c>
      <c r="J19" s="2">
        <v>0</v>
      </c>
      <c r="K19" s="2">
        <v>21243.25</v>
      </c>
      <c r="L19" s="2">
        <v>21243.25</v>
      </c>
      <c r="M19" s="2">
        <v>21243.25</v>
      </c>
      <c r="N19" s="2">
        <v>0</v>
      </c>
      <c r="O19" s="2">
        <v>21243.25</v>
      </c>
      <c r="P19" s="2">
        <v>21243.25</v>
      </c>
      <c r="Q19" s="2">
        <v>21243.25</v>
      </c>
      <c r="R19" s="2">
        <v>0</v>
      </c>
      <c r="S19" s="2">
        <f t="shared" si="0"/>
        <v>-1019674.5800000001</v>
      </c>
    </row>
    <row r="20" spans="1:19" x14ac:dyDescent="0.3">
      <c r="A20" t="s">
        <v>489</v>
      </c>
      <c r="B20" s="2">
        <v>-0.01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f t="shared" si="0"/>
        <v>-0.01</v>
      </c>
    </row>
    <row r="21" spans="1:19" x14ac:dyDescent="0.3">
      <c r="A21" t="s">
        <v>490</v>
      </c>
      <c r="B21" s="2">
        <v>-2623153.23</v>
      </c>
      <c r="C21" s="2">
        <v>-0.01</v>
      </c>
      <c r="D21" s="2">
        <v>0.01</v>
      </c>
      <c r="E21" s="2">
        <v>-0.02</v>
      </c>
      <c r="F21" s="2">
        <v>0</v>
      </c>
      <c r="G21" s="2">
        <v>0.02</v>
      </c>
      <c r="H21" s="2">
        <v>-0.01</v>
      </c>
      <c r="I21" s="2">
        <v>0.01</v>
      </c>
      <c r="J21" s="2">
        <v>0</v>
      </c>
      <c r="K21" s="2">
        <v>-0.01</v>
      </c>
      <c r="L21" s="2">
        <v>0.01</v>
      </c>
      <c r="M21" s="2">
        <v>-0.02</v>
      </c>
      <c r="N21" s="2">
        <v>0</v>
      </c>
      <c r="O21" s="2">
        <v>0.02</v>
      </c>
      <c r="P21" s="2">
        <v>-0.01</v>
      </c>
      <c r="Q21" s="2">
        <v>0.01</v>
      </c>
      <c r="R21" s="2">
        <v>0</v>
      </c>
      <c r="S21" s="2">
        <f t="shared" si="0"/>
        <v>-2623153.23</v>
      </c>
    </row>
    <row r="22" spans="1:19" x14ac:dyDescent="0.3">
      <c r="A22" t="s">
        <v>491</v>
      </c>
      <c r="B22" s="2">
        <v>-27180099.800000001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f t="shared" si="0"/>
        <v>-27180099.800000001</v>
      </c>
    </row>
    <row r="23" spans="1:19" x14ac:dyDescent="0.3">
      <c r="A23" t="s">
        <v>492</v>
      </c>
      <c r="B23" s="2">
        <v>2067745.41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f t="shared" si="0"/>
        <v>2067745.41</v>
      </c>
    </row>
    <row r="24" spans="1:19" x14ac:dyDescent="0.3">
      <c r="A24" t="s">
        <v>493</v>
      </c>
      <c r="B24" s="2">
        <v>-412713.56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f t="shared" si="0"/>
        <v>-412713.56</v>
      </c>
    </row>
    <row r="25" spans="1:19" x14ac:dyDescent="0.3">
      <c r="A25" t="s">
        <v>494</v>
      </c>
      <c r="B25" s="2">
        <v>-1153988.47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f t="shared" si="0"/>
        <v>-1153988.47</v>
      </c>
    </row>
    <row r="26" spans="1:19" x14ac:dyDescent="0.3">
      <c r="A26" t="s">
        <v>495</v>
      </c>
      <c r="B26" s="2">
        <v>1153988.47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f t="shared" si="0"/>
        <v>1153988.47</v>
      </c>
    </row>
    <row r="27" spans="1:19" x14ac:dyDescent="0.3">
      <c r="A27" t="s">
        <v>496</v>
      </c>
      <c r="B27" s="2">
        <v>-3722785.6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f t="shared" si="0"/>
        <v>-3722785.6</v>
      </c>
    </row>
    <row r="28" spans="1:19" x14ac:dyDescent="0.3">
      <c r="A28" t="s">
        <v>497</v>
      </c>
      <c r="B28" s="2">
        <v>3722785.6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f t="shared" si="0"/>
        <v>3722785.6</v>
      </c>
    </row>
    <row r="29" spans="1:19" x14ac:dyDescent="0.3">
      <c r="A29" t="s">
        <v>498</v>
      </c>
      <c r="B29" s="2">
        <v>-1764072.99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f t="shared" si="0"/>
        <v>-1764072.99</v>
      </c>
    </row>
    <row r="30" spans="1:19" x14ac:dyDescent="0.3">
      <c r="A30" t="s">
        <v>499</v>
      </c>
      <c r="B30" s="2">
        <v>1764072.99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f t="shared" si="0"/>
        <v>1764072.99</v>
      </c>
    </row>
    <row r="31" spans="1:19" x14ac:dyDescent="0.3">
      <c r="A31" t="s">
        <v>500</v>
      </c>
      <c r="B31" s="2">
        <v>-162434.63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f t="shared" si="0"/>
        <v>-162434.63</v>
      </c>
    </row>
    <row r="32" spans="1:19" x14ac:dyDescent="0.3">
      <c r="A32" t="s">
        <v>501</v>
      </c>
      <c r="B32" s="2">
        <v>162434.63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f t="shared" si="0"/>
        <v>162434.63</v>
      </c>
    </row>
    <row r="33" spans="1:20" x14ac:dyDescent="0.3">
      <c r="A33" t="s">
        <v>502</v>
      </c>
      <c r="B33" s="2">
        <v>-600795.07999999996</v>
      </c>
      <c r="C33" s="2">
        <v>0</v>
      </c>
      <c r="D33" s="2">
        <v>0</v>
      </c>
      <c r="E33" s="2">
        <v>0</v>
      </c>
      <c r="F33" s="2">
        <v>0</v>
      </c>
      <c r="G33" s="2">
        <v>-0.01</v>
      </c>
      <c r="H33" s="2">
        <v>0.01</v>
      </c>
      <c r="I33" s="2">
        <v>0</v>
      </c>
      <c r="J33" s="2">
        <v>0</v>
      </c>
      <c r="K33" s="2">
        <v>-0.01</v>
      </c>
      <c r="L33" s="2">
        <v>0.01</v>
      </c>
      <c r="M33" s="2">
        <v>0</v>
      </c>
      <c r="N33" s="2">
        <v>0</v>
      </c>
      <c r="O33" s="2">
        <v>0</v>
      </c>
      <c r="P33" s="2">
        <v>-0.01</v>
      </c>
      <c r="Q33" s="2">
        <v>0.01</v>
      </c>
      <c r="R33" s="2">
        <v>0</v>
      </c>
      <c r="S33" s="2">
        <f t="shared" si="0"/>
        <v>-600795.07999999996</v>
      </c>
    </row>
    <row r="34" spans="1:20" x14ac:dyDescent="0.3">
      <c r="A34" t="s">
        <v>503</v>
      </c>
      <c r="B34" s="2">
        <v>-201500.57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f t="shared" si="0"/>
        <v>-201500.57</v>
      </c>
    </row>
    <row r="35" spans="1:20" x14ac:dyDescent="0.3">
      <c r="A35" t="s">
        <v>504</v>
      </c>
      <c r="B35" s="2">
        <v>-26686310.77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f t="shared" si="0"/>
        <v>-26686310.77</v>
      </c>
    </row>
    <row r="36" spans="1:20" x14ac:dyDescent="0.3">
      <c r="A36" t="s">
        <v>505</v>
      </c>
      <c r="B36" s="2">
        <v>26686310.77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f t="shared" si="0"/>
        <v>26686310.77</v>
      </c>
    </row>
    <row r="37" spans="1:20" x14ac:dyDescent="0.3">
      <c r="A37" t="s">
        <v>506</v>
      </c>
      <c r="B37" s="2">
        <v>-108182.65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f t="shared" si="0"/>
        <v>-108182.65</v>
      </c>
    </row>
    <row r="38" spans="1:20" x14ac:dyDescent="0.3">
      <c r="A38" t="s">
        <v>507</v>
      </c>
      <c r="B38" s="2">
        <v>108182.65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f t="shared" si="0"/>
        <v>108182.65</v>
      </c>
    </row>
    <row r="39" spans="1:20" x14ac:dyDescent="0.3">
      <c r="A39" t="s">
        <v>508</v>
      </c>
      <c r="B39" s="2">
        <v>-21576.27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f t="shared" si="0"/>
        <v>-21576.27</v>
      </c>
    </row>
    <row r="40" spans="1:20" x14ac:dyDescent="0.3">
      <c r="A40" t="s">
        <v>509</v>
      </c>
      <c r="B40" s="2">
        <v>-28049.17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f t="shared" si="0"/>
        <v>-28049.17</v>
      </c>
    </row>
    <row r="41" spans="1:20" x14ac:dyDescent="0.3">
      <c r="A41" t="s">
        <v>510</v>
      </c>
      <c r="B41" s="2">
        <v>28049.17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f t="shared" si="0"/>
        <v>28049.17</v>
      </c>
    </row>
    <row r="42" spans="1:20" x14ac:dyDescent="0.3">
      <c r="A42" t="s">
        <v>511</v>
      </c>
      <c r="B42" s="2">
        <v>-541834.13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f t="shared" ref="S42:S73" si="1">SUM(B42:R42)</f>
        <v>-541834.13</v>
      </c>
    </row>
    <row r="43" spans="1:20" x14ac:dyDescent="0.3">
      <c r="A43" t="s">
        <v>512</v>
      </c>
      <c r="B43" s="2">
        <v>541834.13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f t="shared" si="1"/>
        <v>541834.13</v>
      </c>
    </row>
    <row r="44" spans="1:20" x14ac:dyDescent="0.3">
      <c r="A44" t="s">
        <v>513</v>
      </c>
      <c r="B44" s="2">
        <v>-18926660.34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f t="shared" si="1"/>
        <v>-18926660.34</v>
      </c>
      <c r="T44" s="5" t="s">
        <v>17</v>
      </c>
    </row>
    <row r="45" spans="1:20" x14ac:dyDescent="0.3">
      <c r="A45" t="s">
        <v>514</v>
      </c>
      <c r="B45" s="2">
        <v>56.63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f t="shared" si="1"/>
        <v>56.63</v>
      </c>
    </row>
    <row r="46" spans="1:20" x14ac:dyDescent="0.3">
      <c r="A46" t="s">
        <v>515</v>
      </c>
      <c r="B46" s="2">
        <v>-6.6</v>
      </c>
      <c r="C46" s="2">
        <v>0</v>
      </c>
      <c r="D46" s="2">
        <v>0</v>
      </c>
      <c r="E46" s="2">
        <v>5.21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f t="shared" si="1"/>
        <v>-1.3899999999999997</v>
      </c>
    </row>
    <row r="47" spans="1:20" x14ac:dyDescent="0.3">
      <c r="A47" t="s">
        <v>516</v>
      </c>
      <c r="B47" s="2">
        <v>-9135.0300000000007</v>
      </c>
      <c r="C47" s="2">
        <v>583.01</v>
      </c>
      <c r="D47" s="2">
        <v>0</v>
      </c>
      <c r="E47" s="2">
        <v>-0.01</v>
      </c>
      <c r="F47" s="2">
        <v>0</v>
      </c>
      <c r="G47" s="2">
        <v>0</v>
      </c>
      <c r="H47" s="2">
        <v>0</v>
      </c>
      <c r="I47" s="2">
        <v>0.01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0.01</v>
      </c>
      <c r="R47" s="2">
        <v>0</v>
      </c>
      <c r="S47" s="2">
        <f t="shared" si="1"/>
        <v>-8552.01</v>
      </c>
    </row>
    <row r="48" spans="1:20" x14ac:dyDescent="0.3">
      <c r="A48" t="s">
        <v>517</v>
      </c>
      <c r="B48" s="2">
        <v>-10794563.939999999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-0.01</v>
      </c>
      <c r="J48" s="2">
        <v>0</v>
      </c>
      <c r="K48" s="2">
        <v>0</v>
      </c>
      <c r="L48" s="2">
        <v>0</v>
      </c>
      <c r="M48" s="2">
        <v>0.01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f t="shared" si="1"/>
        <v>-10794563.939999999</v>
      </c>
    </row>
    <row r="49" spans="1:19" x14ac:dyDescent="0.3">
      <c r="A49" t="s">
        <v>518</v>
      </c>
      <c r="B49" s="2">
        <v>-587398.81000000006</v>
      </c>
      <c r="C49" s="2">
        <v>8265.18</v>
      </c>
      <c r="D49" s="2">
        <v>-0.02</v>
      </c>
      <c r="E49" s="2">
        <v>7983.3</v>
      </c>
      <c r="F49" s="2">
        <v>0</v>
      </c>
      <c r="G49" s="2">
        <v>0.01</v>
      </c>
      <c r="H49" s="2">
        <v>7954.02</v>
      </c>
      <c r="I49" s="2">
        <v>0.01</v>
      </c>
      <c r="J49" s="2">
        <v>0</v>
      </c>
      <c r="K49" s="2">
        <v>7907.07</v>
      </c>
      <c r="L49" s="2">
        <v>-0.02</v>
      </c>
      <c r="M49" s="2">
        <v>22803.31</v>
      </c>
      <c r="N49" s="2">
        <v>0</v>
      </c>
      <c r="O49" s="2">
        <v>0.01</v>
      </c>
      <c r="P49" s="2">
        <v>7828.71</v>
      </c>
      <c r="Q49" s="2">
        <v>2884.27</v>
      </c>
      <c r="R49" s="2">
        <v>0</v>
      </c>
      <c r="S49" s="2">
        <f t="shared" si="1"/>
        <v>-521772.95999999996</v>
      </c>
    </row>
    <row r="50" spans="1:19" x14ac:dyDescent="0.3">
      <c r="A50" t="s">
        <v>519</v>
      </c>
      <c r="B50" s="2">
        <v>-15974.02</v>
      </c>
      <c r="C50" s="2">
        <v>0</v>
      </c>
      <c r="D50" s="2">
        <v>0</v>
      </c>
      <c r="E50" s="2">
        <v>4713.88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f t="shared" si="1"/>
        <v>-11260.14</v>
      </c>
    </row>
    <row r="51" spans="1:19" x14ac:dyDescent="0.3">
      <c r="A51" t="s">
        <v>520</v>
      </c>
      <c r="B51" s="2">
        <v>20393617.809999999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-0.01</v>
      </c>
      <c r="R51" s="2">
        <v>0</v>
      </c>
      <c r="S51" s="2">
        <f t="shared" si="1"/>
        <v>20393617.799999997</v>
      </c>
    </row>
    <row r="52" spans="1:19" x14ac:dyDescent="0.3">
      <c r="A52" t="s">
        <v>521</v>
      </c>
      <c r="B52" s="2">
        <v>-22.19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f t="shared" si="1"/>
        <v>-22.19</v>
      </c>
    </row>
    <row r="53" spans="1:19" x14ac:dyDescent="0.3">
      <c r="A53" t="s">
        <v>522</v>
      </c>
      <c r="B53" s="2">
        <v>341344.07</v>
      </c>
      <c r="C53" s="2">
        <v>0</v>
      </c>
      <c r="D53" s="2">
        <v>0</v>
      </c>
      <c r="E53" s="2">
        <v>-338.47</v>
      </c>
      <c r="F53" s="2">
        <v>0</v>
      </c>
      <c r="G53" s="2">
        <v>0</v>
      </c>
      <c r="H53" s="2">
        <v>-0.01</v>
      </c>
      <c r="I53" s="2">
        <v>-333.56</v>
      </c>
      <c r="J53" s="2">
        <v>0</v>
      </c>
      <c r="K53" s="2">
        <v>0.01</v>
      </c>
      <c r="L53" s="2">
        <v>0</v>
      </c>
      <c r="M53" s="2">
        <v>-328.78</v>
      </c>
      <c r="N53" s="2">
        <v>0</v>
      </c>
      <c r="O53" s="2">
        <v>0</v>
      </c>
      <c r="P53" s="2">
        <v>0</v>
      </c>
      <c r="Q53" s="2">
        <v>-324.14999999999998</v>
      </c>
      <c r="R53" s="2">
        <v>0</v>
      </c>
      <c r="S53" s="2">
        <f t="shared" si="1"/>
        <v>340019.11</v>
      </c>
    </row>
    <row r="54" spans="1:19" x14ac:dyDescent="0.3">
      <c r="A54" t="s">
        <v>523</v>
      </c>
      <c r="B54" s="2">
        <v>-1137616.8999999999</v>
      </c>
      <c r="C54" s="2">
        <v>211.49</v>
      </c>
      <c r="D54" s="2">
        <v>0</v>
      </c>
      <c r="E54" s="2">
        <v>-0.01</v>
      </c>
      <c r="F54" s="2">
        <v>0</v>
      </c>
      <c r="G54" s="2">
        <v>0.01</v>
      </c>
      <c r="H54" s="2">
        <v>0</v>
      </c>
      <c r="I54" s="2">
        <v>-0.01</v>
      </c>
      <c r="J54" s="2">
        <v>0</v>
      </c>
      <c r="K54" s="2">
        <v>0.01</v>
      </c>
      <c r="L54" s="2">
        <v>0</v>
      </c>
      <c r="M54" s="2">
        <v>-0.01</v>
      </c>
      <c r="N54" s="2">
        <v>0</v>
      </c>
      <c r="O54" s="2">
        <v>0.01</v>
      </c>
      <c r="P54" s="2">
        <v>0</v>
      </c>
      <c r="Q54" s="2">
        <v>10651.43</v>
      </c>
      <c r="R54" s="2">
        <v>0</v>
      </c>
      <c r="S54" s="2">
        <f t="shared" si="1"/>
        <v>-1126753.98</v>
      </c>
    </row>
    <row r="55" spans="1:19" x14ac:dyDescent="0.3">
      <c r="A55" t="s">
        <v>524</v>
      </c>
      <c r="B55" s="2">
        <v>0</v>
      </c>
      <c r="C55" s="2">
        <v>0</v>
      </c>
      <c r="D55" s="2">
        <v>0</v>
      </c>
      <c r="E55" s="2">
        <v>-0.01</v>
      </c>
      <c r="F55" s="2">
        <v>0</v>
      </c>
      <c r="G55" s="2">
        <v>0.01</v>
      </c>
      <c r="H55" s="2">
        <v>0</v>
      </c>
      <c r="I55" s="2">
        <v>0.01</v>
      </c>
      <c r="J55" s="2">
        <v>0</v>
      </c>
      <c r="K55" s="2">
        <v>-0.01</v>
      </c>
      <c r="L55" s="2">
        <v>-0.01</v>
      </c>
      <c r="M55" s="2">
        <v>0.01</v>
      </c>
      <c r="N55" s="2">
        <v>0</v>
      </c>
      <c r="O55" s="2">
        <v>0.01</v>
      </c>
      <c r="P55" s="2">
        <v>-0.01</v>
      </c>
      <c r="Q55" s="2">
        <v>0</v>
      </c>
      <c r="R55" s="2">
        <v>0</v>
      </c>
      <c r="S55" s="2">
        <f t="shared" si="1"/>
        <v>0</v>
      </c>
    </row>
    <row r="56" spans="1:19" x14ac:dyDescent="0.3">
      <c r="A56" t="s">
        <v>525</v>
      </c>
      <c r="B56" s="2">
        <v>77325.95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f t="shared" si="1"/>
        <v>77325.95</v>
      </c>
    </row>
    <row r="57" spans="1:19" x14ac:dyDescent="0.3">
      <c r="A57" t="s">
        <v>526</v>
      </c>
      <c r="B57" s="2">
        <v>-492.98</v>
      </c>
      <c r="C57" s="2">
        <v>0.01</v>
      </c>
      <c r="D57" s="2">
        <v>-0.01</v>
      </c>
      <c r="E57" s="2">
        <v>0</v>
      </c>
      <c r="F57" s="2">
        <v>0</v>
      </c>
      <c r="G57" s="2">
        <v>-0.01</v>
      </c>
      <c r="H57" s="2">
        <v>0.01</v>
      </c>
      <c r="I57" s="2">
        <v>0</v>
      </c>
      <c r="J57" s="2">
        <v>0</v>
      </c>
      <c r="K57" s="2">
        <v>0.01</v>
      </c>
      <c r="L57" s="2">
        <v>-0.01</v>
      </c>
      <c r="M57" s="2">
        <v>0</v>
      </c>
      <c r="N57" s="2">
        <v>0</v>
      </c>
      <c r="O57" s="2">
        <v>0</v>
      </c>
      <c r="P57" s="2">
        <v>0.01</v>
      </c>
      <c r="Q57" s="2">
        <v>-0.02</v>
      </c>
      <c r="R57" s="2">
        <v>0</v>
      </c>
      <c r="S57" s="2">
        <f t="shared" si="1"/>
        <v>-492.99</v>
      </c>
    </row>
    <row r="58" spans="1:19" x14ac:dyDescent="0.3">
      <c r="A58" t="s">
        <v>527</v>
      </c>
      <c r="B58" s="2">
        <v>2708.04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f t="shared" si="1"/>
        <v>2708.04</v>
      </c>
    </row>
    <row r="59" spans="1:19" x14ac:dyDescent="0.3">
      <c r="A59" t="s">
        <v>528</v>
      </c>
      <c r="B59" s="2">
        <v>-0.01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f t="shared" si="1"/>
        <v>-0.01</v>
      </c>
    </row>
    <row r="60" spans="1:19" x14ac:dyDescent="0.3">
      <c r="A60" t="s">
        <v>529</v>
      </c>
      <c r="B60" s="2">
        <v>-0.04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f t="shared" si="1"/>
        <v>-0.04</v>
      </c>
    </row>
    <row r="61" spans="1:19" x14ac:dyDescent="0.3">
      <c r="A61" t="s">
        <v>530</v>
      </c>
      <c r="B61" s="2">
        <v>-2109.7800000000002</v>
      </c>
      <c r="C61" s="2">
        <v>0</v>
      </c>
      <c r="D61" s="2">
        <v>19.010000000000002</v>
      </c>
      <c r="E61" s="2">
        <v>19.37</v>
      </c>
      <c r="F61" s="2">
        <v>0</v>
      </c>
      <c r="G61" s="2">
        <v>0</v>
      </c>
      <c r="H61" s="2">
        <v>0</v>
      </c>
      <c r="I61" s="2">
        <v>0.01</v>
      </c>
      <c r="J61" s="2">
        <v>0</v>
      </c>
      <c r="K61" s="2">
        <v>-0.01</v>
      </c>
      <c r="L61" s="2">
        <v>11.75</v>
      </c>
      <c r="M61" s="2">
        <v>0</v>
      </c>
      <c r="N61" s="2">
        <v>0</v>
      </c>
      <c r="O61" s="2">
        <v>35.159999999999997</v>
      </c>
      <c r="P61" s="2">
        <v>38.08</v>
      </c>
      <c r="Q61" s="2">
        <v>13.65</v>
      </c>
      <c r="R61" s="2">
        <v>0</v>
      </c>
      <c r="S61" s="2">
        <f t="shared" si="1"/>
        <v>-1972.76</v>
      </c>
    </row>
    <row r="62" spans="1:19" x14ac:dyDescent="0.3">
      <c r="A62" t="s">
        <v>531</v>
      </c>
      <c r="B62" s="2">
        <v>1.2</v>
      </c>
      <c r="C62" s="2">
        <v>-0.02</v>
      </c>
      <c r="D62" s="2">
        <v>0</v>
      </c>
      <c r="E62" s="2">
        <v>-0.02</v>
      </c>
      <c r="F62" s="2">
        <v>0</v>
      </c>
      <c r="G62" s="2">
        <v>-0.01</v>
      </c>
      <c r="H62" s="2">
        <v>-0.01</v>
      </c>
      <c r="I62" s="2">
        <v>-0.01</v>
      </c>
      <c r="J62" s="2">
        <v>0</v>
      </c>
      <c r="K62" s="2">
        <v>-0.02</v>
      </c>
      <c r="L62" s="2">
        <v>0</v>
      </c>
      <c r="M62" s="2">
        <v>-0.02</v>
      </c>
      <c r="N62" s="2">
        <v>0</v>
      </c>
      <c r="O62" s="2">
        <v>-0.01</v>
      </c>
      <c r="P62" s="2">
        <v>-0.01</v>
      </c>
      <c r="Q62" s="2">
        <v>-0.01</v>
      </c>
      <c r="R62" s="2">
        <v>0</v>
      </c>
      <c r="S62" s="2">
        <f t="shared" si="1"/>
        <v>1.0599999999999998</v>
      </c>
    </row>
    <row r="63" spans="1:19" x14ac:dyDescent="0.3">
      <c r="A63" t="s">
        <v>532</v>
      </c>
      <c r="B63" s="2">
        <v>-0.01</v>
      </c>
      <c r="C63" s="2">
        <v>0</v>
      </c>
      <c r="D63" s="2">
        <v>-0.01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-0.01</v>
      </c>
      <c r="L63" s="2">
        <v>0</v>
      </c>
      <c r="M63" s="2">
        <v>0.01</v>
      </c>
      <c r="N63" s="2">
        <v>0</v>
      </c>
      <c r="O63" s="2">
        <v>0</v>
      </c>
      <c r="P63" s="2">
        <v>-0.01</v>
      </c>
      <c r="Q63" s="2">
        <v>0.01</v>
      </c>
      <c r="R63" s="2">
        <v>0</v>
      </c>
      <c r="S63" s="2">
        <f t="shared" si="1"/>
        <v>-1.9999999999999997E-2</v>
      </c>
    </row>
    <row r="64" spans="1:19" x14ac:dyDescent="0.3">
      <c r="A64" t="s">
        <v>533</v>
      </c>
      <c r="B64" s="2">
        <v>31873.42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f t="shared" si="1"/>
        <v>31873.42</v>
      </c>
    </row>
    <row r="65" spans="1:19" x14ac:dyDescent="0.3">
      <c r="A65" t="s">
        <v>534</v>
      </c>
      <c r="B65" s="2">
        <v>-0.05</v>
      </c>
      <c r="C65" s="2">
        <v>0.01</v>
      </c>
      <c r="D65" s="2">
        <v>-0.01</v>
      </c>
      <c r="E65" s="2">
        <v>0</v>
      </c>
      <c r="F65" s="2">
        <v>0</v>
      </c>
      <c r="G65" s="2">
        <v>-0.01</v>
      </c>
      <c r="H65" s="2">
        <v>0</v>
      </c>
      <c r="I65" s="2">
        <v>-0.01</v>
      </c>
      <c r="J65" s="2">
        <v>0</v>
      </c>
      <c r="K65" s="2">
        <v>-0.01</v>
      </c>
      <c r="L65" s="2">
        <v>-0.01</v>
      </c>
      <c r="M65" s="2">
        <v>-0.01</v>
      </c>
      <c r="N65" s="2">
        <v>0</v>
      </c>
      <c r="O65" s="2">
        <v>0.01</v>
      </c>
      <c r="P65" s="2">
        <v>-0.01</v>
      </c>
      <c r="Q65" s="2">
        <v>0</v>
      </c>
      <c r="R65" s="2">
        <v>0</v>
      </c>
      <c r="S65" s="2">
        <f t="shared" si="1"/>
        <v>-9.9999999999999992E-2</v>
      </c>
    </row>
    <row r="66" spans="1:19" x14ac:dyDescent="0.3">
      <c r="A66" t="s">
        <v>535</v>
      </c>
      <c r="B66" s="2">
        <v>0.01</v>
      </c>
      <c r="C66" s="2">
        <v>0</v>
      </c>
      <c r="D66" s="2">
        <v>0</v>
      </c>
      <c r="E66" s="2">
        <v>0.01</v>
      </c>
      <c r="F66" s="2">
        <v>0</v>
      </c>
      <c r="G66" s="2">
        <v>0</v>
      </c>
      <c r="H66" s="2">
        <v>0.01</v>
      </c>
      <c r="I66" s="2">
        <v>0</v>
      </c>
      <c r="J66" s="2">
        <v>0</v>
      </c>
      <c r="K66" s="2">
        <v>0</v>
      </c>
      <c r="L66" s="2">
        <v>0</v>
      </c>
      <c r="M66" s="2">
        <v>0.01</v>
      </c>
      <c r="N66" s="2">
        <v>0</v>
      </c>
      <c r="O66" s="2">
        <v>-0.01</v>
      </c>
      <c r="P66" s="2">
        <v>0</v>
      </c>
      <c r="Q66" s="2">
        <v>0</v>
      </c>
      <c r="R66" s="2">
        <v>0</v>
      </c>
      <c r="S66" s="2">
        <f t="shared" si="1"/>
        <v>0.03</v>
      </c>
    </row>
    <row r="67" spans="1:19" x14ac:dyDescent="0.3">
      <c r="A67" t="s">
        <v>536</v>
      </c>
      <c r="B67" s="2">
        <v>-0.01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f t="shared" si="1"/>
        <v>-0.01</v>
      </c>
    </row>
    <row r="68" spans="1:19" x14ac:dyDescent="0.3">
      <c r="A68" t="s">
        <v>537</v>
      </c>
      <c r="B68" s="2">
        <v>-0.03</v>
      </c>
      <c r="C68" s="2">
        <v>0</v>
      </c>
      <c r="D68" s="2">
        <v>0.01</v>
      </c>
      <c r="E68" s="2">
        <v>-0.01</v>
      </c>
      <c r="F68" s="2">
        <v>0</v>
      </c>
      <c r="G68" s="2">
        <v>0.01</v>
      </c>
      <c r="H68" s="2">
        <v>-0.01</v>
      </c>
      <c r="I68" s="2">
        <v>0.01</v>
      </c>
      <c r="J68" s="2">
        <v>0</v>
      </c>
      <c r="K68" s="2">
        <v>-0.01</v>
      </c>
      <c r="L68" s="2">
        <v>0.01</v>
      </c>
      <c r="M68" s="2">
        <v>-0.01</v>
      </c>
      <c r="N68" s="2">
        <v>0</v>
      </c>
      <c r="O68" s="2">
        <v>0.01</v>
      </c>
      <c r="P68" s="2">
        <v>0</v>
      </c>
      <c r="Q68" s="2">
        <v>0</v>
      </c>
      <c r="R68" s="2">
        <v>0</v>
      </c>
      <c r="S68" s="2">
        <f t="shared" si="1"/>
        <v>-1.9999999999999997E-2</v>
      </c>
    </row>
    <row r="69" spans="1:19" x14ac:dyDescent="0.3">
      <c r="A69" t="s">
        <v>538</v>
      </c>
      <c r="B69" s="2">
        <v>-0.48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f t="shared" si="1"/>
        <v>-0.48</v>
      </c>
    </row>
    <row r="70" spans="1:19" x14ac:dyDescent="0.3">
      <c r="A70" t="s">
        <v>539</v>
      </c>
      <c r="B70" s="2">
        <v>-5.81</v>
      </c>
      <c r="C70" s="2">
        <v>0</v>
      </c>
      <c r="D70" s="2">
        <v>0</v>
      </c>
      <c r="E70" s="2">
        <v>0</v>
      </c>
      <c r="F70" s="2">
        <v>0</v>
      </c>
      <c r="G70" s="2">
        <v>0.38</v>
      </c>
      <c r="H70" s="2">
        <v>0.83</v>
      </c>
      <c r="I70" s="2">
        <v>-0.01</v>
      </c>
      <c r="J70" s="2">
        <v>0</v>
      </c>
      <c r="K70" s="2">
        <v>0.63</v>
      </c>
      <c r="L70" s="2">
        <v>0.63</v>
      </c>
      <c r="M70" s="2">
        <v>0</v>
      </c>
      <c r="N70" s="2">
        <v>0</v>
      </c>
      <c r="O70" s="2">
        <v>0</v>
      </c>
      <c r="P70" s="2">
        <v>0.5</v>
      </c>
      <c r="Q70" s="2">
        <v>0.28999999999999998</v>
      </c>
      <c r="R70" s="2">
        <v>0</v>
      </c>
      <c r="S70" s="2">
        <f t="shared" si="1"/>
        <v>-2.5599999999999996</v>
      </c>
    </row>
    <row r="71" spans="1:19" x14ac:dyDescent="0.3">
      <c r="A71" t="s">
        <v>540</v>
      </c>
      <c r="B71" s="2">
        <v>-1151.52</v>
      </c>
      <c r="C71" s="2">
        <v>0</v>
      </c>
      <c r="D71" s="2">
        <v>-0.01</v>
      </c>
      <c r="E71" s="2">
        <v>0.01</v>
      </c>
      <c r="F71" s="2">
        <v>0</v>
      </c>
      <c r="G71" s="2">
        <v>0</v>
      </c>
      <c r="H71" s="2">
        <v>0</v>
      </c>
      <c r="I71" s="2">
        <v>-0.01</v>
      </c>
      <c r="J71" s="2">
        <v>0</v>
      </c>
      <c r="K71" s="2">
        <v>0.01</v>
      </c>
      <c r="L71" s="2">
        <v>0</v>
      </c>
      <c r="M71" s="2">
        <v>0</v>
      </c>
      <c r="N71" s="2">
        <v>0</v>
      </c>
      <c r="O71" s="2">
        <v>-0.01</v>
      </c>
      <c r="P71" s="2">
        <v>0.01</v>
      </c>
      <c r="Q71" s="2">
        <v>0</v>
      </c>
      <c r="R71" s="2">
        <v>0</v>
      </c>
      <c r="S71" s="2">
        <f t="shared" si="1"/>
        <v>-1151.52</v>
      </c>
    </row>
    <row r="72" spans="1:19" x14ac:dyDescent="0.3">
      <c r="A72" t="s">
        <v>541</v>
      </c>
      <c r="B72" s="2">
        <v>-0.02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f t="shared" si="1"/>
        <v>-0.02</v>
      </c>
    </row>
    <row r="73" spans="1:19" x14ac:dyDescent="0.3">
      <c r="A73" t="s">
        <v>542</v>
      </c>
      <c r="B73" s="2">
        <v>-53469.97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f t="shared" si="1"/>
        <v>-53469.97</v>
      </c>
    </row>
    <row r="74" spans="1:19" x14ac:dyDescent="0.3">
      <c r="A74" t="s">
        <v>543</v>
      </c>
      <c r="B74" s="2">
        <v>-31614.02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f t="shared" ref="S74:S95" si="2">SUM(B74:R74)</f>
        <v>-31614.02</v>
      </c>
    </row>
    <row r="75" spans="1:19" x14ac:dyDescent="0.3">
      <c r="A75" t="s">
        <v>544</v>
      </c>
      <c r="B75" s="2">
        <v>-0.17</v>
      </c>
      <c r="C75" s="2">
        <v>-0.01</v>
      </c>
      <c r="D75" s="2">
        <v>0.02</v>
      </c>
      <c r="E75" s="2">
        <v>-0.02</v>
      </c>
      <c r="F75" s="2">
        <v>0</v>
      </c>
      <c r="G75" s="2">
        <v>0.01</v>
      </c>
      <c r="H75" s="2">
        <v>-0.01</v>
      </c>
      <c r="I75" s="2">
        <v>0.02</v>
      </c>
      <c r="J75" s="2">
        <v>0</v>
      </c>
      <c r="K75" s="2">
        <v>-0.02</v>
      </c>
      <c r="L75" s="2">
        <v>0.01</v>
      </c>
      <c r="M75" s="2">
        <v>-0.01</v>
      </c>
      <c r="N75" s="2">
        <v>0</v>
      </c>
      <c r="O75" s="2">
        <v>0.02</v>
      </c>
      <c r="P75" s="2">
        <v>-0.02</v>
      </c>
      <c r="Q75" s="2">
        <v>0.01</v>
      </c>
      <c r="R75" s="2">
        <v>0</v>
      </c>
      <c r="S75" s="2">
        <f t="shared" si="2"/>
        <v>-0.17</v>
      </c>
    </row>
    <row r="76" spans="1:19" x14ac:dyDescent="0.3">
      <c r="A76" t="s">
        <v>545</v>
      </c>
      <c r="B76" s="2">
        <v>0.01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f t="shared" si="2"/>
        <v>0.01</v>
      </c>
    </row>
    <row r="77" spans="1:19" x14ac:dyDescent="0.3">
      <c r="A77" t="s">
        <v>546</v>
      </c>
      <c r="B77" s="2">
        <v>0.01</v>
      </c>
      <c r="C77" s="2">
        <v>0</v>
      </c>
      <c r="D77" s="2">
        <v>0.01</v>
      </c>
      <c r="E77" s="2">
        <v>-0.01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-0.01</v>
      </c>
      <c r="L77" s="2">
        <v>0</v>
      </c>
      <c r="M77" s="2">
        <v>0</v>
      </c>
      <c r="N77" s="2">
        <v>0</v>
      </c>
      <c r="O77" s="2">
        <v>0</v>
      </c>
      <c r="P77" s="2">
        <v>-0.01</v>
      </c>
      <c r="Q77" s="2">
        <v>0</v>
      </c>
      <c r="R77" s="2">
        <v>0</v>
      </c>
      <c r="S77" s="2">
        <f t="shared" si="2"/>
        <v>-0.01</v>
      </c>
    </row>
    <row r="78" spans="1:19" x14ac:dyDescent="0.3">
      <c r="A78" t="s">
        <v>547</v>
      </c>
      <c r="B78" s="2">
        <v>-228106.13</v>
      </c>
      <c r="C78" s="2">
        <v>-0.01</v>
      </c>
      <c r="D78" s="2">
        <v>0.02</v>
      </c>
      <c r="E78" s="2">
        <v>-0.02</v>
      </c>
      <c r="F78" s="2">
        <v>0</v>
      </c>
      <c r="G78" s="2">
        <v>0.02</v>
      </c>
      <c r="H78" s="2">
        <v>0</v>
      </c>
      <c r="I78" s="2">
        <v>-0.01</v>
      </c>
      <c r="J78" s="2">
        <v>0</v>
      </c>
      <c r="K78" s="2">
        <v>0.01</v>
      </c>
      <c r="L78" s="2">
        <v>-0.01</v>
      </c>
      <c r="M78" s="2">
        <v>-0.01</v>
      </c>
      <c r="N78" s="2">
        <v>0</v>
      </c>
      <c r="O78" s="2">
        <v>0.02</v>
      </c>
      <c r="P78" s="2">
        <v>-0.01</v>
      </c>
      <c r="Q78" s="2">
        <v>0.01</v>
      </c>
      <c r="R78" s="2">
        <v>0</v>
      </c>
      <c r="S78" s="2">
        <f t="shared" si="2"/>
        <v>-228106.12000000005</v>
      </c>
    </row>
    <row r="79" spans="1:19" x14ac:dyDescent="0.3">
      <c r="A79" t="s">
        <v>548</v>
      </c>
      <c r="B79" s="2">
        <v>-448773.91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f t="shared" si="2"/>
        <v>-448773.91</v>
      </c>
    </row>
    <row r="80" spans="1:19" x14ac:dyDescent="0.3">
      <c r="A80" t="s">
        <v>549</v>
      </c>
      <c r="B80" s="2">
        <v>-3439391.19</v>
      </c>
      <c r="C80" s="2">
        <v>-0.01</v>
      </c>
      <c r="D80" s="2">
        <v>0.01</v>
      </c>
      <c r="E80" s="2">
        <v>-0.03</v>
      </c>
      <c r="F80" s="2">
        <v>0</v>
      </c>
      <c r="G80" s="2">
        <v>0.02</v>
      </c>
      <c r="H80" s="2">
        <v>-0.01</v>
      </c>
      <c r="I80" s="2">
        <v>0.01</v>
      </c>
      <c r="J80" s="2">
        <v>0</v>
      </c>
      <c r="K80" s="2">
        <v>0</v>
      </c>
      <c r="L80" s="2">
        <v>0</v>
      </c>
      <c r="M80" s="2">
        <v>0.01</v>
      </c>
      <c r="N80" s="2">
        <v>0</v>
      </c>
      <c r="O80" s="2">
        <v>-0.01</v>
      </c>
      <c r="P80" s="2">
        <v>0</v>
      </c>
      <c r="Q80" s="2">
        <v>0.01</v>
      </c>
      <c r="R80" s="2">
        <v>0</v>
      </c>
      <c r="S80" s="2">
        <f t="shared" si="2"/>
        <v>-3439391.19</v>
      </c>
    </row>
    <row r="81" spans="1:21" x14ac:dyDescent="0.3">
      <c r="A81" t="s">
        <v>550</v>
      </c>
      <c r="B81" s="2">
        <v>0</v>
      </c>
      <c r="C81" s="2">
        <v>0</v>
      </c>
      <c r="D81" s="2">
        <v>-0.01</v>
      </c>
      <c r="E81" s="2">
        <v>0.02</v>
      </c>
      <c r="F81" s="2">
        <v>0</v>
      </c>
      <c r="G81" s="2">
        <v>-0.02</v>
      </c>
      <c r="H81" s="2">
        <v>0</v>
      </c>
      <c r="I81" s="2">
        <v>-0.01</v>
      </c>
      <c r="J81" s="2">
        <v>0</v>
      </c>
      <c r="K81" s="2">
        <v>0.02</v>
      </c>
      <c r="L81" s="2">
        <v>0</v>
      </c>
      <c r="M81" s="2">
        <v>-0.01</v>
      </c>
      <c r="N81" s="2">
        <v>0</v>
      </c>
      <c r="O81" s="2">
        <v>0.01</v>
      </c>
      <c r="P81" s="2">
        <v>0</v>
      </c>
      <c r="Q81" s="2">
        <v>0</v>
      </c>
      <c r="R81" s="2">
        <v>0</v>
      </c>
      <c r="S81" s="2">
        <f t="shared" si="2"/>
        <v>0</v>
      </c>
    </row>
    <row r="82" spans="1:21" x14ac:dyDescent="0.3">
      <c r="A82" t="s">
        <v>551</v>
      </c>
      <c r="B82" s="2">
        <v>58773.62</v>
      </c>
      <c r="C82" s="2">
        <v>-361.7</v>
      </c>
      <c r="D82" s="2">
        <v>-361.71</v>
      </c>
      <c r="E82" s="2">
        <v>-361.69</v>
      </c>
      <c r="F82" s="2">
        <v>0</v>
      </c>
      <c r="G82" s="2">
        <v>-361.72</v>
      </c>
      <c r="H82" s="2">
        <v>-361.7</v>
      </c>
      <c r="I82" s="2">
        <v>-361.71</v>
      </c>
      <c r="J82" s="2">
        <v>0</v>
      </c>
      <c r="K82" s="2">
        <v>-361.7</v>
      </c>
      <c r="L82" s="2">
        <v>-361.7</v>
      </c>
      <c r="M82" s="2">
        <v>-361.71</v>
      </c>
      <c r="N82" s="2">
        <v>0</v>
      </c>
      <c r="O82" s="2">
        <v>-361.71</v>
      </c>
      <c r="P82" s="2">
        <v>-361.7</v>
      </c>
      <c r="Q82" s="2">
        <v>-361.71</v>
      </c>
      <c r="R82" s="2">
        <v>0</v>
      </c>
      <c r="S82" s="2">
        <f t="shared" si="2"/>
        <v>54433.160000000018</v>
      </c>
    </row>
    <row r="83" spans="1:21" x14ac:dyDescent="0.3">
      <c r="A83" t="s">
        <v>552</v>
      </c>
      <c r="B83" s="2">
        <v>0.05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f t="shared" si="2"/>
        <v>0.05</v>
      </c>
      <c r="T83" s="5" t="s">
        <v>17</v>
      </c>
    </row>
    <row r="84" spans="1:21" x14ac:dyDescent="0.3">
      <c r="A84" t="s">
        <v>553</v>
      </c>
      <c r="B84" s="2">
        <v>327244555.48000002</v>
      </c>
      <c r="C84" s="2">
        <v>-1390152.5</v>
      </c>
      <c r="D84" s="2">
        <v>-1390152.5</v>
      </c>
      <c r="E84" s="2">
        <v>-1390152.5</v>
      </c>
      <c r="F84" s="2">
        <v>0</v>
      </c>
      <c r="G84" s="2">
        <v>-1390152.5</v>
      </c>
      <c r="H84" s="2">
        <v>-1390152.5</v>
      </c>
      <c r="I84" s="2">
        <v>-1390152.5</v>
      </c>
      <c r="J84" s="2">
        <v>0</v>
      </c>
      <c r="K84" s="2">
        <v>-1390152.5</v>
      </c>
      <c r="L84" s="2">
        <v>-1390152.5</v>
      </c>
      <c r="M84" s="2">
        <v>-1390152.5</v>
      </c>
      <c r="N84" s="2">
        <v>0</v>
      </c>
      <c r="O84" s="2">
        <v>-1390152.5</v>
      </c>
      <c r="P84" s="2">
        <v>-1390152.5</v>
      </c>
      <c r="Q84" s="2">
        <v>-1390152.5</v>
      </c>
      <c r="R84" s="2">
        <v>0</v>
      </c>
      <c r="S84" s="2">
        <f t="shared" si="2"/>
        <v>310562725.48000002</v>
      </c>
      <c r="T84" s="5" t="s">
        <v>17</v>
      </c>
    </row>
    <row r="85" spans="1:21" x14ac:dyDescent="0.3">
      <c r="A85" t="s">
        <v>554</v>
      </c>
      <c r="B85" s="2">
        <v>-21649156.440000001</v>
      </c>
      <c r="C85" s="2">
        <v>0</v>
      </c>
      <c r="D85" s="2">
        <v>0.01</v>
      </c>
      <c r="E85" s="2">
        <v>-0.01</v>
      </c>
      <c r="F85" s="2">
        <v>0</v>
      </c>
      <c r="G85" s="2">
        <v>0</v>
      </c>
      <c r="H85" s="2">
        <v>0.01</v>
      </c>
      <c r="I85" s="2">
        <v>-0.01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0.02</v>
      </c>
      <c r="R85" s="2">
        <v>0</v>
      </c>
      <c r="S85" s="2">
        <f t="shared" si="2"/>
        <v>-21649156.420000002</v>
      </c>
      <c r="T85" s="5" t="s">
        <v>17</v>
      </c>
      <c r="U85" s="2"/>
    </row>
    <row r="86" spans="1:21" x14ac:dyDescent="0.3">
      <c r="A86" t="s">
        <v>555</v>
      </c>
      <c r="B86" s="2">
        <v>15915785.23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f t="shared" si="2"/>
        <v>15915785.23</v>
      </c>
    </row>
    <row r="87" spans="1:21" x14ac:dyDescent="0.3">
      <c r="A87" t="s">
        <v>556</v>
      </c>
      <c r="B87" s="2">
        <v>-15629881.189999999</v>
      </c>
      <c r="C87" s="2">
        <v>-0.01</v>
      </c>
      <c r="D87" s="2">
        <v>0.01</v>
      </c>
      <c r="E87" s="2">
        <v>-0.01</v>
      </c>
      <c r="F87" s="2">
        <v>0</v>
      </c>
      <c r="G87" s="2">
        <v>0.01</v>
      </c>
      <c r="H87" s="2">
        <v>-0.01</v>
      </c>
      <c r="I87" s="2">
        <v>0.02</v>
      </c>
      <c r="J87" s="2">
        <v>0</v>
      </c>
      <c r="K87" s="2">
        <v>-0.02</v>
      </c>
      <c r="L87" s="2">
        <v>0.01</v>
      </c>
      <c r="M87" s="2">
        <v>-0.01</v>
      </c>
      <c r="N87" s="2">
        <v>0</v>
      </c>
      <c r="O87" s="2">
        <v>0.01</v>
      </c>
      <c r="P87" s="2">
        <v>-0.01</v>
      </c>
      <c r="Q87" s="2">
        <v>0.01</v>
      </c>
      <c r="R87" s="2">
        <v>0</v>
      </c>
      <c r="S87" s="2">
        <f t="shared" si="2"/>
        <v>-15629881.189999999</v>
      </c>
      <c r="T87" s="5" t="s">
        <v>17</v>
      </c>
    </row>
    <row r="88" spans="1:21" x14ac:dyDescent="0.3">
      <c r="A88" t="s">
        <v>557</v>
      </c>
      <c r="B88" s="2">
        <v>-0.01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0.01</v>
      </c>
      <c r="I88" s="2">
        <v>-0.01</v>
      </c>
      <c r="J88" s="2">
        <v>0</v>
      </c>
      <c r="K88" s="2">
        <v>0</v>
      </c>
      <c r="L88" s="2">
        <v>0</v>
      </c>
      <c r="M88" s="2">
        <v>0.01</v>
      </c>
      <c r="N88" s="2">
        <v>0</v>
      </c>
      <c r="O88" s="2">
        <v>-0.01</v>
      </c>
      <c r="P88" s="2">
        <v>0.01</v>
      </c>
      <c r="Q88" s="2">
        <v>-0.01</v>
      </c>
      <c r="R88" s="2">
        <v>0</v>
      </c>
      <c r="S88" s="2">
        <f t="shared" si="2"/>
        <v>-0.01</v>
      </c>
      <c r="U88" s="2"/>
    </row>
    <row r="89" spans="1:21" x14ac:dyDescent="0.3">
      <c r="A89" t="s">
        <v>558</v>
      </c>
      <c r="B89" s="2">
        <v>-27759511.059999999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0.01</v>
      </c>
      <c r="I89" s="2">
        <v>-0.01</v>
      </c>
      <c r="J89" s="2">
        <v>0</v>
      </c>
      <c r="K89" s="2">
        <v>0</v>
      </c>
      <c r="L89" s="2">
        <v>0</v>
      </c>
      <c r="M89" s="2">
        <v>0.01</v>
      </c>
      <c r="N89" s="2">
        <v>0</v>
      </c>
      <c r="O89" s="2">
        <v>-0.02</v>
      </c>
      <c r="P89" s="2">
        <v>0.01</v>
      </c>
      <c r="Q89" s="2">
        <v>0.01</v>
      </c>
      <c r="R89" s="2">
        <v>0</v>
      </c>
      <c r="S89" s="2">
        <f t="shared" si="2"/>
        <v>-27759511.049999993</v>
      </c>
      <c r="U89" s="2"/>
    </row>
    <row r="90" spans="1:21" x14ac:dyDescent="0.3">
      <c r="A90" t="s">
        <v>559</v>
      </c>
      <c r="B90" s="2">
        <v>-16662332.310000001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0.01</v>
      </c>
      <c r="I90" s="2">
        <v>-0.01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-0.01</v>
      </c>
      <c r="P90" s="2">
        <v>0.02</v>
      </c>
      <c r="Q90" s="2">
        <v>-0.01</v>
      </c>
      <c r="R90" s="2">
        <v>0</v>
      </c>
      <c r="S90" s="2">
        <f t="shared" si="2"/>
        <v>-16662332.310000001</v>
      </c>
    </row>
    <row r="91" spans="1:21" x14ac:dyDescent="0.3">
      <c r="A91" t="s">
        <v>560</v>
      </c>
      <c r="B91" s="2">
        <v>-0.02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0.01</v>
      </c>
      <c r="J91" s="2">
        <v>0</v>
      </c>
      <c r="K91" s="2">
        <v>-0.01</v>
      </c>
      <c r="L91" s="2">
        <v>0.02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f t="shared" si="2"/>
        <v>0</v>
      </c>
    </row>
    <row r="92" spans="1:21" x14ac:dyDescent="0.3">
      <c r="A92" t="s">
        <v>561</v>
      </c>
      <c r="B92" s="2">
        <v>81875469.400000006</v>
      </c>
      <c r="C92" s="2">
        <v>-1116698.8400000001</v>
      </c>
      <c r="D92" s="2">
        <v>-1107658.23</v>
      </c>
      <c r="E92" s="2">
        <v>-1120022.4099999999</v>
      </c>
      <c r="F92" s="2">
        <v>0</v>
      </c>
      <c r="G92" s="2">
        <v>-1107639.6499999999</v>
      </c>
      <c r="H92" s="2">
        <v>-1115594.06</v>
      </c>
      <c r="I92" s="2">
        <v>-1107305.6599999999</v>
      </c>
      <c r="J92" s="2">
        <v>0</v>
      </c>
      <c r="K92" s="2">
        <v>-1115546.81</v>
      </c>
      <c r="L92" s="2">
        <v>-1107651.6200000001</v>
      </c>
      <c r="M92" s="2">
        <v>-1130113.73</v>
      </c>
      <c r="N92" s="2">
        <v>0</v>
      </c>
      <c r="O92" s="2">
        <v>-1107674.3999999999</v>
      </c>
      <c r="P92" s="2">
        <v>-1115506.45</v>
      </c>
      <c r="Q92" s="2">
        <v>-1120864.74</v>
      </c>
      <c r="R92" s="2">
        <v>0</v>
      </c>
      <c r="S92" s="2">
        <f t="shared" si="2"/>
        <v>68503192.799999982</v>
      </c>
    </row>
    <row r="93" spans="1:21" x14ac:dyDescent="0.3">
      <c r="A93" t="s">
        <v>562</v>
      </c>
      <c r="B93" s="2">
        <v>-4783630.2</v>
      </c>
      <c r="C93" s="2">
        <v>-0.01</v>
      </c>
      <c r="D93" s="2">
        <v>-0.01</v>
      </c>
      <c r="E93" s="2">
        <v>0.02</v>
      </c>
      <c r="F93" s="2">
        <v>0</v>
      </c>
      <c r="G93" s="2">
        <v>0</v>
      </c>
      <c r="H93" s="2">
        <v>0</v>
      </c>
      <c r="I93" s="2">
        <v>0.01</v>
      </c>
      <c r="J93" s="2">
        <v>0</v>
      </c>
      <c r="K93" s="2">
        <v>-0.03</v>
      </c>
      <c r="L93" s="2">
        <v>0.01</v>
      </c>
      <c r="M93" s="2">
        <v>0.01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f t="shared" si="2"/>
        <v>-4783630.2000000011</v>
      </c>
    </row>
    <row r="94" spans="1:21" x14ac:dyDescent="0.3">
      <c r="A94" t="s">
        <v>563</v>
      </c>
      <c r="B94" s="2">
        <v>347574.86</v>
      </c>
      <c r="C94" s="2">
        <v>0.01</v>
      </c>
      <c r="D94" s="2">
        <v>-0.01</v>
      </c>
      <c r="E94" s="2">
        <v>0</v>
      </c>
      <c r="F94" s="2">
        <v>0</v>
      </c>
      <c r="G94" s="2">
        <v>0</v>
      </c>
      <c r="H94" s="2">
        <v>-0.01</v>
      </c>
      <c r="I94" s="2">
        <v>0.01</v>
      </c>
      <c r="J94" s="2">
        <v>0</v>
      </c>
      <c r="K94" s="2">
        <v>-0.01</v>
      </c>
      <c r="L94" s="2">
        <v>0</v>
      </c>
      <c r="M94" s="2">
        <v>-0.01</v>
      </c>
      <c r="N94" s="2">
        <v>0</v>
      </c>
      <c r="O94" s="2">
        <v>0.01</v>
      </c>
      <c r="P94" s="2">
        <v>0.01</v>
      </c>
      <c r="Q94" s="2">
        <v>0</v>
      </c>
      <c r="R94" s="2">
        <v>0</v>
      </c>
      <c r="S94" s="2">
        <f t="shared" si="2"/>
        <v>347574.86</v>
      </c>
    </row>
    <row r="95" spans="1:21" x14ac:dyDescent="0.3">
      <c r="A95" t="s">
        <v>564</v>
      </c>
      <c r="B95" s="2">
        <v>0.13</v>
      </c>
      <c r="C95" s="2">
        <v>0</v>
      </c>
      <c r="D95" s="2">
        <v>0</v>
      </c>
      <c r="E95" s="2">
        <v>0</v>
      </c>
      <c r="F95" s="2">
        <v>4344586.6900000004</v>
      </c>
      <c r="G95" s="2">
        <v>0</v>
      </c>
      <c r="H95" s="2">
        <v>0</v>
      </c>
      <c r="I95" s="2">
        <v>0</v>
      </c>
      <c r="J95" s="2">
        <v>-136434.87</v>
      </c>
      <c r="K95" s="2">
        <v>0</v>
      </c>
      <c r="L95" s="2">
        <v>0</v>
      </c>
      <c r="M95" s="2">
        <v>0</v>
      </c>
      <c r="N95" s="2">
        <v>-10100422.9</v>
      </c>
      <c r="O95" s="2">
        <v>0</v>
      </c>
      <c r="P95" s="2">
        <v>0</v>
      </c>
      <c r="Q95" s="2">
        <v>0</v>
      </c>
      <c r="R95" s="2">
        <v>5892271.0800000001</v>
      </c>
      <c r="S95" s="2">
        <f t="shared" si="2"/>
        <v>0.12999999988824129</v>
      </c>
    </row>
    <row r="96" spans="1:21" x14ac:dyDescent="0.3">
      <c r="A96" s="160" t="s">
        <v>565</v>
      </c>
      <c r="B96" s="161">
        <f>SUM(B9:B95)</f>
        <v>279240021.71000004</v>
      </c>
      <c r="C96" s="161">
        <f t="shared" ref="C96:S96" si="3">SUM(C9:C95)</f>
        <v>-2232887.3200000003</v>
      </c>
      <c r="D96" s="161">
        <f t="shared" si="3"/>
        <v>-2232887.3299999996</v>
      </c>
      <c r="E96" s="161">
        <f t="shared" si="3"/>
        <v>-2232887.3400000003</v>
      </c>
      <c r="F96" s="161">
        <f t="shared" si="3"/>
        <v>4344586.6900000004</v>
      </c>
      <c r="G96" s="161">
        <f t="shared" si="3"/>
        <v>-2232887.34</v>
      </c>
      <c r="H96" s="161">
        <f t="shared" si="3"/>
        <v>-2232887.33</v>
      </c>
      <c r="I96" s="161">
        <f t="shared" si="3"/>
        <v>-2232887.3200000003</v>
      </c>
      <c r="J96" s="161">
        <f t="shared" si="3"/>
        <v>-136434.87</v>
      </c>
      <c r="K96" s="161">
        <f t="shared" si="3"/>
        <v>-2232887.3399999994</v>
      </c>
      <c r="L96" s="161">
        <f t="shared" si="3"/>
        <v>-2232887.33</v>
      </c>
      <c r="M96" s="161">
        <f t="shared" si="3"/>
        <v>-2232887.3600000003</v>
      </c>
      <c r="N96" s="161">
        <f t="shared" si="3"/>
        <v>-10100422.9</v>
      </c>
      <c r="O96" s="161">
        <f t="shared" si="3"/>
        <v>-2232887.2999999998</v>
      </c>
      <c r="P96" s="161">
        <f t="shared" si="3"/>
        <v>-2232887.3100000005</v>
      </c>
      <c r="Q96" s="161">
        <f t="shared" si="3"/>
        <v>-2232887.3200000003</v>
      </c>
      <c r="R96" s="161">
        <f t="shared" si="3"/>
        <v>5892271.0800000001</v>
      </c>
      <c r="S96" s="161">
        <f t="shared" si="3"/>
        <v>252445373.77000001</v>
      </c>
    </row>
    <row r="97" spans="1:21" x14ac:dyDescent="0.3">
      <c r="A97" s="162" t="s">
        <v>476</v>
      </c>
    </row>
    <row r="98" spans="1:21" x14ac:dyDescent="0.3">
      <c r="A98" s="160" t="s">
        <v>391</v>
      </c>
      <c r="B98" s="161">
        <f>B96</f>
        <v>279240021.71000004</v>
      </c>
      <c r="C98" s="161">
        <f t="shared" ref="C98:S98" si="4">C96</f>
        <v>-2232887.3200000003</v>
      </c>
      <c r="D98" s="161">
        <f t="shared" si="4"/>
        <v>-2232887.3299999996</v>
      </c>
      <c r="E98" s="161">
        <f t="shared" si="4"/>
        <v>-2232887.3400000003</v>
      </c>
      <c r="F98" s="161">
        <f t="shared" si="4"/>
        <v>4344586.6900000004</v>
      </c>
      <c r="G98" s="161">
        <f t="shared" si="4"/>
        <v>-2232887.34</v>
      </c>
      <c r="H98" s="161">
        <f t="shared" si="4"/>
        <v>-2232887.33</v>
      </c>
      <c r="I98" s="161">
        <f t="shared" si="4"/>
        <v>-2232887.3200000003</v>
      </c>
      <c r="J98" s="161">
        <f t="shared" si="4"/>
        <v>-136434.87</v>
      </c>
      <c r="K98" s="161">
        <f t="shared" si="4"/>
        <v>-2232887.3399999994</v>
      </c>
      <c r="L98" s="161">
        <f t="shared" si="4"/>
        <v>-2232887.33</v>
      </c>
      <c r="M98" s="161">
        <f t="shared" si="4"/>
        <v>-2232887.3600000003</v>
      </c>
      <c r="N98" s="161">
        <f t="shared" si="4"/>
        <v>-10100422.9</v>
      </c>
      <c r="O98" s="161">
        <f t="shared" si="4"/>
        <v>-2232887.2999999998</v>
      </c>
      <c r="P98" s="161">
        <f t="shared" si="4"/>
        <v>-2232887.3100000005</v>
      </c>
      <c r="Q98" s="161">
        <f t="shared" si="4"/>
        <v>-2232887.3200000003</v>
      </c>
      <c r="R98" s="161">
        <f t="shared" si="4"/>
        <v>5892271.0800000001</v>
      </c>
      <c r="S98" s="161">
        <f t="shared" si="4"/>
        <v>252445373.77000001</v>
      </c>
      <c r="T98" s="2"/>
    </row>
    <row r="99" spans="1:21" x14ac:dyDescent="0.3">
      <c r="A99" s="162" t="s">
        <v>476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21" x14ac:dyDescent="0.3">
      <c r="A100" t="s">
        <v>570</v>
      </c>
      <c r="B100" s="2"/>
      <c r="Q100" s="20"/>
      <c r="R100" s="20"/>
    </row>
    <row r="101" spans="1:21" x14ac:dyDescent="0.3">
      <c r="A101" s="31" t="s">
        <v>221</v>
      </c>
      <c r="B101" s="79">
        <v>178017.48</v>
      </c>
      <c r="Q101" s="20"/>
      <c r="R101" s="20"/>
      <c r="S101" s="79">
        <v>178017.48</v>
      </c>
      <c r="T101" s="32" t="s">
        <v>221</v>
      </c>
    </row>
    <row r="102" spans="1:21" x14ac:dyDescent="0.3">
      <c r="A102" s="31" t="s">
        <v>567</v>
      </c>
      <c r="B102" s="79">
        <v>17429</v>
      </c>
      <c r="Q102" s="20"/>
      <c r="R102" s="20"/>
      <c r="S102" s="60">
        <f>+B102</f>
        <v>17429</v>
      </c>
      <c r="T102" s="32" t="s">
        <v>567</v>
      </c>
    </row>
    <row r="103" spans="1:21" x14ac:dyDescent="0.3">
      <c r="A103" s="31" t="s">
        <v>222</v>
      </c>
      <c r="B103" s="79">
        <f>+'[16]FD Unamortiz Unprotected Bal'!O119</f>
        <v>-6352163.0099999998</v>
      </c>
      <c r="C103" s="60"/>
      <c r="Q103" s="20"/>
      <c r="R103" s="20"/>
      <c r="S103" s="75">
        <f>'[16]PROTECTED VS NON BALANCES'!$Q$148</f>
        <v>-6352163.0099999998</v>
      </c>
      <c r="T103" t="s">
        <v>222</v>
      </c>
      <c r="U103" s="1"/>
    </row>
    <row r="104" spans="1:21" x14ac:dyDescent="0.3">
      <c r="A104" s="31" t="s">
        <v>223</v>
      </c>
      <c r="B104" s="79">
        <f>+'[16]FD Unamortiz Unprotected Bal'!O118</f>
        <v>16202161.232123999</v>
      </c>
      <c r="M104" s="2"/>
      <c r="Q104" s="20"/>
      <c r="R104" s="20"/>
      <c r="S104" s="75">
        <f>'[16]PROTECTED VS NON BALANCES'!$Q$149</f>
        <v>16202161.232123999</v>
      </c>
      <c r="T104" t="s">
        <v>223</v>
      </c>
      <c r="U104" s="1"/>
    </row>
    <row r="105" spans="1:21" ht="15" thickBot="1" x14ac:dyDescent="0.35">
      <c r="A105" s="31" t="s">
        <v>568</v>
      </c>
      <c r="B105" s="78">
        <f>+B98+B101+B103+B104+B102</f>
        <v>289285466.41212404</v>
      </c>
      <c r="Q105" s="20"/>
      <c r="R105" s="20"/>
      <c r="S105" s="78">
        <f>+S98+S101+S103+S104+S102</f>
        <v>262490818.47212401</v>
      </c>
    </row>
    <row r="106" spans="1:21" ht="15" thickTop="1" x14ac:dyDescent="0.3">
      <c r="B106" s="60"/>
      <c r="Q106" s="20"/>
      <c r="R106" s="20"/>
      <c r="S106" s="60"/>
    </row>
    <row r="107" spans="1:21" x14ac:dyDescent="0.3">
      <c r="Q107" s="20"/>
      <c r="R107" s="20"/>
      <c r="S107" s="60"/>
    </row>
    <row r="108" spans="1:21" x14ac:dyDescent="0.3">
      <c r="Q108" s="20"/>
      <c r="R108" s="20"/>
      <c r="S108" s="60"/>
    </row>
    <row r="109" spans="1:21" x14ac:dyDescent="0.3">
      <c r="N109" s="20"/>
      <c r="O109" s="20"/>
      <c r="P109" s="20"/>
      <c r="Q109" s="20"/>
      <c r="R109" s="20"/>
      <c r="S109" s="1"/>
    </row>
    <row r="110" spans="1:21" x14ac:dyDescent="0.3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5"/>
    </row>
    <row r="111" spans="1:21" x14ac:dyDescent="0.3">
      <c r="N111" s="20"/>
      <c r="O111" s="20"/>
      <c r="P111" s="20"/>
      <c r="Q111" s="20"/>
      <c r="R111" s="20"/>
      <c r="S111" s="20"/>
    </row>
    <row r="112" spans="1:21" x14ac:dyDescent="0.3">
      <c r="S112" s="2"/>
    </row>
    <row r="113" spans="19:19" x14ac:dyDescent="0.3">
      <c r="S113" s="29"/>
    </row>
  </sheetData>
  <pageMargins left="0.7" right="0.7" top="0.75" bottom="0.75" header="0.3" footer="0.3"/>
  <pageSetup paperSize="5" scale="45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4F6FF-3421-4682-A67F-A035D22934E2}">
  <sheetPr>
    <tabColor theme="7" tint="0.79998168889431442"/>
    <pageSetUpPr fitToPage="1"/>
  </sheetPr>
  <dimension ref="A1:AR163"/>
  <sheetViews>
    <sheetView topLeftCell="A4" zoomScale="90" zoomScaleNormal="90" workbookViewId="0">
      <selection activeCell="C14" activeCellId="2" sqref="C10 C12 C14"/>
    </sheetView>
  </sheetViews>
  <sheetFormatPr defaultRowHeight="14.4" x14ac:dyDescent="0.3"/>
  <cols>
    <col min="1" max="1" width="44.109375" customWidth="1"/>
    <col min="2" max="2" width="27.44140625" customWidth="1"/>
    <col min="3" max="3" width="20.6640625" customWidth="1"/>
    <col min="4" max="4" width="18.109375" customWidth="1"/>
    <col min="5" max="5" width="21.33203125" customWidth="1"/>
    <col min="6" max="6" width="14.33203125" bestFit="1" customWidth="1"/>
    <col min="7" max="8" width="11" customWidth="1"/>
    <col min="9" max="9" width="14.33203125" bestFit="1" customWidth="1"/>
    <col min="10" max="10" width="9.33203125" customWidth="1"/>
    <col min="11" max="11" width="37.33203125" bestFit="1" customWidth="1"/>
    <col min="12" max="12" width="37.88671875" bestFit="1" customWidth="1"/>
    <col min="13" max="13" width="13.44140625" bestFit="1" customWidth="1"/>
    <col min="14" max="14" width="18.5546875" customWidth="1"/>
    <col min="15" max="15" width="14.33203125" customWidth="1"/>
    <col min="16" max="16" width="14.6640625" bestFit="1" customWidth="1"/>
    <col min="17" max="17" width="15" bestFit="1" customWidth="1"/>
    <col min="18" max="18" width="17.6640625" customWidth="1"/>
    <col min="19" max="19" width="14.6640625" bestFit="1" customWidth="1"/>
    <col min="20" max="21" width="13.6640625" style="1" bestFit="1" customWidth="1"/>
    <col min="22" max="22" width="13.33203125" style="1" bestFit="1" customWidth="1"/>
    <col min="23" max="23" width="14.44140625" bestFit="1" customWidth="1"/>
    <col min="24" max="24" width="7" customWidth="1"/>
    <col min="25" max="25" width="6.33203125" customWidth="1"/>
    <col min="26" max="27" width="14.6640625" bestFit="1" customWidth="1"/>
    <col min="28" max="29" width="11.33203125" bestFit="1" customWidth="1"/>
    <col min="34" max="34" width="10" bestFit="1" customWidth="1"/>
    <col min="35" max="35" width="14.88671875" bestFit="1" customWidth="1"/>
    <col min="36" max="36" width="15.44140625" bestFit="1" customWidth="1"/>
    <col min="40" max="40" width="22.44140625" style="1" customWidth="1"/>
    <col min="41" max="41" width="12.6640625" bestFit="1" customWidth="1"/>
    <col min="42" max="42" width="33.6640625" bestFit="1" customWidth="1"/>
    <col min="43" max="43" width="12.33203125" bestFit="1" customWidth="1"/>
    <col min="44" max="44" width="12.6640625" bestFit="1" customWidth="1"/>
  </cols>
  <sheetData>
    <row r="1" spans="1:23" x14ac:dyDescent="0.3">
      <c r="A1" s="170" t="s">
        <v>30</v>
      </c>
    </row>
    <row r="2" spans="1:23" x14ac:dyDescent="0.3">
      <c r="A2" s="171" t="s">
        <v>31</v>
      </c>
    </row>
    <row r="4" spans="1:23" x14ac:dyDescent="0.3">
      <c r="K4" s="124" t="s">
        <v>32</v>
      </c>
    </row>
    <row r="5" spans="1:23" x14ac:dyDescent="0.3">
      <c r="B5" t="s">
        <v>33</v>
      </c>
      <c r="C5" t="s">
        <v>33</v>
      </c>
      <c r="K5" s="125" t="s">
        <v>34</v>
      </c>
    </row>
    <row r="6" spans="1:23" x14ac:dyDescent="0.3">
      <c r="B6" s="5" t="s">
        <v>35</v>
      </c>
      <c r="C6" s="5" t="s">
        <v>36</v>
      </c>
      <c r="K6" s="125" t="s">
        <v>37</v>
      </c>
    </row>
    <row r="7" spans="1:23" x14ac:dyDescent="0.3">
      <c r="B7" s="5" t="s">
        <v>38</v>
      </c>
      <c r="C7" s="5" t="s">
        <v>39</v>
      </c>
      <c r="D7">
        <v>411.11</v>
      </c>
      <c r="F7" s="5" t="s">
        <v>40</v>
      </c>
      <c r="K7" s="125" t="s">
        <v>41</v>
      </c>
    </row>
    <row r="8" spans="1:23" x14ac:dyDescent="0.3">
      <c r="A8" s="31" t="s">
        <v>42</v>
      </c>
      <c r="B8" s="62">
        <f>Q28</f>
        <v>284194357.50999999</v>
      </c>
      <c r="C8" s="126">
        <v>295392417.39999998</v>
      </c>
      <c r="D8" s="60">
        <f>B8-C8</f>
        <v>-11198059.889999986</v>
      </c>
      <c r="E8" s="190" t="s">
        <v>26</v>
      </c>
      <c r="F8" t="s">
        <v>43</v>
      </c>
      <c r="G8" s="1">
        <f>+B8/D8</f>
        <v>-25.378892442233614</v>
      </c>
      <c r="H8" s="1"/>
      <c r="I8" s="29"/>
    </row>
    <row r="9" spans="1:23" x14ac:dyDescent="0.3">
      <c r="A9" s="31"/>
      <c r="B9" s="75"/>
      <c r="C9" s="1"/>
    </row>
    <row r="10" spans="1:23" x14ac:dyDescent="0.3">
      <c r="A10" s="31" t="s">
        <v>44</v>
      </c>
      <c r="B10" s="62">
        <v>47660083.963580772</v>
      </c>
      <c r="C10" s="126">
        <v>60956095.173337974</v>
      </c>
      <c r="D10" s="60">
        <f>B10-C10</f>
        <v>-13296011.209757201</v>
      </c>
      <c r="E10" s="190" t="s">
        <v>26</v>
      </c>
      <c r="F10" t="s">
        <v>45</v>
      </c>
      <c r="G10" s="1">
        <f>+B10/D10</f>
        <v>-3.5845399956195654</v>
      </c>
      <c r="H10" s="1"/>
      <c r="I10" s="63"/>
      <c r="K10" t="s">
        <v>46</v>
      </c>
    </row>
    <row r="11" spans="1:23" x14ac:dyDescent="0.3">
      <c r="I11" s="64"/>
      <c r="K11" s="8" t="s">
        <v>42</v>
      </c>
    </row>
    <row r="12" spans="1:23" x14ac:dyDescent="0.3">
      <c r="A12" s="31" t="s">
        <v>47</v>
      </c>
      <c r="B12" s="62">
        <v>0</v>
      </c>
      <c r="C12" s="79">
        <v>853063</v>
      </c>
      <c r="D12" s="60">
        <f>B12-C12</f>
        <v>-853063</v>
      </c>
      <c r="E12" s="190" t="s">
        <v>26</v>
      </c>
      <c r="F12" t="s">
        <v>48</v>
      </c>
      <c r="G12" s="1">
        <f>+B12/D12</f>
        <v>0</v>
      </c>
      <c r="I12" s="66"/>
      <c r="K12" t="s">
        <v>49</v>
      </c>
    </row>
    <row r="13" spans="1:23" x14ac:dyDescent="0.3">
      <c r="I13" s="60"/>
      <c r="K13" t="s">
        <v>50</v>
      </c>
    </row>
    <row r="14" spans="1:23" x14ac:dyDescent="0.3">
      <c r="A14" s="31" t="s">
        <v>51</v>
      </c>
      <c r="B14" s="62">
        <v>-15915966.26</v>
      </c>
      <c r="C14" s="79">
        <v>-15915966.26</v>
      </c>
      <c r="D14" s="60">
        <f>B14-C14</f>
        <v>0</v>
      </c>
      <c r="E14" s="190" t="s">
        <v>26</v>
      </c>
      <c r="I14" s="60"/>
      <c r="K14" t="s">
        <v>52</v>
      </c>
      <c r="W14" s="1"/>
    </row>
    <row r="15" spans="1:23" ht="43.2" x14ac:dyDescent="0.3">
      <c r="D15" s="127"/>
      <c r="I15" s="60"/>
      <c r="N15" s="69" t="s">
        <v>53</v>
      </c>
      <c r="O15" s="69" t="s">
        <v>54</v>
      </c>
      <c r="P15" s="69" t="s">
        <v>55</v>
      </c>
      <c r="Q15" s="69" t="s">
        <v>56</v>
      </c>
      <c r="R15" s="69"/>
      <c r="S15" s="1"/>
      <c r="W15" s="1"/>
    </row>
    <row r="16" spans="1:23" ht="15" thickBot="1" x14ac:dyDescent="0.35">
      <c r="B16" s="65">
        <f>+B8+B10+B12+B14</f>
        <v>315938475.21358079</v>
      </c>
      <c r="C16" s="65">
        <f>+C8+C10+C12+C14</f>
        <v>341285609.31333798</v>
      </c>
      <c r="D16" s="60">
        <f>B16-C16</f>
        <v>-25347134.099757195</v>
      </c>
      <c r="F16" s="128"/>
      <c r="I16" s="60"/>
      <c r="K16" t="s">
        <v>57</v>
      </c>
      <c r="M16" t="s">
        <v>58</v>
      </c>
      <c r="S16" s="1"/>
      <c r="W16" s="1"/>
    </row>
    <row r="17" spans="1:23" ht="15" thickTop="1" x14ac:dyDescent="0.3">
      <c r="F17" s="1"/>
      <c r="I17" s="60"/>
      <c r="K17" t="s">
        <v>59</v>
      </c>
      <c r="S17" s="1"/>
      <c r="W17" s="1"/>
    </row>
    <row r="18" spans="1:23" x14ac:dyDescent="0.3">
      <c r="A18" s="129" t="s">
        <v>60</v>
      </c>
      <c r="B18" s="130">
        <f>+B16-'[14]2023 51052 2820610 NO FT'!X104</f>
        <v>66.281456768512726</v>
      </c>
      <c r="C18" s="131">
        <f>+C16-'[14]2023 51052 2820610 NO FT'!B104</f>
        <v>66.441214025020599</v>
      </c>
      <c r="D18" s="82">
        <v>-11553431</v>
      </c>
      <c r="E18" t="s">
        <v>61</v>
      </c>
      <c r="F18" s="1"/>
      <c r="G18" s="190" t="s">
        <v>26</v>
      </c>
      <c r="I18" s="60"/>
      <c r="K18" t="s">
        <v>62</v>
      </c>
      <c r="W18" s="1"/>
    </row>
    <row r="19" spans="1:23" x14ac:dyDescent="0.3">
      <c r="C19" s="132"/>
      <c r="D19" s="60">
        <v>355372</v>
      </c>
      <c r="E19" t="s">
        <v>63</v>
      </c>
      <c r="F19" s="1"/>
      <c r="G19" s="190" t="s">
        <v>26</v>
      </c>
      <c r="I19" s="60"/>
      <c r="K19" t="s">
        <v>64</v>
      </c>
      <c r="L19" t="s">
        <v>65</v>
      </c>
      <c r="N19" s="2">
        <v>-18926660.34</v>
      </c>
      <c r="O19" s="2">
        <v>0</v>
      </c>
      <c r="P19" s="2">
        <v>0</v>
      </c>
      <c r="Q19" s="2">
        <v>-18926660.34</v>
      </c>
      <c r="R19" s="2"/>
      <c r="S19" s="2"/>
      <c r="T19" s="2"/>
      <c r="W19" s="1"/>
    </row>
    <row r="20" spans="1:23" x14ac:dyDescent="0.3">
      <c r="B20" s="60"/>
      <c r="C20" s="67"/>
      <c r="D20" s="60">
        <v>-13296011.209757203</v>
      </c>
      <c r="E20" t="s">
        <v>66</v>
      </c>
      <c r="F20" s="1"/>
      <c r="G20" s="190" t="s">
        <v>26</v>
      </c>
      <c r="I20" s="60"/>
      <c r="K20" t="s">
        <v>67</v>
      </c>
      <c r="L20" t="s">
        <v>68</v>
      </c>
      <c r="N20" s="2">
        <v>0.05</v>
      </c>
      <c r="O20" s="2">
        <v>0</v>
      </c>
      <c r="P20" s="2">
        <v>0</v>
      </c>
      <c r="Q20" s="2">
        <v>0.05</v>
      </c>
      <c r="R20" s="2"/>
      <c r="S20" s="2"/>
      <c r="T20" s="2"/>
      <c r="W20" s="1"/>
    </row>
    <row r="21" spans="1:23" x14ac:dyDescent="0.3">
      <c r="B21" s="29"/>
      <c r="C21" s="67"/>
      <c r="D21" s="75">
        <v>-853063.07</v>
      </c>
      <c r="E21" t="s">
        <v>69</v>
      </c>
      <c r="F21" s="1"/>
      <c r="G21" s="190" t="s">
        <v>26</v>
      </c>
      <c r="I21" s="60"/>
      <c r="K21" t="s">
        <v>70</v>
      </c>
      <c r="L21" t="s">
        <v>71</v>
      </c>
      <c r="N21" s="2">
        <v>351799549.30000001</v>
      </c>
      <c r="O21" s="2">
        <v>-11198059.859999999</v>
      </c>
      <c r="P21" s="2">
        <v>-11198059.859999999</v>
      </c>
      <c r="Q21" s="2">
        <v>340601489.44</v>
      </c>
      <c r="R21" s="2"/>
      <c r="S21" s="2"/>
      <c r="T21" s="2"/>
      <c r="W21" s="1"/>
    </row>
    <row r="22" spans="1:23" x14ac:dyDescent="0.3">
      <c r="B22" s="60"/>
      <c r="C22" s="66"/>
      <c r="D22" s="75"/>
      <c r="F22" s="75"/>
      <c r="I22" s="60"/>
      <c r="K22" t="s">
        <v>72</v>
      </c>
      <c r="L22" t="s">
        <v>73</v>
      </c>
      <c r="N22" s="2">
        <v>-21649156.420000002</v>
      </c>
      <c r="O22" s="2">
        <v>-0.02</v>
      </c>
      <c r="P22" s="2">
        <v>-0.02</v>
      </c>
      <c r="Q22" s="2">
        <v>-21649156.440000001</v>
      </c>
      <c r="R22" s="2"/>
      <c r="S22" s="2"/>
      <c r="T22" s="2"/>
      <c r="W22" s="1"/>
    </row>
    <row r="23" spans="1:23" x14ac:dyDescent="0.3">
      <c r="C23" s="67"/>
      <c r="D23" s="133">
        <f>D16-(SUM(D18:D22))</f>
        <v>-0.81999999284744263</v>
      </c>
      <c r="E23" t="s">
        <v>74</v>
      </c>
      <c r="F23" s="1"/>
      <c r="G23" s="190" t="s">
        <v>26</v>
      </c>
      <c r="I23" s="60"/>
      <c r="K23" t="s">
        <v>75</v>
      </c>
      <c r="L23" t="s">
        <v>76</v>
      </c>
      <c r="N23" s="2">
        <v>-15629881.189999999</v>
      </c>
      <c r="O23" s="2">
        <v>-0.01</v>
      </c>
      <c r="P23" s="2">
        <v>-0.01</v>
      </c>
      <c r="Q23" s="2">
        <v>-15629881.199999999</v>
      </c>
      <c r="R23" s="2"/>
      <c r="S23" s="2"/>
      <c r="T23" s="2"/>
      <c r="W23" s="1"/>
    </row>
    <row r="24" spans="1:23" x14ac:dyDescent="0.3">
      <c r="C24" s="60"/>
      <c r="D24" s="71"/>
      <c r="E24" s="71"/>
      <c r="K24" t="s">
        <v>77</v>
      </c>
      <c r="N24" s="2">
        <v>295593851.39999998</v>
      </c>
      <c r="O24" s="2">
        <v>-11198059.890000001</v>
      </c>
      <c r="P24" s="2">
        <v>-11198059.890000001</v>
      </c>
      <c r="Q24" s="2">
        <v>284395791.50999999</v>
      </c>
      <c r="R24" s="2"/>
      <c r="S24" s="2"/>
      <c r="T24" s="2"/>
      <c r="W24" s="1"/>
    </row>
    <row r="25" spans="1:23" x14ac:dyDescent="0.3">
      <c r="C25" s="60"/>
      <c r="E25" s="20"/>
      <c r="K25" t="s">
        <v>78</v>
      </c>
      <c r="N25" s="2">
        <v>295593851.39999998</v>
      </c>
      <c r="O25" s="2">
        <v>-11198059.890000001</v>
      </c>
      <c r="P25" s="2">
        <v>-11198059.890000001</v>
      </c>
      <c r="Q25" s="2">
        <v>284395791.50999999</v>
      </c>
      <c r="R25" s="2"/>
      <c r="W25" s="1"/>
    </row>
    <row r="26" spans="1:23" x14ac:dyDescent="0.3">
      <c r="E26" s="140"/>
      <c r="K26" t="s">
        <v>79</v>
      </c>
      <c r="N26" s="2">
        <v>295593851.39999998</v>
      </c>
      <c r="O26" s="2">
        <v>-11198059.890000001</v>
      </c>
      <c r="P26" s="2">
        <v>-11198059.890000001</v>
      </c>
      <c r="Q26" s="134">
        <v>284395791.50999999</v>
      </c>
      <c r="R26" s="2"/>
      <c r="W26" s="1"/>
    </row>
    <row r="27" spans="1:23" x14ac:dyDescent="0.3">
      <c r="A27" s="70" t="s">
        <v>80</v>
      </c>
      <c r="C27" s="2"/>
      <c r="D27" s="140"/>
      <c r="E27" s="140"/>
      <c r="K27" t="s">
        <v>81</v>
      </c>
      <c r="L27" s="73">
        <v>45334</v>
      </c>
      <c r="M27" s="74">
        <v>0.92495370370370367</v>
      </c>
      <c r="Q27" s="76">
        <v>-201434</v>
      </c>
      <c r="R27" t="s">
        <v>82</v>
      </c>
      <c r="W27" s="1"/>
    </row>
    <row r="28" spans="1:23" ht="15" thickBot="1" x14ac:dyDescent="0.35">
      <c r="E28" s="29"/>
      <c r="N28" s="61" t="s">
        <v>83</v>
      </c>
      <c r="Q28" s="137">
        <f>+Q26+Q27</f>
        <v>284194357.50999999</v>
      </c>
      <c r="R28" t="s">
        <v>84</v>
      </c>
      <c r="W28" s="1"/>
    </row>
    <row r="29" spans="1:23" ht="15" thickTop="1" x14ac:dyDescent="0.3">
      <c r="B29" s="135" t="s">
        <v>85</v>
      </c>
      <c r="C29" s="135" t="s">
        <v>86</v>
      </c>
      <c r="D29" s="135" t="s">
        <v>87</v>
      </c>
      <c r="E29" s="29"/>
      <c r="Q29" s="2"/>
      <c r="W29" s="1"/>
    </row>
    <row r="30" spans="1:23" x14ac:dyDescent="0.3">
      <c r="A30" s="136" t="s">
        <v>88</v>
      </c>
      <c r="B30" s="79">
        <v>-11553431</v>
      </c>
      <c r="C30" s="62">
        <v>355372</v>
      </c>
      <c r="D30" s="75">
        <f>+B30+C30</f>
        <v>-11198059</v>
      </c>
      <c r="W30" s="1"/>
    </row>
    <row r="31" spans="1:23" x14ac:dyDescent="0.3">
      <c r="A31" s="136" t="s">
        <v>89</v>
      </c>
      <c r="B31" s="79">
        <v>-13296011</v>
      </c>
      <c r="D31" s="75">
        <f t="shared" ref="D31:D32" si="0">+B31+C31</f>
        <v>-13296011</v>
      </c>
      <c r="W31" s="1"/>
    </row>
    <row r="32" spans="1:23" x14ac:dyDescent="0.3">
      <c r="A32" s="136" t="s">
        <v>90</v>
      </c>
      <c r="B32" s="141">
        <v>-853063.07</v>
      </c>
      <c r="D32" s="75">
        <f t="shared" si="0"/>
        <v>-853063.07</v>
      </c>
      <c r="K32" t="s">
        <v>46</v>
      </c>
    </row>
    <row r="33" spans="1:44" ht="15" thickBot="1" x14ac:dyDescent="0.35">
      <c r="B33" s="138">
        <f>SUM(B30:B32)</f>
        <v>-25702505.07</v>
      </c>
      <c r="C33" s="138">
        <f>SUM(C30:C32)</f>
        <v>355372</v>
      </c>
      <c r="D33" s="138">
        <f>SUM(D30:D32)</f>
        <v>-25347133.07</v>
      </c>
      <c r="K33" s="8" t="s">
        <v>47</v>
      </c>
      <c r="Z33" s="1"/>
    </row>
    <row r="34" spans="1:44" ht="15" thickTop="1" x14ac:dyDescent="0.3">
      <c r="A34" s="139"/>
      <c r="K34" t="s">
        <v>49</v>
      </c>
    </row>
    <row r="35" spans="1:44" x14ac:dyDescent="0.3">
      <c r="B35" s="60"/>
      <c r="K35" t="s">
        <v>50</v>
      </c>
    </row>
    <row r="36" spans="1:44" x14ac:dyDescent="0.3">
      <c r="A36" s="77" t="s">
        <v>91</v>
      </c>
      <c r="D36" s="60"/>
      <c r="K36" t="s">
        <v>52</v>
      </c>
      <c r="T36"/>
    </row>
    <row r="37" spans="1:44" ht="43.2" x14ac:dyDescent="0.3">
      <c r="N37" s="13" t="s">
        <v>53</v>
      </c>
      <c r="O37" s="13" t="s">
        <v>54</v>
      </c>
      <c r="P37" s="13" t="s">
        <v>55</v>
      </c>
      <c r="Q37" s="13" t="s">
        <v>56</v>
      </c>
      <c r="T37"/>
      <c r="AN37" s="75"/>
    </row>
    <row r="38" spans="1:44" x14ac:dyDescent="0.3">
      <c r="K38" t="s">
        <v>57</v>
      </c>
      <c r="M38" t="s">
        <v>58</v>
      </c>
      <c r="T38" s="2"/>
      <c r="AN38" s="75"/>
      <c r="AO38" s="2"/>
      <c r="AQ38" s="60"/>
    </row>
    <row r="39" spans="1:44" x14ac:dyDescent="0.3">
      <c r="K39" t="s">
        <v>59</v>
      </c>
      <c r="T39"/>
      <c r="U39"/>
      <c r="V39"/>
      <c r="AN39" s="75"/>
      <c r="AO39" s="2"/>
      <c r="AQ39" s="60"/>
    </row>
    <row r="40" spans="1:44" x14ac:dyDescent="0.3">
      <c r="K40" t="s">
        <v>62</v>
      </c>
      <c r="T40"/>
      <c r="U40"/>
      <c r="V40"/>
      <c r="AN40" s="75"/>
      <c r="AO40" s="2"/>
      <c r="AQ40" s="60"/>
    </row>
    <row r="41" spans="1:44" x14ac:dyDescent="0.3">
      <c r="K41" t="s">
        <v>92</v>
      </c>
      <c r="L41" t="s">
        <v>93</v>
      </c>
      <c r="N41" s="2">
        <v>-0.02</v>
      </c>
      <c r="O41" s="2">
        <v>0</v>
      </c>
      <c r="P41" s="2">
        <v>0</v>
      </c>
      <c r="Q41" s="2">
        <v>-0.02</v>
      </c>
      <c r="T41"/>
      <c r="U41"/>
      <c r="V41"/>
      <c r="AN41" s="75"/>
      <c r="AO41" s="2"/>
      <c r="AQ41" s="60"/>
    </row>
    <row r="42" spans="1:44" x14ac:dyDescent="0.3">
      <c r="K42" t="s">
        <v>92</v>
      </c>
      <c r="L42" t="s">
        <v>94</v>
      </c>
      <c r="N42" s="2">
        <v>-4298647</v>
      </c>
      <c r="O42" s="2">
        <v>-422809.08</v>
      </c>
      <c r="P42" s="2">
        <v>-422809.08</v>
      </c>
      <c r="Q42" s="2">
        <v>-4721456.08</v>
      </c>
      <c r="T42"/>
      <c r="U42"/>
      <c r="V42"/>
      <c r="AN42" s="75"/>
      <c r="AO42" s="2"/>
      <c r="AQ42" s="60"/>
    </row>
    <row r="43" spans="1:44" x14ac:dyDescent="0.3">
      <c r="K43" t="s">
        <v>92</v>
      </c>
      <c r="L43" t="s">
        <v>95</v>
      </c>
      <c r="N43" s="2">
        <v>-0.01</v>
      </c>
      <c r="O43" s="2">
        <v>0</v>
      </c>
      <c r="P43" s="2">
        <v>0</v>
      </c>
      <c r="Q43" s="2">
        <v>-0.01</v>
      </c>
      <c r="T43"/>
      <c r="U43"/>
      <c r="V43"/>
      <c r="AN43" s="75"/>
      <c r="AO43" s="2"/>
      <c r="AQ43" s="60"/>
    </row>
    <row r="44" spans="1:44" x14ac:dyDescent="0.3">
      <c r="K44" t="s">
        <v>92</v>
      </c>
      <c r="L44" t="s">
        <v>96</v>
      </c>
      <c r="N44" s="2">
        <v>0.01</v>
      </c>
      <c r="O44" s="2">
        <v>0</v>
      </c>
      <c r="P44" s="2">
        <v>0</v>
      </c>
      <c r="Q44" s="2">
        <v>0.01</v>
      </c>
      <c r="T44"/>
      <c r="U44"/>
      <c r="V44"/>
      <c r="AN44" s="75"/>
      <c r="AO44" s="2"/>
      <c r="AQ44" s="60"/>
      <c r="AR44" s="2"/>
    </row>
    <row r="45" spans="1:44" x14ac:dyDescent="0.3">
      <c r="K45" t="s">
        <v>92</v>
      </c>
      <c r="L45" t="s">
        <v>97</v>
      </c>
      <c r="N45" s="2">
        <v>797284.24</v>
      </c>
      <c r="O45" s="2">
        <v>36478.92</v>
      </c>
      <c r="P45" s="2">
        <v>36478.92</v>
      </c>
      <c r="Q45" s="2">
        <v>833763.16</v>
      </c>
      <c r="T45"/>
      <c r="U45"/>
      <c r="V45"/>
      <c r="AN45" s="75"/>
      <c r="AO45" s="2"/>
      <c r="AQ45" s="60"/>
      <c r="AR45" s="2"/>
    </row>
    <row r="46" spans="1:44" x14ac:dyDescent="0.3">
      <c r="K46" t="s">
        <v>92</v>
      </c>
      <c r="L46" t="s">
        <v>98</v>
      </c>
      <c r="N46" s="2">
        <v>-0.01</v>
      </c>
      <c r="O46" s="2">
        <v>0</v>
      </c>
      <c r="P46" s="2">
        <v>0</v>
      </c>
      <c r="Q46" s="2">
        <v>-0.01</v>
      </c>
      <c r="T46"/>
      <c r="U46"/>
      <c r="V46"/>
      <c r="AN46" s="75"/>
      <c r="AO46" s="2"/>
      <c r="AQ46" s="60"/>
      <c r="AR46" s="2"/>
    </row>
    <row r="47" spans="1:44" x14ac:dyDescent="0.3">
      <c r="K47" t="s">
        <v>92</v>
      </c>
      <c r="L47" t="s">
        <v>99</v>
      </c>
      <c r="N47" s="2">
        <v>0.02</v>
      </c>
      <c r="O47" s="2">
        <v>0</v>
      </c>
      <c r="P47" s="2">
        <v>0</v>
      </c>
      <c r="Q47" s="2">
        <v>0.02</v>
      </c>
      <c r="T47"/>
      <c r="U47"/>
      <c r="V47"/>
      <c r="AN47" s="75"/>
      <c r="AO47" s="2"/>
      <c r="AQ47" s="60"/>
      <c r="AR47" s="2"/>
    </row>
    <row r="48" spans="1:44" x14ac:dyDescent="0.3">
      <c r="K48" t="s">
        <v>92</v>
      </c>
      <c r="L48" t="s">
        <v>100</v>
      </c>
      <c r="N48" s="2">
        <v>-0.01</v>
      </c>
      <c r="O48" s="2">
        <v>0</v>
      </c>
      <c r="P48" s="2">
        <v>0</v>
      </c>
      <c r="Q48" s="2">
        <v>-0.01</v>
      </c>
      <c r="T48"/>
      <c r="U48"/>
      <c r="V48"/>
      <c r="AN48" s="75"/>
      <c r="AO48" s="2"/>
      <c r="AQ48" s="60"/>
      <c r="AR48" s="2"/>
    </row>
    <row r="49" spans="11:44" x14ac:dyDescent="0.3">
      <c r="K49" t="s">
        <v>92</v>
      </c>
      <c r="L49" t="s">
        <v>101</v>
      </c>
      <c r="N49" s="2">
        <v>-10410332.52</v>
      </c>
      <c r="O49" s="2">
        <v>-343346.88</v>
      </c>
      <c r="P49" s="2">
        <v>-343346.88</v>
      </c>
      <c r="Q49" s="2">
        <v>-10753679.4</v>
      </c>
      <c r="S49" s="2"/>
      <c r="AN49" s="75"/>
      <c r="AO49" s="2"/>
      <c r="AQ49" s="60"/>
      <c r="AR49" s="2"/>
    </row>
    <row r="50" spans="11:44" x14ac:dyDescent="0.3">
      <c r="K50" t="s">
        <v>92</v>
      </c>
      <c r="L50" t="s">
        <v>102</v>
      </c>
      <c r="N50" s="2">
        <v>0.01</v>
      </c>
      <c r="O50" s="2">
        <v>0</v>
      </c>
      <c r="P50" s="2">
        <v>0</v>
      </c>
      <c r="Q50" s="2">
        <v>0.01</v>
      </c>
      <c r="S50" s="2"/>
      <c r="AN50" s="75"/>
      <c r="AO50" s="2"/>
      <c r="AQ50" s="60"/>
      <c r="AR50" s="2"/>
    </row>
    <row r="51" spans="11:44" x14ac:dyDescent="0.3">
      <c r="K51" t="s">
        <v>92</v>
      </c>
      <c r="L51" t="s">
        <v>103</v>
      </c>
      <c r="N51" s="2">
        <v>-1151207.6599999999</v>
      </c>
      <c r="O51" s="2">
        <v>-123385.92</v>
      </c>
      <c r="P51" s="2">
        <v>-123385.92</v>
      </c>
      <c r="Q51" s="2">
        <v>-1274593.58</v>
      </c>
      <c r="S51" s="2"/>
      <c r="AN51" s="75"/>
      <c r="AO51" s="2"/>
      <c r="AQ51" s="60"/>
      <c r="AR51" s="2"/>
    </row>
    <row r="52" spans="11:44" x14ac:dyDescent="0.3">
      <c r="K52" t="s">
        <v>92</v>
      </c>
      <c r="L52" t="s">
        <v>104</v>
      </c>
      <c r="N52">
        <v>-0.01</v>
      </c>
      <c r="O52">
        <v>0</v>
      </c>
      <c r="P52">
        <v>0</v>
      </c>
      <c r="Q52">
        <v>-0.01</v>
      </c>
      <c r="S52" s="2"/>
      <c r="AN52" s="75"/>
      <c r="AO52" s="2"/>
      <c r="AQ52" s="60"/>
      <c r="AR52" s="2"/>
    </row>
    <row r="53" spans="11:44" x14ac:dyDescent="0.3">
      <c r="K53" t="s">
        <v>77</v>
      </c>
      <c r="N53" s="2">
        <v>-15062902.960000001</v>
      </c>
      <c r="O53" s="2">
        <v>-853062.96</v>
      </c>
      <c r="P53" s="2">
        <v>-853062.96</v>
      </c>
      <c r="Q53" s="2">
        <v>-15915965.92</v>
      </c>
      <c r="S53" s="2"/>
      <c r="AN53" s="75"/>
      <c r="AO53" s="2"/>
      <c r="AQ53" s="60"/>
      <c r="AR53" s="2"/>
    </row>
    <row r="54" spans="11:44" x14ac:dyDescent="0.3">
      <c r="K54" t="s">
        <v>78</v>
      </c>
      <c r="N54" s="2">
        <v>-15062902.960000001</v>
      </c>
      <c r="O54" s="2">
        <v>-853062.96</v>
      </c>
      <c r="P54" s="2">
        <v>-853062.96</v>
      </c>
      <c r="Q54" s="2">
        <v>-15915965.92</v>
      </c>
      <c r="R54" s="2"/>
      <c r="S54" s="2"/>
      <c r="AN54" s="75"/>
      <c r="AO54" s="2"/>
      <c r="AQ54" s="60"/>
      <c r="AR54" s="2"/>
    </row>
    <row r="55" spans="11:44" x14ac:dyDescent="0.3">
      <c r="K55" t="s">
        <v>79</v>
      </c>
      <c r="N55" s="2">
        <v>-15062902.960000001</v>
      </c>
      <c r="O55" s="2">
        <v>-853062.96</v>
      </c>
      <c r="P55" s="2">
        <v>-853062.96</v>
      </c>
      <c r="Q55" s="72">
        <v>-15915965.92</v>
      </c>
      <c r="S55" s="2"/>
      <c r="AN55" s="75"/>
      <c r="AO55" s="2"/>
      <c r="AQ55" s="60"/>
      <c r="AR55" s="2"/>
    </row>
    <row r="56" spans="11:44" x14ac:dyDescent="0.3">
      <c r="K56" t="s">
        <v>81</v>
      </c>
      <c r="L56" s="73">
        <v>45334</v>
      </c>
      <c r="M56" s="74">
        <v>0.92943287037037037</v>
      </c>
      <c r="S56" s="2"/>
      <c r="AN56" s="75"/>
      <c r="AO56" s="2"/>
      <c r="AQ56" s="60"/>
      <c r="AR56" s="2"/>
    </row>
    <row r="57" spans="11:44" x14ac:dyDescent="0.3">
      <c r="N57" s="61" t="s">
        <v>83</v>
      </c>
      <c r="S57" s="2"/>
      <c r="AN57" s="75"/>
      <c r="AO57" s="2"/>
      <c r="AQ57" s="60"/>
      <c r="AR57" s="2"/>
    </row>
    <row r="58" spans="11:44" x14ac:dyDescent="0.3">
      <c r="S58" s="2"/>
      <c r="AN58" s="75"/>
      <c r="AO58" s="2"/>
      <c r="AQ58" s="60"/>
      <c r="AR58" s="2"/>
    </row>
    <row r="59" spans="11:44" x14ac:dyDescent="0.3">
      <c r="S59" s="2"/>
      <c r="AN59" s="75"/>
      <c r="AO59" s="2"/>
      <c r="AQ59" s="60"/>
      <c r="AR59" s="2"/>
    </row>
    <row r="60" spans="11:44" x14ac:dyDescent="0.3">
      <c r="S60" s="2"/>
      <c r="AN60" s="75"/>
      <c r="AO60" s="2"/>
      <c r="AQ60" s="60"/>
      <c r="AR60" s="2"/>
    </row>
    <row r="61" spans="11:44" x14ac:dyDescent="0.3">
      <c r="K61" t="s">
        <v>46</v>
      </c>
      <c r="S61" s="2"/>
      <c r="AN61" s="75"/>
      <c r="AO61" s="2"/>
      <c r="AQ61" s="60"/>
      <c r="AR61" s="2"/>
    </row>
    <row r="62" spans="11:44" x14ac:dyDescent="0.3">
      <c r="K62" s="8" t="s">
        <v>44</v>
      </c>
      <c r="S62" s="2"/>
      <c r="AN62" s="75"/>
      <c r="AO62" s="2"/>
      <c r="AQ62" s="60"/>
      <c r="AR62" s="2"/>
    </row>
    <row r="63" spans="11:44" x14ac:dyDescent="0.3">
      <c r="K63" t="s">
        <v>49</v>
      </c>
      <c r="S63" s="2"/>
      <c r="AN63" s="75"/>
      <c r="AO63" s="2"/>
      <c r="AQ63" s="60"/>
      <c r="AR63" s="2"/>
    </row>
    <row r="64" spans="11:44" x14ac:dyDescent="0.3">
      <c r="K64" t="s">
        <v>50</v>
      </c>
      <c r="S64" s="2"/>
      <c r="AN64" s="75"/>
      <c r="AO64" s="2"/>
      <c r="AQ64" s="60"/>
      <c r="AR64" s="2"/>
    </row>
    <row r="65" spans="11:44" x14ac:dyDescent="0.3">
      <c r="K65" t="s">
        <v>52</v>
      </c>
      <c r="S65" s="2"/>
      <c r="AN65" s="75"/>
      <c r="AO65" s="2"/>
      <c r="AQ65" s="60"/>
      <c r="AR65" s="2"/>
    </row>
    <row r="66" spans="11:44" ht="43.2" x14ac:dyDescent="0.3">
      <c r="N66" s="69" t="s">
        <v>53</v>
      </c>
      <c r="O66" s="69" t="s">
        <v>54</v>
      </c>
      <c r="P66" s="69" t="s">
        <v>55</v>
      </c>
      <c r="Q66" s="69" t="s">
        <v>56</v>
      </c>
      <c r="S66" s="2"/>
      <c r="AN66" s="75"/>
      <c r="AO66" s="2"/>
      <c r="AQ66" s="60"/>
      <c r="AR66" s="2"/>
    </row>
    <row r="67" spans="11:44" x14ac:dyDescent="0.3">
      <c r="K67" t="s">
        <v>57</v>
      </c>
      <c r="M67" t="s">
        <v>58</v>
      </c>
      <c r="S67" s="2"/>
      <c r="AN67" s="75"/>
      <c r="AO67" s="2"/>
      <c r="AQ67" s="60"/>
      <c r="AR67" s="2"/>
    </row>
    <row r="68" spans="11:44" x14ac:dyDescent="0.3">
      <c r="K68" t="s">
        <v>59</v>
      </c>
      <c r="S68" s="2"/>
      <c r="AN68" s="75"/>
      <c r="AO68" s="2"/>
      <c r="AQ68" s="60"/>
      <c r="AR68" s="2"/>
    </row>
    <row r="69" spans="11:44" x14ac:dyDescent="0.3">
      <c r="K69" t="s">
        <v>62</v>
      </c>
      <c r="S69" s="2"/>
      <c r="AN69" s="75"/>
      <c r="AO69" s="2"/>
      <c r="AQ69" s="60"/>
      <c r="AR69" s="2"/>
    </row>
    <row r="70" spans="11:44" x14ac:dyDescent="0.3">
      <c r="K70" t="s">
        <v>92</v>
      </c>
      <c r="L70" t="s">
        <v>105</v>
      </c>
      <c r="N70" s="2">
        <v>-2623153.23</v>
      </c>
      <c r="O70" s="2">
        <v>0</v>
      </c>
      <c r="P70" s="2">
        <v>0</v>
      </c>
      <c r="Q70" s="2">
        <v>-2623153.23</v>
      </c>
      <c r="R70" s="2"/>
      <c r="S70" s="2"/>
      <c r="AN70" s="75"/>
      <c r="AO70" s="2"/>
      <c r="AQ70" s="60"/>
      <c r="AR70" s="2"/>
    </row>
    <row r="71" spans="11:44" x14ac:dyDescent="0.3">
      <c r="K71" t="s">
        <v>92</v>
      </c>
      <c r="L71" t="s">
        <v>106</v>
      </c>
      <c r="N71" s="2">
        <v>-27180099.800000001</v>
      </c>
      <c r="O71" s="2">
        <v>0</v>
      </c>
      <c r="P71" s="2">
        <v>0</v>
      </c>
      <c r="Q71" s="2">
        <v>-27180099.800000001</v>
      </c>
      <c r="R71" s="2"/>
      <c r="S71" s="2"/>
      <c r="AN71" s="75"/>
      <c r="AO71" s="2"/>
      <c r="AQ71" s="60"/>
      <c r="AR71" s="2"/>
    </row>
    <row r="72" spans="11:44" x14ac:dyDescent="0.3">
      <c r="K72" t="s">
        <v>92</v>
      </c>
      <c r="L72" t="s">
        <v>107</v>
      </c>
      <c r="N72" s="2">
        <v>2067745.41</v>
      </c>
      <c r="O72" s="2">
        <v>0</v>
      </c>
      <c r="P72" s="2">
        <v>0</v>
      </c>
      <c r="Q72" s="2">
        <v>2067745.41</v>
      </c>
      <c r="R72" s="2"/>
      <c r="S72" s="2"/>
      <c r="AN72" s="75"/>
      <c r="AO72" s="2"/>
      <c r="AQ72" s="60"/>
      <c r="AR72" s="2"/>
    </row>
    <row r="73" spans="11:44" x14ac:dyDescent="0.3">
      <c r="K73" t="s">
        <v>92</v>
      </c>
      <c r="L73" t="s">
        <v>108</v>
      </c>
      <c r="N73" s="2">
        <v>-412713.56</v>
      </c>
      <c r="O73" s="2">
        <v>0</v>
      </c>
      <c r="P73" s="2">
        <v>0</v>
      </c>
      <c r="Q73" s="2">
        <v>-412713.56</v>
      </c>
      <c r="R73" s="2"/>
      <c r="S73" s="2"/>
      <c r="AN73" s="75"/>
      <c r="AO73" s="2"/>
      <c r="AQ73" s="60"/>
      <c r="AR73" s="2"/>
    </row>
    <row r="74" spans="11:44" x14ac:dyDescent="0.3">
      <c r="K74" t="s">
        <v>92</v>
      </c>
      <c r="L74" t="s">
        <v>109</v>
      </c>
      <c r="N74" s="2">
        <v>-1153988.47</v>
      </c>
      <c r="O74" s="2">
        <v>0</v>
      </c>
      <c r="P74" s="2">
        <v>0</v>
      </c>
      <c r="Q74" s="2">
        <v>-1153988.47</v>
      </c>
      <c r="R74" s="2"/>
      <c r="S74" s="2"/>
      <c r="AN74" s="75"/>
      <c r="AO74" s="2"/>
      <c r="AQ74" s="60"/>
      <c r="AR74" s="2"/>
    </row>
    <row r="75" spans="11:44" x14ac:dyDescent="0.3">
      <c r="K75" t="s">
        <v>92</v>
      </c>
      <c r="L75" t="s">
        <v>110</v>
      </c>
      <c r="N75" s="2">
        <v>1153988.47</v>
      </c>
      <c r="O75" s="2">
        <v>0</v>
      </c>
      <c r="P75" s="2">
        <v>0</v>
      </c>
      <c r="Q75" s="2">
        <v>1153988.47</v>
      </c>
      <c r="R75" s="2"/>
      <c r="S75" s="2"/>
      <c r="AN75" s="75"/>
      <c r="AO75" s="2"/>
      <c r="AQ75" s="60"/>
      <c r="AR75" s="2"/>
    </row>
    <row r="76" spans="11:44" x14ac:dyDescent="0.3">
      <c r="K76" t="s">
        <v>92</v>
      </c>
      <c r="L76" t="s">
        <v>111</v>
      </c>
      <c r="N76" s="2">
        <v>-3722785.6</v>
      </c>
      <c r="O76" s="2">
        <v>0</v>
      </c>
      <c r="P76" s="2">
        <v>0</v>
      </c>
      <c r="Q76" s="2">
        <v>-3722785.6</v>
      </c>
      <c r="R76" s="2"/>
      <c r="S76" s="2"/>
      <c r="AN76" s="75"/>
      <c r="AO76" s="2"/>
      <c r="AQ76" s="60"/>
      <c r="AR76" s="2"/>
    </row>
    <row r="77" spans="11:44" x14ac:dyDescent="0.3">
      <c r="K77" t="s">
        <v>92</v>
      </c>
      <c r="L77" t="s">
        <v>112</v>
      </c>
      <c r="N77" s="2">
        <v>3722785.6</v>
      </c>
      <c r="O77" s="2">
        <v>0</v>
      </c>
      <c r="P77" s="2">
        <v>0</v>
      </c>
      <c r="Q77" s="2">
        <v>3722785.6</v>
      </c>
      <c r="R77" s="2"/>
      <c r="S77" s="2"/>
      <c r="AN77" s="75"/>
      <c r="AO77" s="2"/>
      <c r="AQ77" s="60"/>
      <c r="AR77" s="2"/>
    </row>
    <row r="78" spans="11:44" x14ac:dyDescent="0.3">
      <c r="K78" t="s">
        <v>92</v>
      </c>
      <c r="L78" t="s">
        <v>113</v>
      </c>
      <c r="N78" s="2">
        <v>-1764072.99</v>
      </c>
      <c r="O78" s="2">
        <v>0</v>
      </c>
      <c r="P78" s="2">
        <v>0</v>
      </c>
      <c r="Q78" s="2">
        <v>-1764072.99</v>
      </c>
      <c r="R78" s="2"/>
      <c r="S78" s="2"/>
      <c r="AN78" s="75"/>
      <c r="AO78" s="2"/>
      <c r="AQ78" s="60"/>
      <c r="AR78" s="2"/>
    </row>
    <row r="79" spans="11:44" x14ac:dyDescent="0.3">
      <c r="K79" t="s">
        <v>92</v>
      </c>
      <c r="L79" t="s">
        <v>114</v>
      </c>
      <c r="N79" s="2">
        <v>1764072.99</v>
      </c>
      <c r="O79" s="2">
        <v>0</v>
      </c>
      <c r="P79" s="2">
        <v>0</v>
      </c>
      <c r="Q79" s="2">
        <v>1764072.99</v>
      </c>
      <c r="R79" s="2"/>
      <c r="S79" s="2"/>
      <c r="AN79" s="75"/>
      <c r="AO79" s="2"/>
      <c r="AQ79" s="60"/>
      <c r="AR79" s="2"/>
    </row>
    <row r="80" spans="11:44" x14ac:dyDescent="0.3">
      <c r="K80" t="s">
        <v>92</v>
      </c>
      <c r="L80" t="s">
        <v>115</v>
      </c>
      <c r="N80" s="2">
        <v>-162434.63</v>
      </c>
      <c r="O80" s="2">
        <v>0</v>
      </c>
      <c r="P80" s="2">
        <v>0</v>
      </c>
      <c r="Q80" s="2">
        <v>-162434.63</v>
      </c>
      <c r="R80" s="2"/>
      <c r="S80" s="2"/>
      <c r="AN80" s="75"/>
      <c r="AO80" s="2"/>
      <c r="AQ80" s="60"/>
      <c r="AR80" s="2"/>
    </row>
    <row r="81" spans="11:44" x14ac:dyDescent="0.3">
      <c r="K81" t="s">
        <v>92</v>
      </c>
      <c r="L81" t="s">
        <v>116</v>
      </c>
      <c r="N81" s="2">
        <v>162434.63</v>
      </c>
      <c r="O81" s="2">
        <v>0</v>
      </c>
      <c r="P81" s="2">
        <v>0</v>
      </c>
      <c r="Q81" s="2">
        <v>162434.63</v>
      </c>
      <c r="R81" s="2"/>
      <c r="S81" s="2"/>
      <c r="AN81" s="75"/>
      <c r="AO81" s="2"/>
      <c r="AQ81" s="60"/>
      <c r="AR81" s="2"/>
    </row>
    <row r="82" spans="11:44" x14ac:dyDescent="0.3">
      <c r="K82" t="s">
        <v>92</v>
      </c>
      <c r="L82" t="s">
        <v>117</v>
      </c>
      <c r="N82" s="2">
        <v>-422777.61</v>
      </c>
      <c r="O82" s="2">
        <v>-178017.48</v>
      </c>
      <c r="P82" s="2">
        <v>-178017.48</v>
      </c>
      <c r="Q82" s="2">
        <v>-600795.09</v>
      </c>
      <c r="R82" s="2"/>
      <c r="S82" s="2"/>
      <c r="AN82" s="75"/>
      <c r="AO82" s="2"/>
      <c r="AQ82" s="60"/>
      <c r="AR82" s="2"/>
    </row>
    <row r="83" spans="11:44" x14ac:dyDescent="0.3">
      <c r="K83" t="s">
        <v>92</v>
      </c>
      <c r="L83" t="s">
        <v>118</v>
      </c>
      <c r="N83" s="2">
        <v>-201500.57</v>
      </c>
      <c r="O83" s="2">
        <v>0</v>
      </c>
      <c r="P83" s="2">
        <v>0</v>
      </c>
      <c r="Q83" s="2">
        <v>-201500.57</v>
      </c>
      <c r="R83" s="2"/>
      <c r="S83" s="2"/>
      <c r="AN83" s="75"/>
      <c r="AO83" s="2"/>
      <c r="AQ83" s="60"/>
      <c r="AR83" s="2"/>
    </row>
    <row r="84" spans="11:44" x14ac:dyDescent="0.3">
      <c r="K84" t="s">
        <v>92</v>
      </c>
      <c r="L84" t="s">
        <v>119</v>
      </c>
      <c r="N84" s="2">
        <v>-26686310.780000001</v>
      </c>
      <c r="O84" s="2">
        <v>0.01</v>
      </c>
      <c r="P84" s="2">
        <v>0.01</v>
      </c>
      <c r="Q84" s="2">
        <v>-26686310.77</v>
      </c>
      <c r="R84" s="2"/>
      <c r="S84" s="2"/>
      <c r="AN84" s="75"/>
      <c r="AO84" s="2"/>
      <c r="AQ84" s="60"/>
      <c r="AR84" s="2"/>
    </row>
    <row r="85" spans="11:44" x14ac:dyDescent="0.3">
      <c r="K85" t="s">
        <v>92</v>
      </c>
      <c r="L85" t="s">
        <v>120</v>
      </c>
      <c r="N85" s="2">
        <v>26686310.780000001</v>
      </c>
      <c r="O85" s="2">
        <v>-0.01</v>
      </c>
      <c r="P85" s="2">
        <v>-0.01</v>
      </c>
      <c r="Q85" s="2">
        <v>26686310.77</v>
      </c>
      <c r="R85" s="2"/>
      <c r="S85" s="2"/>
      <c r="AN85" s="75"/>
      <c r="AO85" s="2"/>
      <c r="AQ85" s="60"/>
      <c r="AR85" s="2"/>
    </row>
    <row r="86" spans="11:44" x14ac:dyDescent="0.3">
      <c r="K86" t="s">
        <v>92</v>
      </c>
      <c r="L86" t="s">
        <v>121</v>
      </c>
      <c r="N86" s="2">
        <v>-108182.65</v>
      </c>
      <c r="O86" s="2">
        <v>0</v>
      </c>
      <c r="P86" s="2">
        <v>0</v>
      </c>
      <c r="Q86" s="2">
        <v>-108182.65</v>
      </c>
      <c r="R86" s="2"/>
      <c r="S86" s="2"/>
      <c r="AN86" s="75"/>
      <c r="AO86" s="2"/>
      <c r="AQ86" s="60"/>
      <c r="AR86" s="2"/>
    </row>
    <row r="87" spans="11:44" x14ac:dyDescent="0.3">
      <c r="K87" t="s">
        <v>92</v>
      </c>
      <c r="L87" t="s">
        <v>122</v>
      </c>
      <c r="N87" s="2">
        <v>108182.65</v>
      </c>
      <c r="O87" s="2">
        <v>0</v>
      </c>
      <c r="P87" s="2">
        <v>0</v>
      </c>
      <c r="Q87" s="2">
        <v>108182.65</v>
      </c>
      <c r="R87" s="2"/>
      <c r="S87" s="2"/>
      <c r="AN87" s="75"/>
      <c r="AO87" s="2"/>
      <c r="AQ87" s="60"/>
      <c r="AR87" s="2"/>
    </row>
    <row r="88" spans="11:44" x14ac:dyDescent="0.3">
      <c r="K88" t="s">
        <v>92</v>
      </c>
      <c r="L88" t="s">
        <v>123</v>
      </c>
      <c r="N88" s="2">
        <v>-21576.27</v>
      </c>
      <c r="O88" s="2">
        <v>0</v>
      </c>
      <c r="P88" s="2">
        <v>0</v>
      </c>
      <c r="Q88" s="2">
        <v>-21576.27</v>
      </c>
      <c r="R88" s="2"/>
      <c r="S88" s="2"/>
      <c r="AN88" s="75"/>
      <c r="AO88" s="2"/>
      <c r="AQ88" s="60"/>
      <c r="AR88" s="2"/>
    </row>
    <row r="89" spans="11:44" x14ac:dyDescent="0.3">
      <c r="K89" t="s">
        <v>92</v>
      </c>
      <c r="L89" t="s">
        <v>124</v>
      </c>
      <c r="N89" s="2">
        <v>-28049.17</v>
      </c>
      <c r="O89" s="2">
        <v>0</v>
      </c>
      <c r="P89" s="2">
        <v>0</v>
      </c>
      <c r="Q89" s="2">
        <v>-28049.17</v>
      </c>
      <c r="R89" s="2"/>
      <c r="S89" s="2"/>
      <c r="AN89" s="75"/>
      <c r="AQ89" s="75"/>
      <c r="AR89" s="2"/>
    </row>
    <row r="90" spans="11:44" x14ac:dyDescent="0.3">
      <c r="K90" t="s">
        <v>92</v>
      </c>
      <c r="L90" t="s">
        <v>125</v>
      </c>
      <c r="N90" s="2">
        <v>28049.17</v>
      </c>
      <c r="O90" s="2">
        <v>0</v>
      </c>
      <c r="P90" s="2">
        <v>0</v>
      </c>
      <c r="Q90" s="2">
        <v>28049.17</v>
      </c>
      <c r="R90" s="2"/>
      <c r="S90" s="2"/>
      <c r="AN90" s="75"/>
      <c r="AR90" s="2"/>
    </row>
    <row r="91" spans="11:44" x14ac:dyDescent="0.3">
      <c r="K91" t="s">
        <v>92</v>
      </c>
      <c r="L91" t="s">
        <v>126</v>
      </c>
      <c r="N91" s="2">
        <v>-541834.14</v>
      </c>
      <c r="O91" s="2">
        <v>0.01</v>
      </c>
      <c r="P91" s="2">
        <v>0.01</v>
      </c>
      <c r="Q91" s="2">
        <v>-541834.13</v>
      </c>
      <c r="R91" s="2"/>
      <c r="S91" s="2"/>
      <c r="AN91" s="75"/>
      <c r="AR91" s="2"/>
    </row>
    <row r="92" spans="11:44" x14ac:dyDescent="0.3">
      <c r="K92" t="s">
        <v>92</v>
      </c>
      <c r="L92" t="s">
        <v>127</v>
      </c>
      <c r="N92" s="2">
        <v>541834.14</v>
      </c>
      <c r="O92" s="2">
        <v>-0.01</v>
      </c>
      <c r="P92" s="2">
        <v>-0.01</v>
      </c>
      <c r="Q92" s="2">
        <v>541834.13</v>
      </c>
      <c r="R92" s="2"/>
      <c r="S92" s="2"/>
      <c r="AI92" s="1"/>
      <c r="AJ92" s="1"/>
      <c r="AK92" s="1"/>
      <c r="AL92" s="1"/>
      <c r="AM92" s="1"/>
      <c r="AN92" s="75"/>
      <c r="AR92" s="2"/>
    </row>
    <row r="93" spans="11:44" x14ac:dyDescent="0.3">
      <c r="K93" t="s">
        <v>128</v>
      </c>
      <c r="L93" t="s">
        <v>129</v>
      </c>
      <c r="N93" s="2">
        <v>0</v>
      </c>
      <c r="O93" s="2">
        <v>69.88</v>
      </c>
      <c r="P93" s="2">
        <v>69.88</v>
      </c>
      <c r="Q93" s="2">
        <v>69.88</v>
      </c>
      <c r="R93" s="2"/>
      <c r="S93" s="2"/>
      <c r="AI93" s="1"/>
      <c r="AJ93" s="1"/>
      <c r="AK93" s="1"/>
      <c r="AL93" s="1"/>
      <c r="AM93" s="1"/>
      <c r="AN93" s="75"/>
      <c r="AR93" s="2"/>
    </row>
    <row r="94" spans="11:44" x14ac:dyDescent="0.3">
      <c r="K94" t="s">
        <v>130</v>
      </c>
      <c r="L94" t="s">
        <v>131</v>
      </c>
      <c r="N94" s="2">
        <v>-151.15</v>
      </c>
      <c r="O94" s="2">
        <v>122.47</v>
      </c>
      <c r="P94" s="2">
        <v>122.47</v>
      </c>
      <c r="Q94" s="2">
        <v>-28.68</v>
      </c>
      <c r="R94" s="2"/>
      <c r="S94" s="2"/>
      <c r="AI94" s="1"/>
      <c r="AJ94" s="1"/>
      <c r="AK94" s="1"/>
      <c r="AL94" s="1"/>
      <c r="AM94" s="1"/>
      <c r="AN94" s="75"/>
      <c r="AR94" s="2"/>
    </row>
    <row r="95" spans="11:44" x14ac:dyDescent="0.3">
      <c r="K95" t="s">
        <v>132</v>
      </c>
      <c r="L95" t="s">
        <v>133</v>
      </c>
      <c r="N95" s="2">
        <v>-10729.69</v>
      </c>
      <c r="O95" s="2">
        <v>1594.66</v>
      </c>
      <c r="P95" s="2">
        <v>1594.66</v>
      </c>
      <c r="Q95" s="2">
        <v>-9135.0300000000007</v>
      </c>
      <c r="R95" s="2"/>
      <c r="S95" s="2"/>
      <c r="AN95" s="75"/>
      <c r="AR95" s="2"/>
    </row>
    <row r="96" spans="11:44" x14ac:dyDescent="0.3">
      <c r="K96" t="s">
        <v>134</v>
      </c>
      <c r="L96" t="s">
        <v>135</v>
      </c>
      <c r="N96" s="2">
        <v>-10794563.939999999</v>
      </c>
      <c r="O96" s="2">
        <v>0</v>
      </c>
      <c r="P96" s="2">
        <v>0</v>
      </c>
      <c r="Q96" s="2">
        <v>-10794563.939999999</v>
      </c>
      <c r="R96" s="2"/>
      <c r="S96" s="2"/>
      <c r="AN96" s="75"/>
      <c r="AR96" s="2"/>
    </row>
    <row r="97" spans="11:40" x14ac:dyDescent="0.3">
      <c r="K97" t="s">
        <v>136</v>
      </c>
      <c r="L97" t="s">
        <v>137</v>
      </c>
      <c r="N97" s="2">
        <v>-887296.32</v>
      </c>
      <c r="O97" s="2">
        <v>230673.15</v>
      </c>
      <c r="P97" s="2">
        <v>230673.15</v>
      </c>
      <c r="Q97" s="2">
        <v>-656623.17000000004</v>
      </c>
      <c r="R97" s="2"/>
      <c r="S97" s="2"/>
      <c r="AI97" s="60"/>
      <c r="AN97" s="75"/>
    </row>
    <row r="98" spans="11:40" x14ac:dyDescent="0.3">
      <c r="K98" t="s">
        <v>138</v>
      </c>
      <c r="L98" t="s">
        <v>139</v>
      </c>
      <c r="N98" s="2">
        <v>-51958.559999999998</v>
      </c>
      <c r="O98" s="2">
        <v>25631.1</v>
      </c>
      <c r="P98" s="2">
        <v>25631.1</v>
      </c>
      <c r="Q98" s="2">
        <v>-26327.46</v>
      </c>
      <c r="R98" s="2"/>
      <c r="S98" s="2"/>
      <c r="AN98" s="75"/>
    </row>
    <row r="99" spans="11:40" x14ac:dyDescent="0.3">
      <c r="K99" t="s">
        <v>140</v>
      </c>
      <c r="L99" t="s">
        <v>141</v>
      </c>
      <c r="N99" s="2">
        <v>20543112.469999999</v>
      </c>
      <c r="O99" s="2">
        <v>-149494.65</v>
      </c>
      <c r="P99" s="2">
        <v>-149494.65</v>
      </c>
      <c r="Q99" s="2">
        <v>20393617.82</v>
      </c>
      <c r="R99" s="2"/>
      <c r="S99" s="2"/>
      <c r="AN99" s="75"/>
    </row>
    <row r="100" spans="11:40" x14ac:dyDescent="0.3">
      <c r="K100" t="s">
        <v>142</v>
      </c>
      <c r="L100" t="s">
        <v>143</v>
      </c>
      <c r="N100" s="2">
        <v>-186.06</v>
      </c>
      <c r="O100" s="2">
        <v>163.87</v>
      </c>
      <c r="P100" s="2">
        <v>163.87</v>
      </c>
      <c r="Q100" s="2">
        <v>-22.19</v>
      </c>
      <c r="R100" s="2"/>
      <c r="S100" s="2"/>
      <c r="AN100" s="75"/>
    </row>
    <row r="101" spans="11:40" x14ac:dyDescent="0.3">
      <c r="K101" t="s">
        <v>144</v>
      </c>
      <c r="L101" t="s">
        <v>145</v>
      </c>
      <c r="N101" s="2">
        <v>-311964.93</v>
      </c>
      <c r="O101" s="2">
        <v>657173.13</v>
      </c>
      <c r="P101" s="2">
        <v>657173.13</v>
      </c>
      <c r="Q101" s="2">
        <v>345208.2</v>
      </c>
      <c r="R101" s="2"/>
      <c r="S101" s="2"/>
      <c r="AN101" s="75"/>
    </row>
    <row r="102" spans="11:40" x14ac:dyDescent="0.3">
      <c r="K102" t="s">
        <v>146</v>
      </c>
      <c r="L102" t="s">
        <v>147</v>
      </c>
      <c r="N102" s="2">
        <v>-1150940.33</v>
      </c>
      <c r="O102" s="2">
        <v>84.56</v>
      </c>
      <c r="P102" s="2">
        <v>84.56</v>
      </c>
      <c r="Q102" s="2">
        <v>-1150855.77</v>
      </c>
      <c r="R102" s="2"/>
      <c r="S102" s="2"/>
      <c r="AN102" s="75"/>
    </row>
    <row r="103" spans="11:40" x14ac:dyDescent="0.3">
      <c r="K103" t="s">
        <v>148</v>
      </c>
      <c r="L103" t="s">
        <v>149</v>
      </c>
      <c r="N103" s="2">
        <v>0</v>
      </c>
      <c r="O103" s="2">
        <v>-0.01</v>
      </c>
      <c r="P103" s="2">
        <v>-0.01</v>
      </c>
      <c r="Q103" s="2">
        <v>-0.01</v>
      </c>
      <c r="R103" s="2"/>
      <c r="S103" s="2"/>
      <c r="AN103" s="75"/>
    </row>
    <row r="104" spans="11:40" x14ac:dyDescent="0.3">
      <c r="K104" t="s">
        <v>150</v>
      </c>
      <c r="L104" t="s">
        <v>151</v>
      </c>
      <c r="N104" s="2">
        <v>77325.95</v>
      </c>
      <c r="O104" s="2">
        <v>0</v>
      </c>
      <c r="P104" s="2">
        <v>0</v>
      </c>
      <c r="Q104" s="2">
        <v>77325.95</v>
      </c>
      <c r="R104" s="2"/>
      <c r="S104" s="2"/>
      <c r="AN104" s="75"/>
    </row>
    <row r="105" spans="11:40" x14ac:dyDescent="0.3">
      <c r="K105" t="s">
        <v>152</v>
      </c>
      <c r="L105" t="s">
        <v>153</v>
      </c>
      <c r="N105" s="2">
        <v>-492.97</v>
      </c>
      <c r="O105" s="2">
        <v>0</v>
      </c>
      <c r="P105" s="2">
        <v>0</v>
      </c>
      <c r="Q105" s="2">
        <v>-492.97</v>
      </c>
      <c r="R105" s="2"/>
      <c r="S105" s="2"/>
      <c r="AN105" s="75"/>
    </row>
    <row r="106" spans="11:40" x14ac:dyDescent="0.3">
      <c r="K106" t="s">
        <v>154</v>
      </c>
      <c r="L106" t="s">
        <v>155</v>
      </c>
      <c r="N106" s="2">
        <v>2708.04</v>
      </c>
      <c r="O106" s="2">
        <v>0</v>
      </c>
      <c r="P106" s="2">
        <v>0</v>
      </c>
      <c r="Q106" s="2">
        <v>2708.04</v>
      </c>
      <c r="R106" s="2"/>
      <c r="S106" s="2"/>
      <c r="AN106" s="75"/>
    </row>
    <row r="107" spans="11:40" x14ac:dyDescent="0.3">
      <c r="K107" t="s">
        <v>156</v>
      </c>
      <c r="L107" t="s">
        <v>157</v>
      </c>
      <c r="N107" s="2">
        <v>-0.01</v>
      </c>
      <c r="O107" s="2">
        <v>0</v>
      </c>
      <c r="P107" s="2">
        <v>0</v>
      </c>
      <c r="Q107" s="2">
        <v>-0.01</v>
      </c>
      <c r="R107" s="2"/>
      <c r="S107" s="2"/>
    </row>
    <row r="108" spans="11:40" x14ac:dyDescent="0.3">
      <c r="K108" t="s">
        <v>158</v>
      </c>
      <c r="L108" t="s">
        <v>159</v>
      </c>
      <c r="N108" s="2">
        <v>-0.04</v>
      </c>
      <c r="O108" s="2">
        <v>0</v>
      </c>
      <c r="P108" s="2">
        <v>0</v>
      </c>
      <c r="Q108" s="2">
        <v>-0.04</v>
      </c>
      <c r="R108" s="2"/>
      <c r="S108" s="2"/>
    </row>
    <row r="109" spans="11:40" x14ac:dyDescent="0.3">
      <c r="K109" t="s">
        <v>160</v>
      </c>
      <c r="L109" t="s">
        <v>161</v>
      </c>
      <c r="N109" s="2">
        <v>-4291.07</v>
      </c>
      <c r="O109" s="2">
        <v>1631.96</v>
      </c>
      <c r="P109" s="2">
        <v>1631.96</v>
      </c>
      <c r="Q109" s="2">
        <v>-2659.11</v>
      </c>
      <c r="R109" s="2"/>
      <c r="S109" s="2"/>
    </row>
    <row r="110" spans="11:40" x14ac:dyDescent="0.3">
      <c r="K110" t="s">
        <v>162</v>
      </c>
      <c r="L110" t="s">
        <v>163</v>
      </c>
      <c r="N110" s="2">
        <v>1.48</v>
      </c>
      <c r="O110" s="2">
        <v>-0.14000000000000001</v>
      </c>
      <c r="P110" s="2">
        <v>-0.14000000000000001</v>
      </c>
      <c r="Q110" s="2">
        <v>1.34</v>
      </c>
      <c r="R110" s="2"/>
      <c r="S110" s="2"/>
    </row>
    <row r="111" spans="11:40" x14ac:dyDescent="0.3">
      <c r="K111" t="s">
        <v>164</v>
      </c>
      <c r="L111" t="s">
        <v>165</v>
      </c>
      <c r="N111" s="2">
        <v>-0.02</v>
      </c>
      <c r="O111" s="2">
        <v>0.02</v>
      </c>
      <c r="P111" s="2">
        <v>0.02</v>
      </c>
      <c r="Q111" s="2">
        <v>0</v>
      </c>
      <c r="R111" s="2"/>
      <c r="S111" s="2"/>
    </row>
    <row r="112" spans="11:40" x14ac:dyDescent="0.3">
      <c r="K112" t="s">
        <v>166</v>
      </c>
      <c r="L112" t="s">
        <v>167</v>
      </c>
      <c r="N112" s="2">
        <v>36342.870000000003</v>
      </c>
      <c r="O112" s="2">
        <v>-4469.45</v>
      </c>
      <c r="P112" s="2">
        <v>-4469.45</v>
      </c>
      <c r="Q112" s="2">
        <v>31873.42</v>
      </c>
      <c r="R112" s="2"/>
      <c r="S112" s="2"/>
    </row>
    <row r="113" spans="11:19" x14ac:dyDescent="0.3">
      <c r="K113" t="s">
        <v>168</v>
      </c>
      <c r="L113" t="s">
        <v>169</v>
      </c>
      <c r="N113" s="2">
        <v>-0.02</v>
      </c>
      <c r="O113" s="2">
        <v>-0.02</v>
      </c>
      <c r="P113" s="2">
        <v>-0.02</v>
      </c>
      <c r="Q113" s="2">
        <v>-0.04</v>
      </c>
      <c r="R113" s="2"/>
      <c r="S113" s="2"/>
    </row>
    <row r="114" spans="11:19" x14ac:dyDescent="0.3">
      <c r="K114" t="s">
        <v>170</v>
      </c>
      <c r="L114" t="s">
        <v>171</v>
      </c>
      <c r="N114" s="2">
        <v>0</v>
      </c>
      <c r="O114" s="2">
        <v>-0.01</v>
      </c>
      <c r="P114" s="2">
        <v>-0.01</v>
      </c>
      <c r="Q114" s="2">
        <v>-0.01</v>
      </c>
      <c r="R114" s="2"/>
      <c r="S114" s="2"/>
    </row>
    <row r="115" spans="11:19" x14ac:dyDescent="0.3">
      <c r="K115" t="s">
        <v>172</v>
      </c>
      <c r="L115" t="s">
        <v>173</v>
      </c>
      <c r="N115" s="2">
        <v>-0.01</v>
      </c>
      <c r="O115" s="2">
        <v>0</v>
      </c>
      <c r="P115" s="2">
        <v>0</v>
      </c>
      <c r="Q115" s="2">
        <v>-0.01</v>
      </c>
      <c r="R115" s="2"/>
    </row>
    <row r="116" spans="11:19" x14ac:dyDescent="0.3">
      <c r="K116" t="s">
        <v>174</v>
      </c>
      <c r="L116" t="s">
        <v>175</v>
      </c>
      <c r="N116" s="2">
        <v>0.01</v>
      </c>
      <c r="O116" s="2">
        <v>0</v>
      </c>
      <c r="P116" s="2">
        <v>0</v>
      </c>
      <c r="Q116" s="2">
        <v>0.01</v>
      </c>
      <c r="R116" s="2"/>
    </row>
    <row r="117" spans="11:19" x14ac:dyDescent="0.3">
      <c r="K117" t="s">
        <v>176</v>
      </c>
      <c r="L117" t="s">
        <v>177</v>
      </c>
      <c r="N117" s="2">
        <v>-0.48</v>
      </c>
      <c r="O117" s="2">
        <v>0</v>
      </c>
      <c r="P117" s="2">
        <v>0</v>
      </c>
      <c r="Q117" s="2">
        <v>-0.48</v>
      </c>
      <c r="R117" s="2"/>
    </row>
    <row r="118" spans="11:19" x14ac:dyDescent="0.3">
      <c r="K118" t="s">
        <v>178</v>
      </c>
      <c r="L118" t="s">
        <v>179</v>
      </c>
      <c r="N118" s="2">
        <v>-26.82</v>
      </c>
      <c r="O118" s="2">
        <v>15</v>
      </c>
      <c r="P118" s="2">
        <v>15</v>
      </c>
      <c r="Q118" s="2">
        <v>-11.82</v>
      </c>
      <c r="R118" s="2"/>
    </row>
    <row r="119" spans="11:19" x14ac:dyDescent="0.3">
      <c r="K119" t="s">
        <v>180</v>
      </c>
      <c r="L119" t="s">
        <v>181</v>
      </c>
      <c r="N119" s="2">
        <v>50051.46</v>
      </c>
      <c r="O119" s="2">
        <v>-51202.98</v>
      </c>
      <c r="P119" s="2">
        <v>-51202.98</v>
      </c>
      <c r="Q119" s="2">
        <v>-1151.52</v>
      </c>
      <c r="R119" s="2"/>
    </row>
    <row r="120" spans="11:19" x14ac:dyDescent="0.3">
      <c r="K120" t="s">
        <v>182</v>
      </c>
      <c r="L120" t="s">
        <v>183</v>
      </c>
      <c r="N120" s="2">
        <v>-0.02</v>
      </c>
      <c r="O120" s="2">
        <v>0</v>
      </c>
      <c r="P120" s="2">
        <v>0</v>
      </c>
      <c r="Q120" s="2">
        <v>-0.02</v>
      </c>
      <c r="R120" s="2"/>
    </row>
    <row r="121" spans="11:19" x14ac:dyDescent="0.3">
      <c r="K121" t="s">
        <v>184</v>
      </c>
      <c r="L121" t="s">
        <v>185</v>
      </c>
      <c r="N121" s="2">
        <v>-53469.97</v>
      </c>
      <c r="O121" s="2">
        <v>0</v>
      </c>
      <c r="P121" s="2">
        <v>0</v>
      </c>
      <c r="Q121" s="2">
        <v>-53469.97</v>
      </c>
      <c r="R121" s="2"/>
      <c r="S121" s="60"/>
    </row>
    <row r="122" spans="11:19" x14ac:dyDescent="0.3">
      <c r="K122" t="s">
        <v>186</v>
      </c>
      <c r="L122" t="s">
        <v>187</v>
      </c>
      <c r="N122" s="2">
        <v>-32243.34</v>
      </c>
      <c r="O122" s="2">
        <v>629.32000000000005</v>
      </c>
      <c r="P122" s="2">
        <v>629.32000000000005</v>
      </c>
      <c r="Q122" s="2">
        <v>-31614.02</v>
      </c>
      <c r="R122" s="2"/>
    </row>
    <row r="123" spans="11:19" x14ac:dyDescent="0.3">
      <c r="K123" t="s">
        <v>188</v>
      </c>
      <c r="L123" t="s">
        <v>189</v>
      </c>
      <c r="N123" s="2">
        <v>-0.18</v>
      </c>
      <c r="O123" s="2">
        <v>0</v>
      </c>
      <c r="P123" s="2">
        <v>0</v>
      </c>
      <c r="Q123" s="2">
        <v>-0.18</v>
      </c>
      <c r="R123" s="2"/>
    </row>
    <row r="124" spans="11:19" x14ac:dyDescent="0.3">
      <c r="K124" t="s">
        <v>190</v>
      </c>
      <c r="L124" t="s">
        <v>191</v>
      </c>
      <c r="N124" s="2">
        <v>0.01</v>
      </c>
      <c r="O124" s="2">
        <v>0</v>
      </c>
      <c r="P124" s="2">
        <v>0</v>
      </c>
      <c r="Q124" s="2">
        <v>0.01</v>
      </c>
      <c r="R124" s="2"/>
    </row>
    <row r="125" spans="11:19" x14ac:dyDescent="0.3">
      <c r="K125" t="s">
        <v>192</v>
      </c>
      <c r="L125" t="s">
        <v>193</v>
      </c>
      <c r="N125" s="2">
        <v>0.05</v>
      </c>
      <c r="O125" s="2">
        <v>0</v>
      </c>
      <c r="P125" s="2">
        <v>0</v>
      </c>
      <c r="Q125" s="2">
        <v>0.05</v>
      </c>
      <c r="R125" s="2"/>
    </row>
    <row r="126" spans="11:19" x14ac:dyDescent="0.3">
      <c r="K126" t="s">
        <v>194</v>
      </c>
      <c r="L126" t="s">
        <v>195</v>
      </c>
      <c r="N126" s="2">
        <v>-228106.14</v>
      </c>
      <c r="O126" s="2">
        <v>0.01</v>
      </c>
      <c r="P126" s="2">
        <v>0.01</v>
      </c>
      <c r="Q126" s="2">
        <v>-228106.13</v>
      </c>
      <c r="R126" s="2"/>
    </row>
    <row r="127" spans="11:19" x14ac:dyDescent="0.3">
      <c r="K127" t="s">
        <v>196</v>
      </c>
      <c r="L127" t="s">
        <v>197</v>
      </c>
      <c r="N127" s="2">
        <v>-448773.9</v>
      </c>
      <c r="O127" s="2">
        <v>-0.01</v>
      </c>
      <c r="P127" s="2">
        <v>-0.01</v>
      </c>
      <c r="Q127" s="2">
        <v>-448773.91</v>
      </c>
      <c r="R127" s="2"/>
    </row>
    <row r="128" spans="11:19" x14ac:dyDescent="0.3">
      <c r="K128" t="s">
        <v>198</v>
      </c>
      <c r="L128" t="s">
        <v>199</v>
      </c>
      <c r="N128" s="2">
        <v>-3439391.22</v>
      </c>
      <c r="O128" s="2">
        <v>0.03</v>
      </c>
      <c r="P128" s="2">
        <v>0.03</v>
      </c>
      <c r="Q128" s="2">
        <v>-3439391.19</v>
      </c>
      <c r="R128" s="2"/>
    </row>
    <row r="129" spans="11:19" x14ac:dyDescent="0.3">
      <c r="K129" t="s">
        <v>200</v>
      </c>
      <c r="L129" t="s">
        <v>201</v>
      </c>
      <c r="N129" s="2">
        <v>67454.67</v>
      </c>
      <c r="O129" s="2">
        <v>-4340.6000000000004</v>
      </c>
      <c r="P129" s="2">
        <v>-4340.6000000000004</v>
      </c>
      <c r="Q129" s="2">
        <v>63114.07</v>
      </c>
      <c r="R129" s="2"/>
    </row>
    <row r="130" spans="11:19" x14ac:dyDescent="0.3">
      <c r="K130" t="s">
        <v>202</v>
      </c>
      <c r="L130" t="s">
        <v>203</v>
      </c>
      <c r="N130" s="2">
        <v>15915785.23</v>
      </c>
      <c r="O130" s="2">
        <v>0</v>
      </c>
      <c r="P130" s="2">
        <v>0</v>
      </c>
      <c r="Q130" s="2">
        <v>15915785.23</v>
      </c>
      <c r="R130" s="2"/>
    </row>
    <row r="131" spans="11:19" x14ac:dyDescent="0.3">
      <c r="K131" t="s">
        <v>204</v>
      </c>
      <c r="L131" t="s">
        <v>205</v>
      </c>
      <c r="N131" s="2">
        <v>0</v>
      </c>
      <c r="O131" s="2">
        <v>-0.01</v>
      </c>
      <c r="P131" s="2">
        <v>-0.01</v>
      </c>
      <c r="Q131" s="2">
        <v>-0.01</v>
      </c>
      <c r="R131" s="2"/>
    </row>
    <row r="132" spans="11:19" x14ac:dyDescent="0.3">
      <c r="K132" t="s">
        <v>206</v>
      </c>
      <c r="L132" t="s">
        <v>207</v>
      </c>
      <c r="N132" s="2">
        <v>-27759511.050000001</v>
      </c>
      <c r="O132" s="2">
        <v>-0.01</v>
      </c>
      <c r="P132" s="2">
        <v>-0.01</v>
      </c>
      <c r="Q132" s="2">
        <v>-27759511.059999999</v>
      </c>
      <c r="R132" s="2"/>
    </row>
    <row r="133" spans="11:19" x14ac:dyDescent="0.3">
      <c r="K133" t="s">
        <v>208</v>
      </c>
      <c r="L133" t="s">
        <v>209</v>
      </c>
      <c r="N133" s="2">
        <v>-16662332.32</v>
      </c>
      <c r="O133" s="2">
        <v>0</v>
      </c>
      <c r="P133" s="2">
        <v>0</v>
      </c>
      <c r="Q133" s="2">
        <v>-16662332.32</v>
      </c>
      <c r="R133" s="2"/>
    </row>
    <row r="134" spans="11:19" x14ac:dyDescent="0.3">
      <c r="K134" t="s">
        <v>210</v>
      </c>
      <c r="L134" t="s">
        <v>211</v>
      </c>
      <c r="N134" s="2">
        <v>-1301.3699999999999</v>
      </c>
      <c r="O134" s="2">
        <v>1270.98</v>
      </c>
      <c r="P134" s="2">
        <v>1270.98</v>
      </c>
      <c r="Q134" s="2">
        <v>-30.39</v>
      </c>
      <c r="R134" s="2"/>
    </row>
    <row r="135" spans="11:19" x14ac:dyDescent="0.3">
      <c r="K135" t="s">
        <v>212</v>
      </c>
      <c r="L135" t="s">
        <v>213</v>
      </c>
      <c r="N135" s="2">
        <v>109262247.86</v>
      </c>
      <c r="O135" s="2">
        <v>-14005563.35</v>
      </c>
      <c r="P135" s="2">
        <v>-14005563.35</v>
      </c>
      <c r="Q135" s="2">
        <v>95256684.510000005</v>
      </c>
      <c r="R135" s="2"/>
    </row>
    <row r="136" spans="11:19" x14ac:dyDescent="0.3">
      <c r="K136" t="s">
        <v>214</v>
      </c>
      <c r="L136" t="s">
        <v>215</v>
      </c>
      <c r="N136" s="2">
        <v>-4783630.2300000004</v>
      </c>
      <c r="O136" s="2">
        <v>0.03</v>
      </c>
      <c r="P136" s="2">
        <v>0.03</v>
      </c>
      <c r="Q136" s="2">
        <v>-4783630.2</v>
      </c>
      <c r="R136" s="2"/>
      <c r="S136" s="2"/>
    </row>
    <row r="137" spans="11:19" x14ac:dyDescent="0.3">
      <c r="K137" t="s">
        <v>216</v>
      </c>
      <c r="L137" t="s">
        <v>217</v>
      </c>
      <c r="N137" s="2">
        <v>347574.88</v>
      </c>
      <c r="O137" s="2">
        <v>-0.02</v>
      </c>
      <c r="P137" s="2">
        <v>-0.02</v>
      </c>
      <c r="Q137" s="2">
        <v>347574.86</v>
      </c>
      <c r="R137" s="2"/>
      <c r="S137" s="2"/>
    </row>
    <row r="138" spans="11:19" x14ac:dyDescent="0.3">
      <c r="K138" t="s">
        <v>218</v>
      </c>
      <c r="L138" t="s">
        <v>219</v>
      </c>
      <c r="N138" s="2">
        <v>0.02</v>
      </c>
      <c r="O138" s="2">
        <v>0</v>
      </c>
      <c r="P138" s="2">
        <v>0</v>
      </c>
      <c r="Q138" s="2">
        <v>0.02</v>
      </c>
      <c r="R138" s="2"/>
    </row>
    <row r="139" spans="11:19" x14ac:dyDescent="0.3">
      <c r="K139" t="s">
        <v>77</v>
      </c>
      <c r="N139" s="2">
        <v>50887167.210000001</v>
      </c>
      <c r="O139" s="2">
        <v>-13474028.57</v>
      </c>
      <c r="P139" s="2">
        <v>-13474028.57</v>
      </c>
      <c r="Q139" s="2">
        <v>37413138.640000001</v>
      </c>
      <c r="R139" s="38"/>
    </row>
    <row r="140" spans="11:19" x14ac:dyDescent="0.3">
      <c r="K140" t="s">
        <v>78</v>
      </c>
      <c r="N140" s="2">
        <v>50887167.210000001</v>
      </c>
      <c r="O140" s="2">
        <v>-13474028.57</v>
      </c>
      <c r="P140" s="2">
        <v>-13474028.57</v>
      </c>
      <c r="Q140" s="2">
        <v>37413138.640000001</v>
      </c>
      <c r="R140" s="2"/>
    </row>
    <row r="141" spans="11:19" x14ac:dyDescent="0.3">
      <c r="K141" t="s">
        <v>79</v>
      </c>
      <c r="N141" s="2">
        <v>50887167.210000001</v>
      </c>
      <c r="O141" s="2">
        <v>-13474028.57</v>
      </c>
      <c r="P141" s="2">
        <v>-13474028.57</v>
      </c>
      <c r="Q141" s="134">
        <v>37413138.640000001</v>
      </c>
      <c r="R141" s="38"/>
    </row>
    <row r="142" spans="11:19" x14ac:dyDescent="0.3">
      <c r="K142" t="s">
        <v>81</v>
      </c>
      <c r="L142" s="73">
        <v>45334</v>
      </c>
      <c r="M142" s="74">
        <v>0.93472222222222223</v>
      </c>
      <c r="Q142" s="142">
        <f>-Q27</f>
        <v>201434</v>
      </c>
      <c r="R142" t="s">
        <v>82</v>
      </c>
    </row>
    <row r="143" spans="11:19" x14ac:dyDescent="0.3">
      <c r="N143" s="61" t="s">
        <v>83</v>
      </c>
      <c r="Q143" s="72">
        <f>+Q141+Q142</f>
        <v>37614572.640000001</v>
      </c>
      <c r="R143" t="s">
        <v>84</v>
      </c>
    </row>
    <row r="144" spans="11:19" x14ac:dyDescent="0.3">
      <c r="N144" s="2"/>
      <c r="Q144" s="60"/>
    </row>
    <row r="145" spans="15:20" x14ac:dyDescent="0.3">
      <c r="Q145" s="60"/>
    </row>
    <row r="146" spans="15:20" x14ac:dyDescent="0.3">
      <c r="Q146" s="6">
        <v>2023</v>
      </c>
      <c r="R146" s="6">
        <v>2022</v>
      </c>
    </row>
    <row r="147" spans="15:20" x14ac:dyDescent="0.3">
      <c r="Q147" s="62">
        <f>Q143</f>
        <v>37614572.640000001</v>
      </c>
      <c r="R147" s="1">
        <v>51088601.210000001</v>
      </c>
    </row>
    <row r="148" spans="15:20" x14ac:dyDescent="0.3">
      <c r="P148" s="7" t="s">
        <v>220</v>
      </c>
      <c r="Q148" s="79">
        <f>+R148</f>
        <v>17429</v>
      </c>
      <c r="R148" s="1">
        <v>17429</v>
      </c>
    </row>
    <row r="149" spans="15:20" x14ac:dyDescent="0.3">
      <c r="Q149" s="68">
        <f>SUM(Q147:Q148)</f>
        <v>37632001.640000001</v>
      </c>
      <c r="R149" s="68">
        <v>51106030.210000001</v>
      </c>
    </row>
    <row r="150" spans="15:20" x14ac:dyDescent="0.3">
      <c r="R150" s="1"/>
    </row>
    <row r="151" spans="15:20" x14ac:dyDescent="0.3">
      <c r="P151" s="80"/>
      <c r="Q151" s="75">
        <f>Q149</f>
        <v>37632001.640000001</v>
      </c>
      <c r="R151" s="1">
        <v>51106030.210000001</v>
      </c>
    </row>
    <row r="152" spans="15:20" x14ac:dyDescent="0.3">
      <c r="P152" s="169" t="s">
        <v>221</v>
      </c>
      <c r="Q152" s="75">
        <f>-P82</f>
        <v>178017.48</v>
      </c>
      <c r="R152" s="1">
        <v>0</v>
      </c>
    </row>
    <row r="153" spans="15:20" x14ac:dyDescent="0.3">
      <c r="P153" s="7" t="s">
        <v>222</v>
      </c>
      <c r="Q153" s="75">
        <f>SUM('[14]TEC 2017 Deferred Tax'!$O$12:$O$40)+'[14]TEC 2017 Deferred Tax'!$O$82+'[14]TEC 2017 Deferred Tax'!$O$108</f>
        <v>-6352163.0099999998</v>
      </c>
      <c r="R153" s="1">
        <v>-6352163.0099999998</v>
      </c>
      <c r="S153" s="1"/>
    </row>
    <row r="154" spans="15:20" x14ac:dyDescent="0.3">
      <c r="P154" s="7" t="s">
        <v>223</v>
      </c>
      <c r="Q154" s="75">
        <f>'[14]TEC 2017 Deferred Tax'!$O$42+'[14]TEC 2017 Deferred Tax'!$O$43</f>
        <v>16202161.232123999</v>
      </c>
      <c r="R154" s="1">
        <v>16202161.232123999</v>
      </c>
      <c r="S154" s="1"/>
    </row>
    <row r="155" spans="15:20" ht="15" thickBot="1" x14ac:dyDescent="0.35">
      <c r="P155" s="81"/>
      <c r="Q155" s="78">
        <f>SUM(Q151:Q154)</f>
        <v>47660017.342124</v>
      </c>
      <c r="R155" s="78">
        <v>60956028.432124004</v>
      </c>
      <c r="S155" s="60"/>
      <c r="T155" s="60"/>
    </row>
    <row r="156" spans="15:20" ht="15" thickTop="1" x14ac:dyDescent="0.3">
      <c r="O156" s="60"/>
      <c r="Q156" s="2">
        <f>'[14]FD Unamortiz Unprotected Bal'!Z116-Q155</f>
        <v>66.621456772089005</v>
      </c>
      <c r="R156" s="1">
        <v>66.741213969886303</v>
      </c>
    </row>
    <row r="157" spans="15:20" x14ac:dyDescent="0.3">
      <c r="Q157" s="2"/>
    </row>
    <row r="159" spans="15:20" x14ac:dyDescent="0.3">
      <c r="Q159" s="1"/>
    </row>
    <row r="160" spans="15:20" x14ac:dyDescent="0.3">
      <c r="Q160" s="1"/>
    </row>
    <row r="161" spans="17:17" x14ac:dyDescent="0.3">
      <c r="Q161" s="60"/>
    </row>
    <row r="163" spans="17:17" x14ac:dyDescent="0.3">
      <c r="Q163" s="17"/>
    </row>
  </sheetData>
  <hyperlinks>
    <hyperlink ref="A2" r:id="rId1" xr:uid="{4127F2B6-5D26-4C27-ACD3-589B6EBFE938}"/>
  </hyperlinks>
  <pageMargins left="0.7" right="0.7" top="0.75" bottom="0.75" header="0.3" footer="0.3"/>
  <pageSetup scale="50" orientation="portrait" r:id="rId2"/>
  <headerFooter>
    <oddFooter>&amp;L&amp;Z&amp;F&amp;A</oddFooter>
  </headerFooter>
  <customProperties>
    <customPr name="EpmWorksheetKeyString_GUID" r:id="rId3"/>
  </customProperties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0342A-AEEF-4D6D-B7E7-2529D3DA369A}">
  <sheetPr>
    <tabColor theme="7" tint="0.79998168889431442"/>
  </sheetPr>
  <dimension ref="A1:H20"/>
  <sheetViews>
    <sheetView workbookViewId="0">
      <selection activeCell="D15" sqref="D15"/>
    </sheetView>
  </sheetViews>
  <sheetFormatPr defaultRowHeight="14.4" x14ac:dyDescent="0.3"/>
  <cols>
    <col min="1" max="1" width="37.33203125" bestFit="1" customWidth="1"/>
    <col min="2" max="2" width="36.5546875" customWidth="1"/>
    <col min="3" max="3" width="13.6640625" bestFit="1" customWidth="1"/>
    <col min="4" max="4" width="13.33203125" customWidth="1"/>
    <col min="5" max="6" width="15.6640625" customWidth="1"/>
    <col min="7" max="7" width="15" customWidth="1"/>
  </cols>
  <sheetData>
    <row r="1" spans="1:7" x14ac:dyDescent="0.3">
      <c r="A1" t="s">
        <v>46</v>
      </c>
    </row>
    <row r="2" spans="1:7" x14ac:dyDescent="0.3">
      <c r="A2" t="s">
        <v>224</v>
      </c>
    </row>
    <row r="3" spans="1:7" x14ac:dyDescent="0.3">
      <c r="A3" t="s">
        <v>225</v>
      </c>
    </row>
    <row r="4" spans="1:7" x14ac:dyDescent="0.3">
      <c r="A4" t="s">
        <v>50</v>
      </c>
    </row>
    <row r="5" spans="1:7" x14ac:dyDescent="0.3">
      <c r="A5" t="s">
        <v>226</v>
      </c>
    </row>
    <row r="6" spans="1:7" ht="43.2" x14ac:dyDescent="0.3">
      <c r="D6" s="13" t="s">
        <v>53</v>
      </c>
      <c r="E6" s="13" t="s">
        <v>227</v>
      </c>
      <c r="F6" s="13" t="s">
        <v>228</v>
      </c>
      <c r="G6" s="13" t="s">
        <v>229</v>
      </c>
    </row>
    <row r="7" spans="1:7" x14ac:dyDescent="0.3">
      <c r="A7" t="s">
        <v>57</v>
      </c>
      <c r="C7" t="s">
        <v>58</v>
      </c>
    </row>
    <row r="8" spans="1:7" x14ac:dyDescent="0.3">
      <c r="A8" t="s">
        <v>59</v>
      </c>
    </row>
    <row r="9" spans="1:7" x14ac:dyDescent="0.3">
      <c r="A9" t="s">
        <v>62</v>
      </c>
    </row>
    <row r="10" spans="1:7" x14ac:dyDescent="0.3">
      <c r="A10" t="s">
        <v>64</v>
      </c>
      <c r="B10" t="s">
        <v>65</v>
      </c>
      <c r="D10" s="2">
        <v>-18926660.34</v>
      </c>
      <c r="E10" s="2">
        <v>0</v>
      </c>
      <c r="F10" s="2">
        <v>0</v>
      </c>
      <c r="G10" s="2">
        <v>-18926660.34</v>
      </c>
    </row>
    <row r="11" spans="1:7" x14ac:dyDescent="0.3">
      <c r="A11" t="s">
        <v>67</v>
      </c>
      <c r="B11" t="s">
        <v>68</v>
      </c>
      <c r="D11" s="2">
        <v>0.05</v>
      </c>
      <c r="E11" s="2">
        <v>0</v>
      </c>
      <c r="F11" s="2">
        <v>0</v>
      </c>
      <c r="G11" s="2">
        <v>0.05</v>
      </c>
    </row>
    <row r="12" spans="1:7" x14ac:dyDescent="0.3">
      <c r="A12" t="s">
        <v>70</v>
      </c>
      <c r="B12" t="s">
        <v>71</v>
      </c>
      <c r="D12" s="2">
        <v>340601489.44</v>
      </c>
      <c r="E12" s="2">
        <v>-13356933.960000001</v>
      </c>
      <c r="F12" s="2">
        <v>-13356933.960000001</v>
      </c>
      <c r="G12" s="2">
        <v>327244555.48000002</v>
      </c>
    </row>
    <row r="13" spans="1:7" x14ac:dyDescent="0.3">
      <c r="A13" t="s">
        <v>72</v>
      </c>
      <c r="B13" t="s">
        <v>73</v>
      </c>
      <c r="D13" s="2">
        <v>-21649156.440000001</v>
      </c>
      <c r="E13" s="2">
        <v>0</v>
      </c>
      <c r="F13" s="2">
        <v>0</v>
      </c>
      <c r="G13" s="2">
        <v>-21649156.440000001</v>
      </c>
    </row>
    <row r="14" spans="1:7" x14ac:dyDescent="0.3">
      <c r="A14" t="s">
        <v>75</v>
      </c>
      <c r="B14" t="s">
        <v>76</v>
      </c>
      <c r="D14" s="2">
        <v>-15629881.199999999</v>
      </c>
      <c r="E14" s="2">
        <v>0.01</v>
      </c>
      <c r="F14" s="2">
        <v>0.01</v>
      </c>
      <c r="G14" s="2">
        <v>-15629881.189999999</v>
      </c>
    </row>
    <row r="15" spans="1:7" x14ac:dyDescent="0.3">
      <c r="A15" t="s">
        <v>77</v>
      </c>
      <c r="D15" s="2">
        <v>284395791.50999999</v>
      </c>
      <c r="E15" s="2">
        <v>-13356933.949999999</v>
      </c>
      <c r="F15" s="2">
        <v>-13356933.949999999</v>
      </c>
      <c r="G15" s="2">
        <v>271038857.56</v>
      </c>
    </row>
    <row r="16" spans="1:7" x14ac:dyDescent="0.3">
      <c r="A16" t="s">
        <v>78</v>
      </c>
      <c r="D16" s="2">
        <v>284395791.50999999</v>
      </c>
      <c r="E16" s="2">
        <v>-13356933.949999999</v>
      </c>
      <c r="F16" s="2">
        <v>-13356933.949999999</v>
      </c>
      <c r="G16" s="2">
        <v>271038857.56</v>
      </c>
    </row>
    <row r="17" spans="1:8" x14ac:dyDescent="0.3">
      <c r="A17" t="s">
        <v>79</v>
      </c>
      <c r="D17" s="2">
        <v>284395791.50999999</v>
      </c>
      <c r="E17" s="2">
        <v>-13356933.949999999</v>
      </c>
      <c r="F17" s="2">
        <v>-13356933.949999999</v>
      </c>
      <c r="G17" s="156">
        <v>271038857.56</v>
      </c>
    </row>
    <row r="18" spans="1:8" x14ac:dyDescent="0.3">
      <c r="A18" t="s">
        <v>81</v>
      </c>
      <c r="B18" s="73">
        <v>45335</v>
      </c>
      <c r="C18" s="74">
        <v>0.64812499999999995</v>
      </c>
      <c r="D18" s="76">
        <v>-201434</v>
      </c>
      <c r="G18" s="76">
        <v>-201434</v>
      </c>
      <c r="H18" t="s">
        <v>82</v>
      </c>
    </row>
    <row r="19" spans="1:8" ht="15" thickBot="1" x14ac:dyDescent="0.35">
      <c r="D19" s="137">
        <f>+D17+D18</f>
        <v>284194357.50999999</v>
      </c>
      <c r="F19" s="190" t="s">
        <v>26</v>
      </c>
      <c r="G19" s="137">
        <f>+G17+G18</f>
        <v>270837423.56</v>
      </c>
      <c r="H19" t="s">
        <v>84</v>
      </c>
    </row>
    <row r="20" spans="1:8" ht="15" thickTop="1" x14ac:dyDescent="0.3"/>
  </sheetData>
  <pageMargins left="0.7" right="0.7" top="0.75" bottom="0.75" header="0.3" footer="0.3"/>
  <customProperties>
    <customPr name="EpmWorksheetKeyString_GUID" r:id="rId1"/>
  </customPropertie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E6371-E040-4DA6-92DA-6F9FE90852BD}">
  <sheetPr>
    <tabColor theme="7" tint="0.79998168889431442"/>
  </sheetPr>
  <dimension ref="A1:H20"/>
  <sheetViews>
    <sheetView topLeftCell="A6" workbookViewId="0">
      <selection activeCell="D17" sqref="D17:D18"/>
    </sheetView>
  </sheetViews>
  <sheetFormatPr defaultRowHeight="14.4" x14ac:dyDescent="0.3"/>
  <cols>
    <col min="1" max="1" width="37.33203125" bestFit="1" customWidth="1"/>
    <col min="2" max="2" width="36.5546875" customWidth="1"/>
    <col min="3" max="3" width="13.6640625" bestFit="1" customWidth="1"/>
    <col min="4" max="4" width="13.33203125" customWidth="1"/>
    <col min="5" max="6" width="15.6640625" customWidth="1"/>
    <col min="7" max="7" width="15" customWidth="1"/>
  </cols>
  <sheetData>
    <row r="1" spans="1:7" x14ac:dyDescent="0.3">
      <c r="A1" t="s">
        <v>46</v>
      </c>
    </row>
    <row r="2" spans="1:7" x14ac:dyDescent="0.3">
      <c r="A2" t="s">
        <v>224</v>
      </c>
    </row>
    <row r="3" spans="1:7" x14ac:dyDescent="0.3">
      <c r="A3" t="s">
        <v>230</v>
      </c>
    </row>
    <row r="4" spans="1:7" x14ac:dyDescent="0.3">
      <c r="A4" t="s">
        <v>50</v>
      </c>
    </row>
    <row r="5" spans="1:7" x14ac:dyDescent="0.3">
      <c r="A5" t="s">
        <v>231</v>
      </c>
    </row>
    <row r="6" spans="1:7" ht="43.2" x14ac:dyDescent="0.3">
      <c r="D6" s="13" t="s">
        <v>53</v>
      </c>
      <c r="E6" s="13" t="s">
        <v>232</v>
      </c>
      <c r="F6" s="13" t="s">
        <v>233</v>
      </c>
      <c r="G6" s="13" t="s">
        <v>234</v>
      </c>
    </row>
    <row r="7" spans="1:7" x14ac:dyDescent="0.3">
      <c r="A7" t="s">
        <v>57</v>
      </c>
      <c r="C7" t="s">
        <v>58</v>
      </c>
    </row>
    <row r="8" spans="1:7" x14ac:dyDescent="0.3">
      <c r="A8" t="s">
        <v>59</v>
      </c>
    </row>
    <row r="9" spans="1:7" x14ac:dyDescent="0.3">
      <c r="A9" t="s">
        <v>62</v>
      </c>
    </row>
    <row r="10" spans="1:7" x14ac:dyDescent="0.3">
      <c r="A10" t="s">
        <v>64</v>
      </c>
      <c r="B10" t="s">
        <v>65</v>
      </c>
      <c r="D10" s="2">
        <v>-18926660.34</v>
      </c>
      <c r="E10" s="2">
        <v>0</v>
      </c>
      <c r="F10" s="2">
        <v>0</v>
      </c>
      <c r="G10" s="2">
        <v>-18926660.34</v>
      </c>
    </row>
    <row r="11" spans="1:7" x14ac:dyDescent="0.3">
      <c r="A11" t="s">
        <v>67</v>
      </c>
      <c r="B11" t="s">
        <v>68</v>
      </c>
      <c r="D11" s="2">
        <v>0.05</v>
      </c>
      <c r="E11" s="2">
        <v>0</v>
      </c>
      <c r="F11" s="2">
        <v>0</v>
      </c>
      <c r="G11" s="2">
        <v>0.05</v>
      </c>
    </row>
    <row r="12" spans="1:7" x14ac:dyDescent="0.3">
      <c r="A12" t="s">
        <v>70</v>
      </c>
      <c r="B12" t="s">
        <v>71</v>
      </c>
      <c r="D12" s="2">
        <v>327244555.48000002</v>
      </c>
      <c r="E12" s="2">
        <v>-16681830</v>
      </c>
      <c r="F12" s="2">
        <v>-16681830</v>
      </c>
      <c r="G12" s="2">
        <v>310562725.48000002</v>
      </c>
    </row>
    <row r="13" spans="1:7" x14ac:dyDescent="0.3">
      <c r="A13" t="s">
        <v>72</v>
      </c>
      <c r="B13" t="s">
        <v>73</v>
      </c>
      <c r="D13" s="2">
        <v>-21649156.440000001</v>
      </c>
      <c r="E13" s="2">
        <v>0.02</v>
      </c>
      <c r="F13" s="2">
        <v>0.02</v>
      </c>
      <c r="G13" s="2">
        <v>-21649156.420000002</v>
      </c>
    </row>
    <row r="14" spans="1:7" x14ac:dyDescent="0.3">
      <c r="A14" t="s">
        <v>75</v>
      </c>
      <c r="B14" t="s">
        <v>76</v>
      </c>
      <c r="D14" s="2">
        <v>-15629881.189999999</v>
      </c>
      <c r="E14" s="2">
        <v>0</v>
      </c>
      <c r="F14" s="2">
        <v>0</v>
      </c>
      <c r="G14" s="2">
        <v>-15629881.189999999</v>
      </c>
    </row>
    <row r="15" spans="1:7" x14ac:dyDescent="0.3">
      <c r="A15" t="s">
        <v>77</v>
      </c>
      <c r="D15" s="2">
        <v>271038857.56</v>
      </c>
      <c r="E15" s="2">
        <v>-16681829.98</v>
      </c>
      <c r="F15" s="2">
        <v>-16681829.98</v>
      </c>
      <c r="G15" s="2">
        <v>254357027.58000001</v>
      </c>
    </row>
    <row r="16" spans="1:7" x14ac:dyDescent="0.3">
      <c r="A16" t="s">
        <v>78</v>
      </c>
      <c r="D16" s="2">
        <v>271038857.56</v>
      </c>
      <c r="E16" s="2">
        <v>-16681829.98</v>
      </c>
      <c r="F16" s="2">
        <v>-16681829.98</v>
      </c>
      <c r="G16" s="2">
        <v>254357027.58000001</v>
      </c>
    </row>
    <row r="17" spans="1:8" x14ac:dyDescent="0.3">
      <c r="A17" t="s">
        <v>79</v>
      </c>
      <c r="D17" s="2">
        <v>271038857.56</v>
      </c>
      <c r="E17" s="2">
        <v>-16681829.98</v>
      </c>
      <c r="F17" s="2">
        <v>-16681829.98</v>
      </c>
      <c r="G17" s="156">
        <v>254357027.58000001</v>
      </c>
    </row>
    <row r="18" spans="1:8" x14ac:dyDescent="0.3">
      <c r="A18" t="s">
        <v>81</v>
      </c>
      <c r="B18" s="73">
        <v>45335</v>
      </c>
      <c r="C18" s="74">
        <v>0.64206018518518515</v>
      </c>
      <c r="D18" s="76">
        <v>-201434</v>
      </c>
      <c r="G18" s="76">
        <v>-201434</v>
      </c>
      <c r="H18" t="s">
        <v>82</v>
      </c>
    </row>
    <row r="19" spans="1:8" ht="15" thickBot="1" x14ac:dyDescent="0.35">
      <c r="D19" s="137">
        <f>+D17+D18</f>
        <v>270837423.56</v>
      </c>
      <c r="F19" s="190" t="s">
        <v>26</v>
      </c>
      <c r="G19" s="137">
        <f>+G17+G18</f>
        <v>254155593.58000001</v>
      </c>
      <c r="H19" t="s">
        <v>84</v>
      </c>
    </row>
    <row r="20" spans="1:8" ht="15" thickTop="1" x14ac:dyDescent="0.3"/>
  </sheetData>
  <pageMargins left="0.7" right="0.7" top="0.75" bottom="0.75" header="0.3" footer="0.3"/>
  <customProperties>
    <customPr name="EpmWorksheetKeyString_GUID" r:id="rId1"/>
  </customPropertie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5D499-7A4E-465F-851A-2457E5A1A06B}">
  <sheetPr>
    <tabColor rgb="FFCCFFCC"/>
  </sheetPr>
  <dimension ref="A1:I57"/>
  <sheetViews>
    <sheetView zoomScale="90" zoomScaleNormal="90" workbookViewId="0">
      <pane ySplit="7" topLeftCell="A39" activePane="bottomLeft" state="frozen"/>
      <selection activeCell="D42" sqref="D42"/>
      <selection pane="bottomLeft" activeCell="L58" sqref="L58"/>
    </sheetView>
  </sheetViews>
  <sheetFormatPr defaultRowHeight="14.4" x14ac:dyDescent="0.3"/>
  <cols>
    <col min="1" max="1" width="23.6640625" customWidth="1"/>
    <col min="2" max="2" width="36" bestFit="1" customWidth="1"/>
    <col min="3" max="3" width="7" bestFit="1" customWidth="1"/>
    <col min="5" max="5" width="16.44140625" style="1" bestFit="1" customWidth="1"/>
    <col min="6" max="6" width="14.5546875" style="1" bestFit="1" customWidth="1"/>
    <col min="7" max="7" width="14.6640625" style="1" bestFit="1" customWidth="1"/>
    <col min="8" max="8" width="14" style="1" bestFit="1" customWidth="1"/>
    <col min="9" max="9" width="15.33203125" style="1" bestFit="1" customWidth="1"/>
  </cols>
  <sheetData>
    <row r="1" spans="1:9" x14ac:dyDescent="0.3">
      <c r="A1" t="s">
        <v>235</v>
      </c>
      <c r="C1" t="s">
        <v>236</v>
      </c>
    </row>
    <row r="2" spans="1:9" x14ac:dyDescent="0.3">
      <c r="E2" s="1" t="s">
        <v>237</v>
      </c>
      <c r="F2" s="1" t="s">
        <v>238</v>
      </c>
      <c r="G2" s="1" t="s">
        <v>239</v>
      </c>
      <c r="H2" s="1" t="s">
        <v>240</v>
      </c>
      <c r="I2" s="1" t="s">
        <v>241</v>
      </c>
    </row>
    <row r="3" spans="1:9" x14ac:dyDescent="0.3">
      <c r="A3" t="s">
        <v>242</v>
      </c>
      <c r="C3">
        <v>2023</v>
      </c>
    </row>
    <row r="4" spans="1:9" x14ac:dyDescent="0.3">
      <c r="A4" t="s">
        <v>243</v>
      </c>
    </row>
    <row r="5" spans="1:9" x14ac:dyDescent="0.3">
      <c r="A5" t="s">
        <v>50</v>
      </c>
    </row>
    <row r="6" spans="1:9" x14ac:dyDescent="0.3">
      <c r="A6" t="s">
        <v>244</v>
      </c>
    </row>
    <row r="7" spans="1:9" x14ac:dyDescent="0.3">
      <c r="A7" t="s">
        <v>245</v>
      </c>
    </row>
    <row r="8" spans="1:9" x14ac:dyDescent="0.3">
      <c r="B8" t="s">
        <v>246</v>
      </c>
      <c r="E8" s="1">
        <v>25328650</v>
      </c>
      <c r="F8" s="1">
        <v>5319017</v>
      </c>
      <c r="G8" s="1">
        <v>5319017</v>
      </c>
      <c r="H8" s="1">
        <v>0</v>
      </c>
      <c r="I8" s="1">
        <v>0</v>
      </c>
    </row>
    <row r="9" spans="1:9" x14ac:dyDescent="0.3">
      <c r="B9" t="s">
        <v>247</v>
      </c>
      <c r="E9" s="1">
        <v>487904688</v>
      </c>
      <c r="F9" s="1">
        <v>90052106</v>
      </c>
      <c r="G9" s="1">
        <v>102459984</v>
      </c>
      <c r="H9" s="1">
        <v>0</v>
      </c>
      <c r="I9" s="1">
        <v>-12407878</v>
      </c>
    </row>
    <row r="10" spans="1:9" x14ac:dyDescent="0.3">
      <c r="B10" t="s">
        <v>248</v>
      </c>
      <c r="E10" s="1">
        <v>0</v>
      </c>
      <c r="F10" s="1">
        <v>-16726169</v>
      </c>
      <c r="G10" s="1">
        <v>0</v>
      </c>
      <c r="H10" s="1">
        <v>0</v>
      </c>
      <c r="I10" s="1">
        <v>0</v>
      </c>
    </row>
    <row r="11" spans="1:9" x14ac:dyDescent="0.3">
      <c r="A11" t="s">
        <v>249</v>
      </c>
      <c r="E11" s="1">
        <v>513233338</v>
      </c>
      <c r="F11" s="1">
        <v>78644954</v>
      </c>
      <c r="G11" s="1">
        <v>107779001</v>
      </c>
      <c r="H11" s="1">
        <v>0</v>
      </c>
      <c r="I11" s="1">
        <v>-12407878</v>
      </c>
    </row>
    <row r="12" spans="1:9" x14ac:dyDescent="0.3">
      <c r="A12" t="s">
        <v>250</v>
      </c>
      <c r="E12" s="1">
        <v>513233338</v>
      </c>
      <c r="F12" s="1">
        <v>78644954</v>
      </c>
      <c r="G12" s="1">
        <v>107779001</v>
      </c>
      <c r="H12" s="1">
        <v>0</v>
      </c>
      <c r="I12" s="1">
        <v>-12407878</v>
      </c>
    </row>
    <row r="13" spans="1:9" x14ac:dyDescent="0.3">
      <c r="B13" t="s">
        <v>251</v>
      </c>
      <c r="E13" s="1">
        <v>4387113</v>
      </c>
      <c r="F13" s="1">
        <v>921294</v>
      </c>
      <c r="G13" s="1">
        <v>921294</v>
      </c>
      <c r="H13" s="1">
        <v>0</v>
      </c>
      <c r="I13" s="1">
        <v>0</v>
      </c>
    </row>
    <row r="14" spans="1:9" x14ac:dyDescent="0.3">
      <c r="B14" t="s">
        <v>252</v>
      </c>
      <c r="E14" s="1">
        <v>3739508</v>
      </c>
      <c r="F14" s="1">
        <v>785297</v>
      </c>
      <c r="G14" s="1">
        <v>785297</v>
      </c>
      <c r="H14" s="1">
        <v>0</v>
      </c>
      <c r="I14" s="1">
        <v>0</v>
      </c>
    </row>
    <row r="15" spans="1:9" x14ac:dyDescent="0.3">
      <c r="B15" t="s">
        <v>253</v>
      </c>
      <c r="E15" s="1">
        <v>9870821</v>
      </c>
      <c r="F15" s="1">
        <v>0</v>
      </c>
      <c r="G15" s="1">
        <v>2072872</v>
      </c>
      <c r="H15" s="1">
        <v>2072872</v>
      </c>
      <c r="I15" s="1">
        <v>0</v>
      </c>
    </row>
    <row r="16" spans="1:9" x14ac:dyDescent="0.3">
      <c r="B16" t="s">
        <v>254</v>
      </c>
      <c r="E16" s="1">
        <v>461411</v>
      </c>
      <c r="F16" s="1">
        <v>96896</v>
      </c>
      <c r="G16" s="1">
        <v>96896</v>
      </c>
      <c r="H16" s="1">
        <v>0</v>
      </c>
      <c r="I16" s="1">
        <v>0</v>
      </c>
    </row>
    <row r="17" spans="1:9" x14ac:dyDescent="0.3">
      <c r="B17" t="s">
        <v>255</v>
      </c>
      <c r="E17" s="1">
        <v>-177759</v>
      </c>
      <c r="F17" s="1">
        <v>-37329</v>
      </c>
      <c r="G17" s="1">
        <v>-37329</v>
      </c>
      <c r="H17" s="1">
        <v>0</v>
      </c>
      <c r="I17" s="1">
        <v>0</v>
      </c>
    </row>
    <row r="18" spans="1:9" x14ac:dyDescent="0.3">
      <c r="B18" t="s">
        <v>256</v>
      </c>
      <c r="E18" s="1">
        <v>-27654</v>
      </c>
      <c r="F18" s="1">
        <v>-5807</v>
      </c>
      <c r="G18" s="1">
        <v>-5807</v>
      </c>
      <c r="H18" s="1">
        <v>0</v>
      </c>
      <c r="I18" s="1">
        <v>0</v>
      </c>
    </row>
    <row r="19" spans="1:9" x14ac:dyDescent="0.3">
      <c r="B19" t="s">
        <v>257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</row>
    <row r="20" spans="1:9" x14ac:dyDescent="0.3">
      <c r="B20" t="s">
        <v>258</v>
      </c>
      <c r="E20" s="1">
        <v>-91336</v>
      </c>
      <c r="F20" s="1">
        <v>-19181</v>
      </c>
      <c r="G20" s="1">
        <v>-19181</v>
      </c>
      <c r="H20" s="1">
        <v>0</v>
      </c>
      <c r="I20" s="1">
        <v>0</v>
      </c>
    </row>
    <row r="21" spans="1:9" x14ac:dyDescent="0.3">
      <c r="B21" t="s">
        <v>259</v>
      </c>
      <c r="E21" s="1">
        <v>-14931</v>
      </c>
      <c r="F21" s="1">
        <v>-3135</v>
      </c>
      <c r="G21" s="1">
        <v>-3135</v>
      </c>
      <c r="H21" s="1">
        <v>0</v>
      </c>
      <c r="I21" s="1">
        <v>0</v>
      </c>
    </row>
    <row r="22" spans="1:9" x14ac:dyDescent="0.3">
      <c r="B22" t="s">
        <v>260</v>
      </c>
      <c r="E22" s="1">
        <v>-2417</v>
      </c>
      <c r="F22" s="1">
        <v>-508</v>
      </c>
      <c r="G22" s="1">
        <v>-508</v>
      </c>
      <c r="H22" s="1">
        <v>0</v>
      </c>
      <c r="I22" s="1">
        <v>0</v>
      </c>
    </row>
    <row r="23" spans="1:9" x14ac:dyDescent="0.3">
      <c r="B23" t="s">
        <v>261</v>
      </c>
      <c r="E23" s="1">
        <v>-33326</v>
      </c>
      <c r="F23" s="1">
        <v>-6998</v>
      </c>
      <c r="G23" s="1">
        <v>-6998</v>
      </c>
      <c r="H23" s="1">
        <v>0</v>
      </c>
      <c r="I23" s="1">
        <v>0</v>
      </c>
    </row>
    <row r="24" spans="1:9" x14ac:dyDescent="0.3">
      <c r="B24" t="s">
        <v>262</v>
      </c>
      <c r="E24" s="1">
        <v>3744</v>
      </c>
      <c r="F24" s="1">
        <v>786</v>
      </c>
      <c r="G24" s="1">
        <v>786</v>
      </c>
      <c r="H24" s="1">
        <v>0</v>
      </c>
      <c r="I24" s="1">
        <v>0</v>
      </c>
    </row>
    <row r="25" spans="1:9" x14ac:dyDescent="0.3">
      <c r="B25" t="s">
        <v>263</v>
      </c>
      <c r="E25" s="1">
        <v>-88618685</v>
      </c>
      <c r="F25" s="1">
        <v>-18609866</v>
      </c>
      <c r="G25" s="1">
        <v>-18609924</v>
      </c>
      <c r="H25" s="1">
        <v>0</v>
      </c>
      <c r="I25" s="1">
        <v>57</v>
      </c>
    </row>
    <row r="26" spans="1:9" x14ac:dyDescent="0.3">
      <c r="B26" t="s">
        <v>264</v>
      </c>
      <c r="E26" s="1">
        <v>-3188372</v>
      </c>
      <c r="F26" s="1">
        <v>-669558</v>
      </c>
      <c r="G26" s="1">
        <v>-669558</v>
      </c>
      <c r="H26" s="1">
        <v>0</v>
      </c>
      <c r="I26" s="1">
        <v>0</v>
      </c>
    </row>
    <row r="27" spans="1:9" x14ac:dyDescent="0.3">
      <c r="B27" t="s">
        <v>265</v>
      </c>
      <c r="E27" s="1">
        <v>1157199</v>
      </c>
      <c r="F27" s="1">
        <v>243012</v>
      </c>
      <c r="G27" s="1">
        <v>243012</v>
      </c>
      <c r="H27" s="1">
        <v>0</v>
      </c>
      <c r="I27" s="1">
        <v>0</v>
      </c>
    </row>
    <row r="28" spans="1:9" x14ac:dyDescent="0.3">
      <c r="B28" t="s">
        <v>266</v>
      </c>
      <c r="E28" s="1">
        <v>-541450</v>
      </c>
      <c r="F28" s="1">
        <v>-113704</v>
      </c>
      <c r="G28" s="1">
        <v>-113704</v>
      </c>
      <c r="H28" s="1">
        <v>0</v>
      </c>
      <c r="I28" s="1">
        <v>0</v>
      </c>
    </row>
    <row r="29" spans="1:9" x14ac:dyDescent="0.3">
      <c r="B29" t="s">
        <v>267</v>
      </c>
      <c r="E29" s="1">
        <v>210635</v>
      </c>
      <c r="F29" s="1">
        <v>44233</v>
      </c>
      <c r="G29" s="1">
        <v>44233</v>
      </c>
      <c r="H29" s="1">
        <v>0</v>
      </c>
      <c r="I29" s="1">
        <v>0</v>
      </c>
    </row>
    <row r="30" spans="1:9" x14ac:dyDescent="0.3">
      <c r="B30" t="s">
        <v>268</v>
      </c>
      <c r="E30" s="1">
        <v>988041</v>
      </c>
      <c r="F30" s="1">
        <v>207489</v>
      </c>
      <c r="G30" s="1">
        <v>207489</v>
      </c>
      <c r="H30" s="1">
        <v>0</v>
      </c>
      <c r="I30" s="1">
        <v>0</v>
      </c>
    </row>
    <row r="31" spans="1:9" x14ac:dyDescent="0.3">
      <c r="A31" t="s">
        <v>249</v>
      </c>
      <c r="E31" s="1">
        <v>-71877457</v>
      </c>
      <c r="F31" s="1">
        <v>-17167081</v>
      </c>
      <c r="G31" s="1">
        <v>-15094266</v>
      </c>
      <c r="H31" s="1">
        <v>2072872</v>
      </c>
      <c r="I31" s="1">
        <v>57</v>
      </c>
    </row>
    <row r="32" spans="1:9" x14ac:dyDescent="0.3">
      <c r="A32" t="s">
        <v>269</v>
      </c>
      <c r="E32" s="1">
        <v>-71877457</v>
      </c>
      <c r="F32" s="1">
        <v>-17167081</v>
      </c>
      <c r="G32" s="1">
        <v>-15094266</v>
      </c>
      <c r="H32" s="1">
        <v>2072872</v>
      </c>
      <c r="I32" s="1">
        <v>57</v>
      </c>
    </row>
    <row r="33" spans="2:9" x14ac:dyDescent="0.3">
      <c r="B33" t="s">
        <v>270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</row>
    <row r="34" spans="2:9" x14ac:dyDescent="0.3">
      <c r="B34" t="s">
        <v>271</v>
      </c>
      <c r="E34" s="1">
        <v>-42437</v>
      </c>
      <c r="F34" s="1">
        <v>-8912</v>
      </c>
      <c r="G34" s="1">
        <v>-8912</v>
      </c>
      <c r="H34" s="1">
        <v>0</v>
      </c>
      <c r="I34" s="1">
        <v>0</v>
      </c>
    </row>
    <row r="35" spans="2:9" x14ac:dyDescent="0.3">
      <c r="B35" t="s">
        <v>272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</row>
    <row r="36" spans="2:9" x14ac:dyDescent="0.3">
      <c r="B36" t="s">
        <v>273</v>
      </c>
      <c r="E36" s="1">
        <v>280712</v>
      </c>
      <c r="F36" s="1">
        <v>58950</v>
      </c>
      <c r="G36" s="1">
        <v>58950</v>
      </c>
      <c r="H36" s="1">
        <v>0</v>
      </c>
      <c r="I36" s="1">
        <v>0</v>
      </c>
    </row>
    <row r="37" spans="2:9" x14ac:dyDescent="0.3">
      <c r="B37" t="s">
        <v>274</v>
      </c>
      <c r="E37" s="1">
        <v>-5069573</v>
      </c>
      <c r="F37" s="1">
        <v>-1075930</v>
      </c>
      <c r="G37" s="1">
        <v>-1064610</v>
      </c>
      <c r="H37" s="1">
        <v>0</v>
      </c>
      <c r="I37" s="1">
        <v>-11319</v>
      </c>
    </row>
    <row r="38" spans="2:9" x14ac:dyDescent="0.3">
      <c r="B38" t="s">
        <v>275</v>
      </c>
      <c r="E38" s="1">
        <v>-8309600</v>
      </c>
      <c r="F38" s="1">
        <v>-890783</v>
      </c>
      <c r="G38" s="1">
        <v>-1745016</v>
      </c>
      <c r="H38" s="1">
        <v>0</v>
      </c>
      <c r="I38" s="1">
        <v>854233</v>
      </c>
    </row>
    <row r="39" spans="2:9" x14ac:dyDescent="0.3">
      <c r="B39" t="s">
        <v>276</v>
      </c>
      <c r="E39" s="1">
        <v>-4308984</v>
      </c>
      <c r="F39" s="1">
        <v>-904887</v>
      </c>
      <c r="G39" s="1">
        <v>-904887</v>
      </c>
      <c r="H39" s="1">
        <v>0</v>
      </c>
      <c r="I39" s="1">
        <v>0</v>
      </c>
    </row>
    <row r="40" spans="2:9" x14ac:dyDescent="0.3">
      <c r="B40" t="s">
        <v>277</v>
      </c>
      <c r="E40" s="1">
        <v>471854</v>
      </c>
      <c r="F40" s="1">
        <v>99089</v>
      </c>
      <c r="G40" s="1">
        <v>99089</v>
      </c>
      <c r="H40" s="1">
        <v>0</v>
      </c>
      <c r="I40" s="1">
        <v>0</v>
      </c>
    </row>
    <row r="41" spans="2:9" x14ac:dyDescent="0.3">
      <c r="B41" t="s">
        <v>278</v>
      </c>
      <c r="E41" s="1">
        <v>-3608627</v>
      </c>
      <c r="F41" s="1">
        <v>0</v>
      </c>
      <c r="G41" s="1">
        <v>-757812</v>
      </c>
      <c r="H41" s="1">
        <v>-757812</v>
      </c>
      <c r="I41" s="1">
        <v>0</v>
      </c>
    </row>
    <row r="42" spans="2:9" x14ac:dyDescent="0.3">
      <c r="B42" t="s">
        <v>279</v>
      </c>
      <c r="E42" s="1">
        <v>-1942928</v>
      </c>
      <c r="F42" s="1">
        <v>-408015</v>
      </c>
      <c r="G42" s="1">
        <v>-408015</v>
      </c>
      <c r="H42" s="1">
        <v>0</v>
      </c>
      <c r="I42" s="1">
        <v>0</v>
      </c>
    </row>
    <row r="43" spans="2:9" x14ac:dyDescent="0.3">
      <c r="B43" t="s">
        <v>280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</row>
    <row r="44" spans="2:9" x14ac:dyDescent="0.3">
      <c r="B44" t="s">
        <v>281</v>
      </c>
      <c r="E44" s="1">
        <v>5799636</v>
      </c>
      <c r="F44" s="1">
        <v>1217923</v>
      </c>
      <c r="G44" s="1">
        <v>1217923</v>
      </c>
      <c r="H44" s="1">
        <v>0</v>
      </c>
      <c r="I44" s="1">
        <v>0</v>
      </c>
    </row>
    <row r="45" spans="2:9" x14ac:dyDescent="0.3">
      <c r="B45" t="s">
        <v>282</v>
      </c>
      <c r="E45" s="1">
        <v>-52835</v>
      </c>
      <c r="F45" s="1">
        <v>0</v>
      </c>
      <c r="G45" s="1">
        <v>-11095</v>
      </c>
      <c r="H45" s="1">
        <v>-11095</v>
      </c>
      <c r="I45" s="1">
        <v>0</v>
      </c>
    </row>
    <row r="46" spans="2:9" x14ac:dyDescent="0.3">
      <c r="B46" t="s">
        <v>283</v>
      </c>
      <c r="E46" s="1">
        <v>87463</v>
      </c>
      <c r="F46" s="1">
        <v>18367</v>
      </c>
      <c r="G46" s="1">
        <v>18367</v>
      </c>
      <c r="H46" s="1">
        <v>0</v>
      </c>
      <c r="I46" s="1">
        <v>0</v>
      </c>
    </row>
    <row r="47" spans="2:9" x14ac:dyDescent="0.3">
      <c r="B47" t="s">
        <v>284</v>
      </c>
      <c r="E47" s="1">
        <v>192</v>
      </c>
      <c r="F47" s="1">
        <v>40</v>
      </c>
      <c r="G47" s="1">
        <v>40</v>
      </c>
      <c r="H47" s="1">
        <v>0</v>
      </c>
      <c r="I47" s="1">
        <v>0</v>
      </c>
    </row>
    <row r="48" spans="2:9" x14ac:dyDescent="0.3">
      <c r="B48" t="s">
        <v>285</v>
      </c>
      <c r="E48" s="1">
        <v>-1285410</v>
      </c>
      <c r="F48" s="1">
        <v>-258459</v>
      </c>
      <c r="G48" s="1">
        <v>-269936</v>
      </c>
      <c r="H48" s="1">
        <v>0</v>
      </c>
      <c r="I48" s="1">
        <v>11477</v>
      </c>
    </row>
    <row r="49" spans="1:9" x14ac:dyDescent="0.3">
      <c r="B49" t="s">
        <v>286</v>
      </c>
      <c r="E49" s="1">
        <v>-14940</v>
      </c>
      <c r="F49" s="1">
        <v>-3137</v>
      </c>
      <c r="G49" s="1">
        <v>-3137</v>
      </c>
      <c r="H49" s="1">
        <v>0</v>
      </c>
      <c r="I49" s="1">
        <v>0</v>
      </c>
    </row>
    <row r="50" spans="1:9" x14ac:dyDescent="0.3">
      <c r="B50" t="s">
        <v>287</v>
      </c>
      <c r="E50" s="1">
        <v>2927</v>
      </c>
      <c r="F50" s="1">
        <v>615</v>
      </c>
      <c r="G50" s="1">
        <v>615</v>
      </c>
      <c r="H50" s="1">
        <v>0</v>
      </c>
      <c r="I50" s="1">
        <v>0</v>
      </c>
    </row>
    <row r="51" spans="1:9" x14ac:dyDescent="0.3">
      <c r="B51" t="s">
        <v>288</v>
      </c>
      <c r="E51" s="1">
        <v>555866</v>
      </c>
      <c r="F51" s="1">
        <v>116732</v>
      </c>
      <c r="G51" s="1">
        <v>116732</v>
      </c>
      <c r="H51" s="1">
        <v>0</v>
      </c>
      <c r="I51" s="1">
        <v>0</v>
      </c>
    </row>
    <row r="52" spans="1:9" x14ac:dyDescent="0.3">
      <c r="A52" t="s">
        <v>249</v>
      </c>
      <c r="E52" s="1">
        <v>-17436684</v>
      </c>
      <c r="F52" s="1">
        <v>-2038406</v>
      </c>
      <c r="G52" s="1">
        <v>-3661704</v>
      </c>
      <c r="H52" s="1">
        <v>-768907</v>
      </c>
      <c r="I52" s="1">
        <v>854390</v>
      </c>
    </row>
    <row r="53" spans="1:9" x14ac:dyDescent="0.3">
      <c r="A53" t="s">
        <v>289</v>
      </c>
      <c r="E53" s="1">
        <v>-17436684</v>
      </c>
      <c r="F53" s="1">
        <v>-2038406</v>
      </c>
      <c r="G53" s="1">
        <v>-3661704</v>
      </c>
      <c r="H53" s="1">
        <v>-768907</v>
      </c>
      <c r="I53" s="1">
        <v>854390</v>
      </c>
    </row>
    <row r="54" spans="1:9" x14ac:dyDescent="0.3">
      <c r="A54" t="s">
        <v>290</v>
      </c>
      <c r="E54" s="1">
        <v>423919198</v>
      </c>
      <c r="F54" s="1">
        <v>59439466</v>
      </c>
      <c r="G54" s="1">
        <v>89023031</v>
      </c>
      <c r="H54" s="1">
        <v>1303966</v>
      </c>
      <c r="I54" s="1">
        <v>-11553431</v>
      </c>
    </row>
    <row r="55" spans="1:9" x14ac:dyDescent="0.3">
      <c r="A55" t="s">
        <v>291</v>
      </c>
      <c r="E55" s="1">
        <v>423919198</v>
      </c>
      <c r="F55" s="1">
        <v>59439466</v>
      </c>
      <c r="G55" s="1">
        <v>89023031</v>
      </c>
      <c r="H55" s="1">
        <v>1303966</v>
      </c>
      <c r="I55" s="1">
        <v>-11553431</v>
      </c>
    </row>
    <row r="56" spans="1:9" x14ac:dyDescent="0.3">
      <c r="A56" t="s">
        <v>292</v>
      </c>
      <c r="B56" t="s">
        <v>293</v>
      </c>
    </row>
    <row r="57" spans="1:9" x14ac:dyDescent="0.3">
      <c r="A57" t="s">
        <v>294</v>
      </c>
      <c r="E57" s="1">
        <v>423919198</v>
      </c>
      <c r="F57" s="1">
        <v>59439466</v>
      </c>
      <c r="G57" s="1">
        <v>89023031</v>
      </c>
      <c r="H57" s="1">
        <v>1303966</v>
      </c>
      <c r="I57" s="3">
        <v>-11553431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D8B27-D533-4BA2-A1BF-3976364CF825}">
  <sheetPr>
    <tabColor rgb="FFCCFFCC"/>
  </sheetPr>
  <dimension ref="A1:K60"/>
  <sheetViews>
    <sheetView zoomScale="90" zoomScaleNormal="90" workbookViewId="0">
      <pane ySplit="6" topLeftCell="A43" activePane="bottomLeft" state="frozen"/>
      <selection activeCell="D42" sqref="D42"/>
      <selection pane="bottomLeft" activeCell="K77" sqref="K77"/>
    </sheetView>
  </sheetViews>
  <sheetFormatPr defaultColWidth="8.5546875" defaultRowHeight="14.4" x14ac:dyDescent="0.3"/>
  <cols>
    <col min="1" max="1" width="43" bestFit="1" customWidth="1"/>
    <col min="2" max="2" width="15.6640625" customWidth="1"/>
    <col min="3" max="3" width="7" bestFit="1" customWidth="1"/>
    <col min="5" max="5" width="16.44140625" style="1" bestFit="1" customWidth="1"/>
    <col min="6" max="7" width="14.5546875" style="1" bestFit="1" customWidth="1"/>
    <col min="8" max="8" width="13" style="1" bestFit="1" customWidth="1"/>
    <col min="9" max="9" width="14.5546875" style="1" bestFit="1" customWidth="1"/>
    <col min="16" max="16" width="8.5546875" customWidth="1"/>
  </cols>
  <sheetData>
    <row r="1" spans="1:9" x14ac:dyDescent="0.3">
      <c r="A1" t="s">
        <v>235</v>
      </c>
      <c r="C1" t="s">
        <v>236</v>
      </c>
    </row>
    <row r="2" spans="1:9" x14ac:dyDescent="0.3">
      <c r="E2" s="1" t="s">
        <v>237</v>
      </c>
      <c r="F2" s="1" t="s">
        <v>238</v>
      </c>
      <c r="G2" s="1" t="s">
        <v>239</v>
      </c>
      <c r="H2" s="1" t="s">
        <v>240</v>
      </c>
      <c r="I2" s="1" t="s">
        <v>241</v>
      </c>
    </row>
    <row r="3" spans="1:9" x14ac:dyDescent="0.3">
      <c r="A3" t="s">
        <v>242</v>
      </c>
      <c r="C3">
        <v>2024</v>
      </c>
    </row>
    <row r="4" spans="1:9" x14ac:dyDescent="0.3">
      <c r="A4" t="s">
        <v>295</v>
      </c>
    </row>
    <row r="5" spans="1:9" x14ac:dyDescent="0.3">
      <c r="A5" t="s">
        <v>50</v>
      </c>
    </row>
    <row r="6" spans="1:9" x14ac:dyDescent="0.3">
      <c r="A6" t="s">
        <v>244</v>
      </c>
    </row>
    <row r="7" spans="1:9" x14ac:dyDescent="0.3">
      <c r="A7" t="s">
        <v>245</v>
      </c>
    </row>
    <row r="8" spans="1:9" x14ac:dyDescent="0.3">
      <c r="B8" t="s">
        <v>246</v>
      </c>
      <c r="E8" s="1">
        <v>12617809</v>
      </c>
      <c r="F8" s="1">
        <v>2649740</v>
      </c>
      <c r="G8" s="1">
        <v>2649740</v>
      </c>
      <c r="H8" s="1">
        <v>0</v>
      </c>
      <c r="I8" s="1">
        <v>0</v>
      </c>
    </row>
    <row r="9" spans="1:9" x14ac:dyDescent="0.3">
      <c r="B9" t="s">
        <v>247</v>
      </c>
      <c r="E9" s="1">
        <v>350784094</v>
      </c>
      <c r="F9" s="1">
        <v>59485513</v>
      </c>
      <c r="G9" s="1">
        <v>73664660</v>
      </c>
      <c r="H9" s="1">
        <v>0</v>
      </c>
      <c r="I9" s="1">
        <v>-14179147</v>
      </c>
    </row>
    <row r="10" spans="1:9" x14ac:dyDescent="0.3">
      <c r="B10" t="s">
        <v>248</v>
      </c>
      <c r="E10" s="1">
        <v>0</v>
      </c>
      <c r="F10" s="1">
        <v>-16726169</v>
      </c>
      <c r="G10" s="1">
        <v>0</v>
      </c>
      <c r="H10" s="1">
        <v>0</v>
      </c>
      <c r="I10" s="1">
        <v>0</v>
      </c>
    </row>
    <row r="11" spans="1:9" x14ac:dyDescent="0.3">
      <c r="A11" t="s">
        <v>249</v>
      </c>
      <c r="E11" s="1">
        <v>363401903</v>
      </c>
      <c r="F11" s="1">
        <v>45409084</v>
      </c>
      <c r="G11" s="1">
        <v>76314400</v>
      </c>
      <c r="H11" s="1">
        <v>0</v>
      </c>
      <c r="I11" s="1">
        <v>-14179147</v>
      </c>
    </row>
    <row r="12" spans="1:9" x14ac:dyDescent="0.3">
      <c r="A12" t="s">
        <v>250</v>
      </c>
      <c r="E12" s="1">
        <v>363401903</v>
      </c>
      <c r="F12" s="1">
        <v>45409084</v>
      </c>
      <c r="G12" s="1">
        <v>76314400</v>
      </c>
      <c r="H12" s="1">
        <v>0</v>
      </c>
      <c r="I12" s="1">
        <v>-14179147</v>
      </c>
    </row>
    <row r="13" spans="1:9" x14ac:dyDescent="0.3">
      <c r="B13" t="s">
        <v>251</v>
      </c>
      <c r="E13" s="1">
        <v>15139546</v>
      </c>
      <c r="F13" s="1">
        <v>3179305</v>
      </c>
      <c r="G13" s="1">
        <v>3179305</v>
      </c>
      <c r="H13" s="1">
        <v>0</v>
      </c>
      <c r="I13" s="1">
        <v>0</v>
      </c>
    </row>
    <row r="14" spans="1:9" x14ac:dyDescent="0.3">
      <c r="B14" t="s">
        <v>252</v>
      </c>
      <c r="E14" s="1">
        <v>6141151</v>
      </c>
      <c r="F14" s="1">
        <v>1289642</v>
      </c>
      <c r="G14" s="1">
        <v>1289642</v>
      </c>
      <c r="H14" s="1">
        <v>0</v>
      </c>
      <c r="I14" s="1">
        <v>0</v>
      </c>
    </row>
    <row r="15" spans="1:9" x14ac:dyDescent="0.3">
      <c r="B15" t="s">
        <v>253</v>
      </c>
      <c r="E15" s="1">
        <v>21264620</v>
      </c>
      <c r="F15" s="1">
        <v>0</v>
      </c>
      <c r="G15" s="1">
        <v>4465570</v>
      </c>
      <c r="H15" s="1">
        <v>4465570</v>
      </c>
      <c r="I15" s="1">
        <v>0</v>
      </c>
    </row>
    <row r="16" spans="1:9" x14ac:dyDescent="0.3">
      <c r="B16" t="s">
        <v>254</v>
      </c>
      <c r="E16" s="1">
        <v>1083838</v>
      </c>
      <c r="F16" s="1">
        <v>227606</v>
      </c>
      <c r="G16" s="1">
        <v>227606</v>
      </c>
      <c r="H16" s="1">
        <v>0</v>
      </c>
      <c r="I16" s="1">
        <v>0</v>
      </c>
    </row>
    <row r="17" spans="1:9" x14ac:dyDescent="0.3">
      <c r="B17" t="s">
        <v>255</v>
      </c>
      <c r="E17" s="1">
        <v>-198999</v>
      </c>
      <c r="F17" s="1">
        <v>-41790</v>
      </c>
      <c r="G17" s="1">
        <v>-41790</v>
      </c>
      <c r="H17" s="1">
        <v>0</v>
      </c>
      <c r="I17" s="1">
        <v>0</v>
      </c>
    </row>
    <row r="18" spans="1:9" x14ac:dyDescent="0.3">
      <c r="B18" t="s">
        <v>256</v>
      </c>
      <c r="E18" s="1">
        <v>-5369623</v>
      </c>
      <c r="F18" s="1">
        <v>-1127621</v>
      </c>
      <c r="G18" s="1">
        <v>-1127621</v>
      </c>
      <c r="H18" s="1">
        <v>0</v>
      </c>
      <c r="I18" s="1">
        <v>0</v>
      </c>
    </row>
    <row r="19" spans="1:9" x14ac:dyDescent="0.3">
      <c r="B19" t="s">
        <v>257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</row>
    <row r="20" spans="1:9" x14ac:dyDescent="0.3">
      <c r="B20" t="s">
        <v>258</v>
      </c>
      <c r="E20" s="1">
        <v>-55502</v>
      </c>
      <c r="F20" s="1">
        <v>-11655</v>
      </c>
      <c r="G20" s="1">
        <v>-11656</v>
      </c>
      <c r="H20" s="1">
        <v>0</v>
      </c>
      <c r="I20" s="1">
        <v>0</v>
      </c>
    </row>
    <row r="21" spans="1:9" x14ac:dyDescent="0.3">
      <c r="B21" t="s">
        <v>259</v>
      </c>
      <c r="E21" s="1">
        <v>-413</v>
      </c>
      <c r="F21" s="1">
        <v>-87</v>
      </c>
      <c r="G21" s="1">
        <v>-87</v>
      </c>
      <c r="H21" s="1">
        <v>0</v>
      </c>
      <c r="I21" s="1">
        <v>0</v>
      </c>
    </row>
    <row r="22" spans="1:9" x14ac:dyDescent="0.3">
      <c r="B22" t="s">
        <v>260</v>
      </c>
      <c r="E22" s="1">
        <v>-1739</v>
      </c>
      <c r="F22" s="1">
        <v>-365</v>
      </c>
      <c r="G22" s="1">
        <v>-365</v>
      </c>
      <c r="H22" s="1">
        <v>0</v>
      </c>
      <c r="I22" s="1">
        <v>0</v>
      </c>
    </row>
    <row r="23" spans="1:9" x14ac:dyDescent="0.3">
      <c r="B23" t="s">
        <v>261</v>
      </c>
      <c r="E23" s="1">
        <v>-29160</v>
      </c>
      <c r="F23" s="1">
        <v>-6124</v>
      </c>
      <c r="G23" s="1">
        <v>-6124</v>
      </c>
      <c r="H23" s="1">
        <v>0</v>
      </c>
      <c r="I23" s="1">
        <v>0</v>
      </c>
    </row>
    <row r="24" spans="1:9" x14ac:dyDescent="0.3">
      <c r="B24" t="s">
        <v>262</v>
      </c>
      <c r="E24" s="1">
        <v>4769</v>
      </c>
      <c r="F24" s="1">
        <v>1001</v>
      </c>
      <c r="G24" s="1">
        <v>1001</v>
      </c>
      <c r="H24" s="1">
        <v>0</v>
      </c>
      <c r="I24" s="1">
        <v>0</v>
      </c>
    </row>
    <row r="25" spans="1:9" x14ac:dyDescent="0.3">
      <c r="B25" t="s">
        <v>263</v>
      </c>
      <c r="E25" s="1">
        <v>-41227432</v>
      </c>
      <c r="F25" s="1">
        <v>-8639836</v>
      </c>
      <c r="G25" s="1">
        <v>-8657761</v>
      </c>
      <c r="H25" s="1">
        <v>0</v>
      </c>
      <c r="I25" s="1">
        <v>17925</v>
      </c>
    </row>
    <row r="26" spans="1:9" x14ac:dyDescent="0.3">
      <c r="B26" t="s">
        <v>264</v>
      </c>
      <c r="E26" s="1">
        <v>-1869057</v>
      </c>
      <c r="F26" s="1">
        <v>-392502</v>
      </c>
      <c r="G26" s="1">
        <v>-392502</v>
      </c>
      <c r="H26" s="1">
        <v>0</v>
      </c>
      <c r="I26" s="1">
        <v>0</v>
      </c>
    </row>
    <row r="27" spans="1:9" x14ac:dyDescent="0.3">
      <c r="B27" t="s">
        <v>265</v>
      </c>
      <c r="E27" s="1">
        <v>220257</v>
      </c>
      <c r="F27" s="1">
        <v>46254</v>
      </c>
      <c r="G27" s="1">
        <v>46254</v>
      </c>
      <c r="H27" s="1">
        <v>0</v>
      </c>
      <c r="I27" s="1">
        <v>0</v>
      </c>
    </row>
    <row r="28" spans="1:9" x14ac:dyDescent="0.3">
      <c r="B28" t="s">
        <v>266</v>
      </c>
      <c r="E28" s="1">
        <v>-567447</v>
      </c>
      <c r="F28" s="1">
        <v>-119164</v>
      </c>
      <c r="G28" s="1">
        <v>-119164</v>
      </c>
      <c r="H28" s="1">
        <v>0</v>
      </c>
      <c r="I28" s="1">
        <v>0</v>
      </c>
    </row>
    <row r="29" spans="1:9" x14ac:dyDescent="0.3">
      <c r="B29" t="s">
        <v>267</v>
      </c>
      <c r="E29" s="1">
        <v>213507</v>
      </c>
      <c r="F29" s="1">
        <v>44837</v>
      </c>
      <c r="G29" s="1">
        <v>44837</v>
      </c>
      <c r="H29" s="1">
        <v>0</v>
      </c>
      <c r="I29" s="1">
        <v>0</v>
      </c>
    </row>
    <row r="30" spans="1:9" x14ac:dyDescent="0.3">
      <c r="B30" t="s">
        <v>268</v>
      </c>
      <c r="E30" s="1">
        <v>46057334</v>
      </c>
      <c r="F30" s="1">
        <v>9672040</v>
      </c>
      <c r="G30" s="1">
        <v>9672040</v>
      </c>
      <c r="H30" s="1">
        <v>0</v>
      </c>
      <c r="I30" s="1">
        <v>0</v>
      </c>
    </row>
    <row r="31" spans="1:9" x14ac:dyDescent="0.3">
      <c r="A31" t="s">
        <v>249</v>
      </c>
      <c r="E31" s="1">
        <v>40805651</v>
      </c>
      <c r="F31" s="1">
        <v>4121542</v>
      </c>
      <c r="G31" s="1">
        <v>8569187</v>
      </c>
      <c r="H31" s="1">
        <v>4465570</v>
      </c>
      <c r="I31" s="1">
        <v>17925</v>
      </c>
    </row>
    <row r="32" spans="1:9" x14ac:dyDescent="0.3">
      <c r="A32" t="s">
        <v>269</v>
      </c>
      <c r="E32" s="1">
        <v>40805651</v>
      </c>
      <c r="F32" s="1">
        <v>4121542</v>
      </c>
      <c r="G32" s="1">
        <v>8569187</v>
      </c>
      <c r="H32" s="1">
        <v>4465570</v>
      </c>
      <c r="I32" s="1">
        <v>17925</v>
      </c>
    </row>
    <row r="33" spans="2:9" x14ac:dyDescent="0.3">
      <c r="B33" t="s">
        <v>270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</row>
    <row r="34" spans="2:9" x14ac:dyDescent="0.3">
      <c r="B34" t="s">
        <v>271</v>
      </c>
      <c r="E34" s="1">
        <v>-45744</v>
      </c>
      <c r="F34" s="1">
        <v>-9606</v>
      </c>
      <c r="G34" s="1">
        <v>-9606</v>
      </c>
      <c r="H34" s="1">
        <v>0</v>
      </c>
      <c r="I34" s="1">
        <v>0</v>
      </c>
    </row>
    <row r="35" spans="2:9" x14ac:dyDescent="0.3">
      <c r="B35" t="s">
        <v>272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</row>
    <row r="36" spans="2:9" x14ac:dyDescent="0.3">
      <c r="B36" t="s">
        <v>273</v>
      </c>
      <c r="E36" s="1">
        <v>254397</v>
      </c>
      <c r="F36" s="1">
        <v>53423</v>
      </c>
      <c r="G36" s="1">
        <v>53423</v>
      </c>
      <c r="H36" s="1">
        <v>0</v>
      </c>
      <c r="I36" s="1">
        <v>0</v>
      </c>
    </row>
    <row r="37" spans="2:9" x14ac:dyDescent="0.3">
      <c r="B37" t="s">
        <v>274</v>
      </c>
      <c r="E37" s="1">
        <v>-13693167</v>
      </c>
      <c r="F37" s="1">
        <v>-2883542</v>
      </c>
      <c r="G37" s="1">
        <v>-2875565</v>
      </c>
      <c r="H37" s="1">
        <v>0</v>
      </c>
      <c r="I37" s="1">
        <v>-7977</v>
      </c>
    </row>
    <row r="38" spans="2:9" x14ac:dyDescent="0.3">
      <c r="B38" t="s">
        <v>275</v>
      </c>
      <c r="E38" s="1">
        <v>-7428328</v>
      </c>
      <c r="F38" s="1">
        <v>-755772</v>
      </c>
      <c r="G38" s="1">
        <v>-1559949</v>
      </c>
      <c r="H38" s="1">
        <v>0</v>
      </c>
      <c r="I38" s="1">
        <v>804177</v>
      </c>
    </row>
    <row r="39" spans="2:9" x14ac:dyDescent="0.3">
      <c r="B39" t="s">
        <v>276</v>
      </c>
      <c r="E39" s="1">
        <v>-5656943</v>
      </c>
      <c r="F39" s="1">
        <v>-1187958</v>
      </c>
      <c r="G39" s="1">
        <v>-1187958</v>
      </c>
      <c r="H39" s="1">
        <v>0</v>
      </c>
      <c r="I39" s="1">
        <v>0</v>
      </c>
    </row>
    <row r="40" spans="2:9" x14ac:dyDescent="0.3">
      <c r="B40" t="s">
        <v>277</v>
      </c>
      <c r="E40" s="1">
        <v>420899</v>
      </c>
      <c r="F40" s="1">
        <v>88389</v>
      </c>
      <c r="G40" s="1">
        <v>88389</v>
      </c>
      <c r="H40" s="1">
        <v>0</v>
      </c>
      <c r="I40" s="1">
        <v>0</v>
      </c>
    </row>
    <row r="41" spans="2:9" x14ac:dyDescent="0.3">
      <c r="B41" t="s">
        <v>278</v>
      </c>
      <c r="E41" s="1">
        <v>-1549661</v>
      </c>
      <c r="F41" s="1">
        <v>0</v>
      </c>
      <c r="G41" s="1">
        <v>-325429</v>
      </c>
      <c r="H41" s="1">
        <v>-325429</v>
      </c>
      <c r="I41" s="1">
        <v>0</v>
      </c>
    </row>
    <row r="42" spans="2:9" x14ac:dyDescent="0.3">
      <c r="B42" t="s">
        <v>279</v>
      </c>
      <c r="E42" s="1">
        <v>-2123860</v>
      </c>
      <c r="F42" s="1">
        <v>-446011</v>
      </c>
      <c r="G42" s="1">
        <v>-446011</v>
      </c>
      <c r="H42" s="1">
        <v>0</v>
      </c>
      <c r="I42" s="1">
        <v>0</v>
      </c>
    </row>
    <row r="43" spans="2:9" x14ac:dyDescent="0.3">
      <c r="B43" t="s">
        <v>280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</row>
    <row r="44" spans="2:9" x14ac:dyDescent="0.3">
      <c r="B44" t="s">
        <v>281</v>
      </c>
      <c r="E44" s="1">
        <v>3941941</v>
      </c>
      <c r="F44" s="1">
        <v>827808</v>
      </c>
      <c r="G44" s="1">
        <v>827808</v>
      </c>
      <c r="H44" s="1">
        <v>0</v>
      </c>
      <c r="I44" s="1">
        <v>0</v>
      </c>
    </row>
    <row r="45" spans="2:9" x14ac:dyDescent="0.3">
      <c r="B45" t="s">
        <v>282</v>
      </c>
      <c r="E45" s="1">
        <v>-45289</v>
      </c>
      <c r="F45" s="1">
        <v>0</v>
      </c>
      <c r="G45" s="1">
        <v>-9511</v>
      </c>
      <c r="H45" s="1">
        <v>-9511</v>
      </c>
      <c r="I45" s="1">
        <v>0</v>
      </c>
    </row>
    <row r="46" spans="2:9" x14ac:dyDescent="0.3">
      <c r="B46" t="s">
        <v>283</v>
      </c>
      <c r="E46" s="1">
        <v>28962</v>
      </c>
      <c r="F46" s="1">
        <v>6082</v>
      </c>
      <c r="G46" s="1">
        <v>6082</v>
      </c>
      <c r="H46" s="1">
        <v>0</v>
      </c>
      <c r="I46" s="1">
        <v>0</v>
      </c>
    </row>
    <row r="47" spans="2:9" x14ac:dyDescent="0.3">
      <c r="B47" t="s">
        <v>284</v>
      </c>
      <c r="E47" s="1">
        <v>98</v>
      </c>
      <c r="F47" s="1">
        <v>21</v>
      </c>
      <c r="G47" s="1">
        <v>21</v>
      </c>
      <c r="H47" s="1">
        <v>0</v>
      </c>
      <c r="I47" s="1">
        <v>0</v>
      </c>
    </row>
    <row r="48" spans="2:9" x14ac:dyDescent="0.3">
      <c r="B48" t="s">
        <v>285</v>
      </c>
      <c r="E48" s="1">
        <v>-1011921</v>
      </c>
      <c r="F48" s="1">
        <v>-204416</v>
      </c>
      <c r="G48" s="1">
        <v>-212504</v>
      </c>
      <c r="H48" s="1">
        <v>0</v>
      </c>
      <c r="I48" s="1">
        <v>8088</v>
      </c>
    </row>
    <row r="49" spans="1:11" x14ac:dyDescent="0.3">
      <c r="B49" t="s">
        <v>286</v>
      </c>
      <c r="E49" s="1">
        <v>-14429</v>
      </c>
      <c r="F49" s="1">
        <v>-3030</v>
      </c>
      <c r="G49" s="1">
        <v>-3030</v>
      </c>
      <c r="H49" s="1">
        <v>0</v>
      </c>
      <c r="I49" s="1">
        <v>0</v>
      </c>
    </row>
    <row r="50" spans="1:11" x14ac:dyDescent="0.3">
      <c r="B50" t="s">
        <v>287</v>
      </c>
      <c r="E50" s="1">
        <v>2038</v>
      </c>
      <c r="F50" s="1">
        <v>428</v>
      </c>
      <c r="G50" s="1">
        <v>428</v>
      </c>
      <c r="H50" s="1">
        <v>0</v>
      </c>
      <c r="I50" s="1">
        <v>0</v>
      </c>
    </row>
    <row r="51" spans="1:11" x14ac:dyDescent="0.3">
      <c r="B51" t="s">
        <v>288</v>
      </c>
      <c r="E51" s="1">
        <v>398349</v>
      </c>
      <c r="F51" s="1">
        <v>83653</v>
      </c>
      <c r="G51" s="1">
        <v>83653</v>
      </c>
      <c r="H51" s="1">
        <v>0</v>
      </c>
      <c r="I51" s="1">
        <v>0</v>
      </c>
    </row>
    <row r="52" spans="1:11" x14ac:dyDescent="0.3">
      <c r="A52" t="s">
        <v>249</v>
      </c>
      <c r="E52" s="1">
        <v>-26522661</v>
      </c>
      <c r="F52" s="1">
        <v>-4430531</v>
      </c>
      <c r="G52" s="1">
        <v>-5569759</v>
      </c>
      <c r="H52" s="1">
        <v>-334940</v>
      </c>
      <c r="I52" s="1">
        <v>804288</v>
      </c>
    </row>
    <row r="53" spans="1:11" x14ac:dyDescent="0.3">
      <c r="A53" t="s">
        <v>289</v>
      </c>
      <c r="E53" s="1">
        <v>-26522661</v>
      </c>
      <c r="F53" s="1">
        <v>-4430531</v>
      </c>
      <c r="G53" s="1">
        <v>-5569759</v>
      </c>
      <c r="H53" s="1">
        <v>-334940</v>
      </c>
      <c r="I53" s="1">
        <v>804288</v>
      </c>
    </row>
    <row r="54" spans="1:11" x14ac:dyDescent="0.3">
      <c r="A54" t="s">
        <v>290</v>
      </c>
      <c r="E54" s="1">
        <v>377684893</v>
      </c>
      <c r="F54" s="1">
        <v>45100094</v>
      </c>
      <c r="G54" s="1">
        <v>79313828</v>
      </c>
      <c r="H54" s="1">
        <v>4130630</v>
      </c>
      <c r="I54" s="1">
        <v>-13356934</v>
      </c>
    </row>
    <row r="55" spans="1:11" x14ac:dyDescent="0.3">
      <c r="A55" t="s">
        <v>291</v>
      </c>
      <c r="E55" s="1">
        <v>377684893</v>
      </c>
      <c r="F55" s="1">
        <v>45100094</v>
      </c>
      <c r="G55" s="1">
        <v>79313828</v>
      </c>
      <c r="H55" s="1">
        <v>4130630</v>
      </c>
      <c r="I55" s="1">
        <v>-13356934</v>
      </c>
      <c r="J55" s="60"/>
    </row>
    <row r="56" spans="1:11" x14ac:dyDescent="0.3">
      <c r="A56" t="s">
        <v>296</v>
      </c>
      <c r="B56" t="s">
        <v>293</v>
      </c>
    </row>
    <row r="57" spans="1:11" x14ac:dyDescent="0.3">
      <c r="A57" t="s">
        <v>294</v>
      </c>
      <c r="E57" s="1">
        <v>377684893</v>
      </c>
      <c r="F57" s="1">
        <v>45100094</v>
      </c>
      <c r="G57" s="1">
        <v>79313828</v>
      </c>
      <c r="H57" s="1">
        <v>4130630</v>
      </c>
      <c r="I57" s="3">
        <v>-13356934</v>
      </c>
      <c r="J57" s="1"/>
      <c r="K57" s="1"/>
    </row>
    <row r="58" spans="1:11" x14ac:dyDescent="0.3">
      <c r="J58" s="1"/>
      <c r="K58" s="1"/>
    </row>
    <row r="59" spans="1:11" x14ac:dyDescent="0.3">
      <c r="J59" s="1"/>
      <c r="K59" s="1"/>
    </row>
    <row r="60" spans="1:11" x14ac:dyDescent="0.3">
      <c r="J60" s="1"/>
      <c r="K60" s="1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83CEC-B9A3-4916-B64D-ABD97F90922A}">
  <sheetPr>
    <tabColor rgb="FFCCFFCC"/>
  </sheetPr>
  <dimension ref="A1:I57"/>
  <sheetViews>
    <sheetView zoomScale="90" zoomScaleNormal="90" workbookViewId="0">
      <pane ySplit="7" topLeftCell="A53" activePane="bottomLeft" state="frozen"/>
      <selection activeCell="D42" sqref="D42"/>
      <selection pane="bottomLeft" activeCell="I57" sqref="I57"/>
    </sheetView>
  </sheetViews>
  <sheetFormatPr defaultRowHeight="14.4" x14ac:dyDescent="0.3"/>
  <cols>
    <col min="1" max="1" width="23.6640625" customWidth="1"/>
    <col min="2" max="2" width="36" bestFit="1" customWidth="1"/>
    <col min="3" max="3" width="7" bestFit="1" customWidth="1"/>
    <col min="5" max="5" width="16.44140625" style="1" bestFit="1" customWidth="1"/>
    <col min="6" max="6" width="14.5546875" style="1" bestFit="1" customWidth="1"/>
    <col min="7" max="7" width="14.6640625" style="1" bestFit="1" customWidth="1"/>
    <col min="8" max="8" width="14" style="1" bestFit="1" customWidth="1"/>
    <col min="9" max="9" width="15.33203125" style="1" bestFit="1" customWidth="1"/>
  </cols>
  <sheetData>
    <row r="1" spans="1:9" x14ac:dyDescent="0.3">
      <c r="A1" t="s">
        <v>235</v>
      </c>
      <c r="C1" t="s">
        <v>236</v>
      </c>
    </row>
    <row r="2" spans="1:9" x14ac:dyDescent="0.3">
      <c r="E2" s="1" t="s">
        <v>237</v>
      </c>
      <c r="F2" s="1" t="s">
        <v>238</v>
      </c>
      <c r="G2" s="1" t="s">
        <v>239</v>
      </c>
      <c r="H2" s="1" t="s">
        <v>240</v>
      </c>
      <c r="I2" s="1" t="s">
        <v>241</v>
      </c>
    </row>
    <row r="3" spans="1:9" x14ac:dyDescent="0.3">
      <c r="A3" t="s">
        <v>242</v>
      </c>
      <c r="C3">
        <v>2025</v>
      </c>
    </row>
    <row r="4" spans="1:9" x14ac:dyDescent="0.3">
      <c r="A4" t="s">
        <v>295</v>
      </c>
    </row>
    <row r="5" spans="1:9" x14ac:dyDescent="0.3">
      <c r="A5" t="s">
        <v>50</v>
      </c>
    </row>
    <row r="6" spans="1:9" x14ac:dyDescent="0.3">
      <c r="A6" t="s">
        <v>244</v>
      </c>
    </row>
    <row r="7" spans="1:9" x14ac:dyDescent="0.3">
      <c r="A7" t="s">
        <v>245</v>
      </c>
    </row>
    <row r="8" spans="1:9" x14ac:dyDescent="0.3">
      <c r="B8" t="s">
        <v>246</v>
      </c>
      <c r="E8" s="1">
        <v>5710523</v>
      </c>
      <c r="F8" s="1">
        <v>1199210</v>
      </c>
      <c r="G8" s="1">
        <v>1199210</v>
      </c>
      <c r="H8" s="1">
        <v>0</v>
      </c>
      <c r="I8" s="1">
        <v>0</v>
      </c>
    </row>
    <row r="9" spans="1:9" x14ac:dyDescent="0.3">
      <c r="B9" t="s">
        <v>247</v>
      </c>
      <c r="E9" s="1">
        <v>335895500</v>
      </c>
      <c r="F9" s="1">
        <v>53091484</v>
      </c>
      <c r="G9" s="1">
        <v>70538055</v>
      </c>
      <c r="H9" s="1">
        <v>0</v>
      </c>
      <c r="I9" s="1">
        <v>-17446571</v>
      </c>
    </row>
    <row r="10" spans="1:9" x14ac:dyDescent="0.3">
      <c r="B10" t="s">
        <v>248</v>
      </c>
      <c r="E10" s="1">
        <v>0</v>
      </c>
      <c r="F10" s="1">
        <v>-16726169</v>
      </c>
      <c r="G10" s="1">
        <v>0</v>
      </c>
      <c r="H10" s="1">
        <v>0</v>
      </c>
      <c r="I10" s="1">
        <v>0</v>
      </c>
    </row>
    <row r="11" spans="1:9" x14ac:dyDescent="0.3">
      <c r="A11" t="s">
        <v>249</v>
      </c>
      <c r="E11" s="1">
        <v>341606023</v>
      </c>
      <c r="F11" s="1">
        <v>37564525</v>
      </c>
      <c r="G11" s="1">
        <v>71737265</v>
      </c>
      <c r="H11" s="1">
        <v>0</v>
      </c>
      <c r="I11" s="1">
        <v>-17446571</v>
      </c>
    </row>
    <row r="12" spans="1:9" x14ac:dyDescent="0.3">
      <c r="A12" t="s">
        <v>250</v>
      </c>
      <c r="E12" s="1">
        <v>341606023</v>
      </c>
      <c r="F12" s="1">
        <v>37564525</v>
      </c>
      <c r="G12" s="1">
        <v>71737265</v>
      </c>
      <c r="H12" s="1">
        <v>0</v>
      </c>
      <c r="I12" s="1">
        <v>-17446571</v>
      </c>
    </row>
    <row r="13" spans="1:9" x14ac:dyDescent="0.3">
      <c r="B13" t="s">
        <v>251</v>
      </c>
      <c r="E13" s="1">
        <v>17411308</v>
      </c>
      <c r="F13" s="1">
        <v>3656375</v>
      </c>
      <c r="G13" s="1">
        <v>3656375</v>
      </c>
      <c r="H13" s="1">
        <v>0</v>
      </c>
      <c r="I13" s="1">
        <v>0</v>
      </c>
    </row>
    <row r="14" spans="1:9" x14ac:dyDescent="0.3">
      <c r="B14" t="s">
        <v>252</v>
      </c>
      <c r="E14" s="1">
        <v>6930927</v>
      </c>
      <c r="F14" s="1">
        <v>1455495</v>
      </c>
      <c r="G14" s="1">
        <v>1455495</v>
      </c>
      <c r="H14" s="1">
        <v>0</v>
      </c>
      <c r="I14" s="1">
        <v>0</v>
      </c>
    </row>
    <row r="15" spans="1:9" x14ac:dyDescent="0.3">
      <c r="B15" t="s">
        <v>253</v>
      </c>
      <c r="E15" s="1">
        <v>23966188</v>
      </c>
      <c r="F15" s="1">
        <v>0</v>
      </c>
      <c r="G15" s="1">
        <v>5032899</v>
      </c>
      <c r="H15" s="1">
        <v>5032899</v>
      </c>
      <c r="I15" s="1">
        <v>0</v>
      </c>
    </row>
    <row r="16" spans="1:9" x14ac:dyDescent="0.3">
      <c r="B16" t="s">
        <v>254</v>
      </c>
      <c r="E16" s="1">
        <v>959312</v>
      </c>
      <c r="F16" s="1">
        <v>201456</v>
      </c>
      <c r="G16" s="1">
        <v>201456</v>
      </c>
      <c r="H16" s="1">
        <v>0</v>
      </c>
      <c r="I16" s="1">
        <v>0</v>
      </c>
    </row>
    <row r="17" spans="1:9" x14ac:dyDescent="0.3">
      <c r="B17" t="s">
        <v>255</v>
      </c>
      <c r="E17" s="1">
        <v>-220296</v>
      </c>
      <c r="F17" s="1">
        <v>-46262</v>
      </c>
      <c r="G17" s="1">
        <v>-46262</v>
      </c>
      <c r="H17" s="1">
        <v>0</v>
      </c>
      <c r="I17" s="1">
        <v>0</v>
      </c>
    </row>
    <row r="18" spans="1:9" x14ac:dyDescent="0.3">
      <c r="B18" t="s">
        <v>256</v>
      </c>
      <c r="E18" s="1">
        <v>-6176705</v>
      </c>
      <c r="F18" s="1">
        <v>-1297108</v>
      </c>
      <c r="G18" s="1">
        <v>-1297108</v>
      </c>
      <c r="H18" s="1">
        <v>0</v>
      </c>
      <c r="I18" s="1">
        <v>0</v>
      </c>
    </row>
    <row r="19" spans="1:9" x14ac:dyDescent="0.3">
      <c r="B19" t="s">
        <v>257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</row>
    <row r="20" spans="1:9" x14ac:dyDescent="0.3">
      <c r="B20" t="s">
        <v>258</v>
      </c>
      <c r="E20" s="1">
        <v>-59130</v>
      </c>
      <c r="F20" s="1">
        <v>-12417</v>
      </c>
      <c r="G20" s="1">
        <v>-12417</v>
      </c>
      <c r="H20" s="1">
        <v>0</v>
      </c>
      <c r="I20" s="1">
        <v>0</v>
      </c>
    </row>
    <row r="21" spans="1:9" x14ac:dyDescent="0.3">
      <c r="B21" t="s">
        <v>259</v>
      </c>
      <c r="E21" s="1">
        <v>9</v>
      </c>
      <c r="F21" s="1">
        <v>2</v>
      </c>
      <c r="G21" s="1">
        <v>2</v>
      </c>
      <c r="H21" s="1">
        <v>0</v>
      </c>
      <c r="I21" s="1">
        <v>0</v>
      </c>
    </row>
    <row r="22" spans="1:9" x14ac:dyDescent="0.3">
      <c r="B22" t="s">
        <v>260</v>
      </c>
      <c r="E22" s="1">
        <v>-776</v>
      </c>
      <c r="F22" s="1">
        <v>-163</v>
      </c>
      <c r="G22" s="1">
        <v>-163</v>
      </c>
      <c r="H22" s="1">
        <v>0</v>
      </c>
      <c r="I22" s="1">
        <v>0</v>
      </c>
    </row>
    <row r="23" spans="1:9" x14ac:dyDescent="0.3">
      <c r="B23" t="s">
        <v>261</v>
      </c>
      <c r="E23" s="1">
        <v>-31062</v>
      </c>
      <c r="F23" s="1">
        <v>-6523</v>
      </c>
      <c r="G23" s="1">
        <v>-6523</v>
      </c>
      <c r="H23" s="1">
        <v>0</v>
      </c>
      <c r="I23" s="1">
        <v>0</v>
      </c>
    </row>
    <row r="24" spans="1:9" x14ac:dyDescent="0.3">
      <c r="B24" t="s">
        <v>262</v>
      </c>
      <c r="E24" s="1">
        <v>5128</v>
      </c>
      <c r="F24" s="1">
        <v>1077</v>
      </c>
      <c r="G24" s="1">
        <v>1077</v>
      </c>
      <c r="H24" s="1">
        <v>0</v>
      </c>
      <c r="I24" s="1">
        <v>0</v>
      </c>
    </row>
    <row r="25" spans="1:9" x14ac:dyDescent="0.3">
      <c r="B25" t="s">
        <v>263</v>
      </c>
      <c r="E25" s="1">
        <v>-46698220</v>
      </c>
      <c r="F25" s="1">
        <v>-9786594</v>
      </c>
      <c r="G25" s="1">
        <v>-9806626</v>
      </c>
      <c r="H25" s="1">
        <v>0</v>
      </c>
      <c r="I25" s="1">
        <v>20032</v>
      </c>
    </row>
    <row r="26" spans="1:9" x14ac:dyDescent="0.3">
      <c r="B26" t="s">
        <v>264</v>
      </c>
      <c r="E26" s="1">
        <v>-2156823</v>
      </c>
      <c r="F26" s="1">
        <v>-452933</v>
      </c>
      <c r="G26" s="1">
        <v>-452933</v>
      </c>
      <c r="H26" s="1">
        <v>0</v>
      </c>
      <c r="I26" s="1">
        <v>0</v>
      </c>
    </row>
    <row r="27" spans="1:9" x14ac:dyDescent="0.3">
      <c r="B27" t="s">
        <v>265</v>
      </c>
      <c r="E27" s="1">
        <v>253775</v>
      </c>
      <c r="F27" s="1">
        <v>53293</v>
      </c>
      <c r="G27" s="1">
        <v>53293</v>
      </c>
      <c r="H27" s="1">
        <v>0</v>
      </c>
      <c r="I27" s="1">
        <v>0</v>
      </c>
    </row>
    <row r="28" spans="1:9" x14ac:dyDescent="0.3">
      <c r="B28" t="s">
        <v>266</v>
      </c>
      <c r="E28" s="1">
        <v>-603149</v>
      </c>
      <c r="F28" s="1">
        <v>-126661</v>
      </c>
      <c r="G28" s="1">
        <v>-126661</v>
      </c>
      <c r="H28" s="1">
        <v>0</v>
      </c>
      <c r="I28" s="1">
        <v>0</v>
      </c>
    </row>
    <row r="29" spans="1:9" x14ac:dyDescent="0.3">
      <c r="B29" t="s">
        <v>267</v>
      </c>
      <c r="E29" s="1">
        <v>226375</v>
      </c>
      <c r="F29" s="1">
        <v>47539</v>
      </c>
      <c r="G29" s="1">
        <v>47539</v>
      </c>
      <c r="H29" s="1">
        <v>0</v>
      </c>
      <c r="I29" s="1">
        <v>0</v>
      </c>
    </row>
    <row r="30" spans="1:9" x14ac:dyDescent="0.3">
      <c r="B30" t="s">
        <v>268</v>
      </c>
      <c r="E30" s="1">
        <v>19981286</v>
      </c>
      <c r="F30" s="1">
        <v>4196070</v>
      </c>
      <c r="G30" s="1">
        <v>4196070</v>
      </c>
      <c r="H30" s="1">
        <v>0</v>
      </c>
      <c r="I30" s="1">
        <v>0</v>
      </c>
    </row>
    <row r="31" spans="1:9" x14ac:dyDescent="0.3">
      <c r="A31" t="s">
        <v>249</v>
      </c>
      <c r="E31" s="1">
        <v>13788148</v>
      </c>
      <c r="F31" s="1">
        <v>-2117356</v>
      </c>
      <c r="G31" s="1">
        <v>2895511</v>
      </c>
      <c r="H31" s="1">
        <v>5032899</v>
      </c>
      <c r="I31" s="1">
        <v>20032</v>
      </c>
    </row>
    <row r="32" spans="1:9" x14ac:dyDescent="0.3">
      <c r="A32" t="s">
        <v>269</v>
      </c>
      <c r="E32" s="1">
        <v>13788148</v>
      </c>
      <c r="F32" s="1">
        <v>-2117356</v>
      </c>
      <c r="G32" s="1">
        <v>2895511</v>
      </c>
      <c r="H32" s="1">
        <v>5032899</v>
      </c>
      <c r="I32" s="1">
        <v>20032</v>
      </c>
    </row>
    <row r="33" spans="2:9" x14ac:dyDescent="0.3">
      <c r="B33" t="s">
        <v>270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</row>
    <row r="34" spans="2:9" x14ac:dyDescent="0.3">
      <c r="B34" t="s">
        <v>271</v>
      </c>
      <c r="E34" s="1">
        <v>-42638</v>
      </c>
      <c r="F34" s="1">
        <v>-8954</v>
      </c>
      <c r="G34" s="1">
        <v>-8954</v>
      </c>
      <c r="H34" s="1">
        <v>0</v>
      </c>
      <c r="I34" s="1">
        <v>0</v>
      </c>
    </row>
    <row r="35" spans="2:9" x14ac:dyDescent="0.3">
      <c r="B35" t="s">
        <v>272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</row>
    <row r="36" spans="2:9" x14ac:dyDescent="0.3">
      <c r="B36" t="s">
        <v>273</v>
      </c>
      <c r="E36" s="1">
        <v>238275</v>
      </c>
      <c r="F36" s="1">
        <v>50038</v>
      </c>
      <c r="G36" s="1">
        <v>50038</v>
      </c>
      <c r="H36" s="1">
        <v>0</v>
      </c>
      <c r="I36" s="1">
        <v>0</v>
      </c>
    </row>
    <row r="37" spans="2:9" x14ac:dyDescent="0.3">
      <c r="B37" t="s">
        <v>274</v>
      </c>
      <c r="E37" s="1">
        <v>-11272418</v>
      </c>
      <c r="F37" s="1">
        <v>-2375182</v>
      </c>
      <c r="G37" s="1">
        <v>-2367208</v>
      </c>
      <c r="H37" s="1">
        <v>0</v>
      </c>
      <c r="I37" s="1">
        <v>-7975</v>
      </c>
    </row>
    <row r="38" spans="2:9" x14ac:dyDescent="0.3">
      <c r="B38" t="s">
        <v>275</v>
      </c>
      <c r="E38" s="1">
        <v>-6794696</v>
      </c>
      <c r="F38" s="1">
        <v>-682289</v>
      </c>
      <c r="G38" s="1">
        <v>-1426886</v>
      </c>
      <c r="H38" s="1">
        <v>0</v>
      </c>
      <c r="I38" s="1">
        <v>744598</v>
      </c>
    </row>
    <row r="39" spans="2:9" x14ac:dyDescent="0.3">
      <c r="B39" t="s">
        <v>276</v>
      </c>
      <c r="E39" s="1">
        <v>-14530335</v>
      </c>
      <c r="F39" s="1">
        <v>-3051370</v>
      </c>
      <c r="G39" s="1">
        <v>-3051370</v>
      </c>
      <c r="H39" s="1">
        <v>0</v>
      </c>
      <c r="I39" s="1">
        <v>0</v>
      </c>
    </row>
    <row r="40" spans="2:9" x14ac:dyDescent="0.3">
      <c r="B40" t="s">
        <v>277</v>
      </c>
      <c r="E40" s="1">
        <v>418621</v>
      </c>
      <c r="F40" s="1">
        <v>87911</v>
      </c>
      <c r="G40" s="1">
        <v>87910</v>
      </c>
      <c r="H40" s="1">
        <v>0</v>
      </c>
      <c r="I40" s="1">
        <v>0</v>
      </c>
    </row>
    <row r="41" spans="2:9" x14ac:dyDescent="0.3">
      <c r="B41" t="s">
        <v>278</v>
      </c>
      <c r="E41" s="1">
        <v>11577892</v>
      </c>
      <c r="F41" s="1">
        <v>0</v>
      </c>
      <c r="G41" s="1">
        <v>2431357</v>
      </c>
      <c r="H41" s="1">
        <v>2431357</v>
      </c>
      <c r="I41" s="1">
        <v>0</v>
      </c>
    </row>
    <row r="42" spans="2:9" x14ac:dyDescent="0.3">
      <c r="B42" t="s">
        <v>279</v>
      </c>
      <c r="E42" s="1">
        <v>-1630309</v>
      </c>
      <c r="F42" s="1">
        <v>-342365</v>
      </c>
      <c r="G42" s="1">
        <v>-342365</v>
      </c>
      <c r="H42" s="1">
        <v>0</v>
      </c>
      <c r="I42" s="1">
        <v>0</v>
      </c>
    </row>
    <row r="43" spans="2:9" x14ac:dyDescent="0.3">
      <c r="B43" t="s">
        <v>280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</row>
    <row r="44" spans="2:9" x14ac:dyDescent="0.3">
      <c r="B44" t="s">
        <v>281</v>
      </c>
      <c r="E44" s="1">
        <v>3312851</v>
      </c>
      <c r="F44" s="1">
        <v>695699</v>
      </c>
      <c r="G44" s="1">
        <v>695699</v>
      </c>
      <c r="H44" s="1">
        <v>0</v>
      </c>
      <c r="I44" s="1">
        <v>0</v>
      </c>
    </row>
    <row r="45" spans="2:9" x14ac:dyDescent="0.3">
      <c r="B45" t="s">
        <v>282</v>
      </c>
      <c r="E45" s="1">
        <v>-52842</v>
      </c>
      <c r="F45" s="1">
        <v>0</v>
      </c>
      <c r="G45" s="1">
        <v>-11097</v>
      </c>
      <c r="H45" s="1">
        <v>-11097</v>
      </c>
      <c r="I45" s="1">
        <v>0</v>
      </c>
    </row>
    <row r="46" spans="2:9" x14ac:dyDescent="0.3">
      <c r="B46" t="s">
        <v>283</v>
      </c>
      <c r="E46" s="1">
        <v>2167</v>
      </c>
      <c r="F46" s="1">
        <v>455</v>
      </c>
      <c r="G46" s="1">
        <v>455</v>
      </c>
      <c r="H46" s="1">
        <v>0</v>
      </c>
      <c r="I46" s="1">
        <v>0</v>
      </c>
    </row>
    <row r="47" spans="2:9" x14ac:dyDescent="0.3">
      <c r="B47" t="s">
        <v>284</v>
      </c>
      <c r="E47" s="1">
        <v>5</v>
      </c>
      <c r="F47" s="1">
        <v>1</v>
      </c>
      <c r="G47" s="1">
        <v>1</v>
      </c>
      <c r="H47" s="1">
        <v>0</v>
      </c>
      <c r="I47" s="1">
        <v>0</v>
      </c>
    </row>
    <row r="48" spans="2:9" x14ac:dyDescent="0.3">
      <c r="B48" t="s">
        <v>285</v>
      </c>
      <c r="E48" s="1">
        <v>-1007536</v>
      </c>
      <c r="F48" s="1">
        <v>-203497</v>
      </c>
      <c r="G48" s="1">
        <v>-211583</v>
      </c>
      <c r="H48" s="1">
        <v>0</v>
      </c>
      <c r="I48" s="1">
        <v>8086</v>
      </c>
    </row>
    <row r="49" spans="1:9" x14ac:dyDescent="0.3">
      <c r="B49" t="s">
        <v>286</v>
      </c>
      <c r="E49" s="1">
        <v>-13963</v>
      </c>
      <c r="F49" s="1">
        <v>-2932</v>
      </c>
      <c r="G49" s="1">
        <v>-2932</v>
      </c>
      <c r="H49" s="1">
        <v>0</v>
      </c>
      <c r="I49" s="1">
        <v>0</v>
      </c>
    </row>
    <row r="50" spans="1:9" x14ac:dyDescent="0.3">
      <c r="B50" t="s">
        <v>287</v>
      </c>
      <c r="E50" s="1">
        <v>1815</v>
      </c>
      <c r="F50" s="1">
        <v>381</v>
      </c>
      <c r="G50" s="1">
        <v>381</v>
      </c>
      <c r="H50" s="1">
        <v>0</v>
      </c>
      <c r="I50" s="1">
        <v>0</v>
      </c>
    </row>
    <row r="51" spans="1:9" x14ac:dyDescent="0.3">
      <c r="B51" t="s">
        <v>288</v>
      </c>
      <c r="E51" s="1">
        <v>368188</v>
      </c>
      <c r="F51" s="1">
        <v>77319</v>
      </c>
      <c r="G51" s="1">
        <v>77319</v>
      </c>
      <c r="H51" s="1">
        <v>0</v>
      </c>
      <c r="I51" s="1">
        <v>0</v>
      </c>
    </row>
    <row r="52" spans="1:9" x14ac:dyDescent="0.3">
      <c r="A52" t="s">
        <v>249</v>
      </c>
      <c r="E52" s="1">
        <v>-19424923</v>
      </c>
      <c r="F52" s="1">
        <v>-5754786</v>
      </c>
      <c r="G52" s="1">
        <v>-4079234</v>
      </c>
      <c r="H52" s="1">
        <v>2420261</v>
      </c>
      <c r="I52" s="1">
        <v>744709</v>
      </c>
    </row>
    <row r="53" spans="1:9" x14ac:dyDescent="0.3">
      <c r="A53" t="s">
        <v>289</v>
      </c>
      <c r="E53" s="1">
        <v>-19424923</v>
      </c>
      <c r="F53" s="1">
        <v>-5754786</v>
      </c>
      <c r="G53" s="1">
        <v>-4079234</v>
      </c>
      <c r="H53" s="1">
        <v>2420261</v>
      </c>
      <c r="I53" s="1">
        <v>744709</v>
      </c>
    </row>
    <row r="54" spans="1:9" x14ac:dyDescent="0.3">
      <c r="A54" t="s">
        <v>290</v>
      </c>
      <c r="E54" s="1">
        <v>335969248</v>
      </c>
      <c r="F54" s="1">
        <v>29692383</v>
      </c>
      <c r="G54" s="1">
        <v>70553542</v>
      </c>
      <c r="H54" s="1">
        <v>7453160</v>
      </c>
      <c r="I54" s="1">
        <v>-16681830</v>
      </c>
    </row>
    <row r="55" spans="1:9" x14ac:dyDescent="0.3">
      <c r="A55" t="s">
        <v>291</v>
      </c>
      <c r="E55" s="1">
        <v>335969248</v>
      </c>
      <c r="F55" s="1">
        <v>29692383</v>
      </c>
      <c r="G55" s="1">
        <v>70553542</v>
      </c>
      <c r="H55" s="1">
        <v>7453160</v>
      </c>
      <c r="I55" s="1">
        <v>-16681830</v>
      </c>
    </row>
    <row r="56" spans="1:9" x14ac:dyDescent="0.3">
      <c r="A56" t="s">
        <v>297</v>
      </c>
      <c r="B56" t="s">
        <v>293</v>
      </c>
    </row>
    <row r="57" spans="1:9" x14ac:dyDescent="0.3">
      <c r="A57" t="s">
        <v>294</v>
      </c>
      <c r="E57" s="1">
        <v>335969248</v>
      </c>
      <c r="F57" s="1">
        <v>29692383</v>
      </c>
      <c r="G57" s="1">
        <v>70553542</v>
      </c>
      <c r="H57" s="1">
        <v>7453160</v>
      </c>
      <c r="I57" s="3">
        <v>-16681830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2F2C2-FE1D-45CF-831E-A93E9BF6E042}">
  <sheetPr>
    <tabColor theme="5" tint="0.59999389629810485"/>
  </sheetPr>
  <dimension ref="A1:AK150"/>
  <sheetViews>
    <sheetView zoomScale="90" zoomScaleNormal="90" workbookViewId="0">
      <pane xSplit="20" ySplit="10" topLeftCell="X110" activePane="bottomRight" state="frozen"/>
      <selection pane="topRight" activeCell="D42" sqref="D42"/>
      <selection pane="bottomLeft" activeCell="D42" sqref="D42"/>
      <selection pane="bottomRight" activeCell="AA118" sqref="AA118"/>
    </sheetView>
  </sheetViews>
  <sheetFormatPr defaultRowHeight="14.4" x14ac:dyDescent="0.3"/>
  <cols>
    <col min="1" max="1" width="38.33203125" bestFit="1" customWidth="1"/>
    <col min="2" max="2" width="18.6640625" hidden="1" customWidth="1"/>
    <col min="3" max="3" width="8.5546875" hidden="1" customWidth="1"/>
    <col min="4" max="4" width="18.6640625" hidden="1" customWidth="1"/>
    <col min="5" max="5" width="8.5546875" hidden="1" customWidth="1"/>
    <col min="6" max="7" width="18.6640625" hidden="1" customWidth="1"/>
    <col min="8" max="10" width="16.33203125" hidden="1" customWidth="1"/>
    <col min="11" max="12" width="17.33203125" hidden="1" customWidth="1"/>
    <col min="13" max="13" width="26.33203125" hidden="1" customWidth="1"/>
    <col min="14" max="14" width="29.44140625" hidden="1" customWidth="1"/>
    <col min="15" max="15" width="16.6640625" customWidth="1"/>
    <col min="16" max="16" width="17.6640625" customWidth="1"/>
    <col min="17" max="17" width="17" customWidth="1"/>
    <col min="18" max="18" width="16.5546875" customWidth="1"/>
    <col min="19" max="19" width="30" customWidth="1"/>
    <col min="20" max="20" width="8.6640625" customWidth="1"/>
    <col min="21" max="22" width="16.6640625" bestFit="1" customWidth="1"/>
    <col min="23" max="27" width="15.88671875" bestFit="1" customWidth="1"/>
    <col min="28" max="30" width="16.109375" bestFit="1" customWidth="1"/>
    <col min="31" max="31" width="15.33203125" bestFit="1" customWidth="1"/>
  </cols>
  <sheetData>
    <row r="1" spans="1:31" x14ac:dyDescent="0.3">
      <c r="A1" s="5" t="s">
        <v>298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O1" s="6" t="s">
        <v>299</v>
      </c>
      <c r="P1" s="6" t="s">
        <v>300</v>
      </c>
    </row>
    <row r="2" spans="1:3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N2" s="7" t="s">
        <v>301</v>
      </c>
      <c r="O2">
        <v>-1.925E-2</v>
      </c>
      <c r="P2">
        <v>-1.155E-2</v>
      </c>
      <c r="Q2" s="8">
        <v>7.7000000000000002E-3</v>
      </c>
    </row>
    <row r="3" spans="1:31" x14ac:dyDescent="0.3">
      <c r="A3" s="5" t="s">
        <v>302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7" t="s">
        <v>303</v>
      </c>
      <c r="O3" s="9">
        <v>5.5E-2</v>
      </c>
      <c r="P3" s="9">
        <v>5.5E-2</v>
      </c>
      <c r="Q3" s="8">
        <v>0</v>
      </c>
    </row>
    <row r="4" spans="1:31" x14ac:dyDescent="0.3">
      <c r="A4" s="5" t="s">
        <v>50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7" t="s">
        <v>304</v>
      </c>
      <c r="O4">
        <v>0.33074999999999999</v>
      </c>
      <c r="P4">
        <v>0.19844999999999999</v>
      </c>
      <c r="Q4" s="8">
        <v>-0.1323</v>
      </c>
    </row>
    <row r="5" spans="1:31" x14ac:dyDescent="0.3">
      <c r="A5" s="5" t="s">
        <v>305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N5" s="7" t="s">
        <v>306</v>
      </c>
      <c r="O5">
        <v>3.5750000000000004E-2</v>
      </c>
      <c r="P5">
        <v>4.3450000000000003E-2</v>
      </c>
      <c r="Q5" s="10">
        <v>7.6999999999999985E-3</v>
      </c>
    </row>
    <row r="6" spans="1:31" x14ac:dyDescent="0.3">
      <c r="A6" s="5" t="s">
        <v>307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N6" s="7" t="s">
        <v>308</v>
      </c>
      <c r="O6" s="9">
        <v>0.35</v>
      </c>
      <c r="P6" s="9">
        <v>0.21</v>
      </c>
      <c r="Q6" s="8">
        <v>-0.13999999999999999</v>
      </c>
    </row>
    <row r="7" spans="1:31" x14ac:dyDescent="0.3">
      <c r="A7" s="5"/>
      <c r="B7" s="5" t="s">
        <v>309</v>
      </c>
      <c r="C7" s="5"/>
      <c r="D7" s="5"/>
      <c r="E7" s="5"/>
      <c r="F7" s="5"/>
      <c r="G7" t="s">
        <v>310</v>
      </c>
      <c r="H7" s="5"/>
      <c r="I7" s="5"/>
      <c r="J7" s="5"/>
      <c r="K7" s="5"/>
      <c r="L7" s="5"/>
      <c r="N7" s="7" t="s">
        <v>311</v>
      </c>
      <c r="O7">
        <v>0.38574999999999998</v>
      </c>
      <c r="P7">
        <v>0.25345000000000001</v>
      </c>
      <c r="Q7" s="10">
        <v>-0.13229999999999997</v>
      </c>
    </row>
    <row r="8" spans="1:31" x14ac:dyDescent="0.3">
      <c r="N8" s="7" t="s">
        <v>312</v>
      </c>
      <c r="O8" s="11">
        <v>0.62800162800162806</v>
      </c>
      <c r="P8" s="12">
        <v>0.33949501038108632</v>
      </c>
      <c r="Q8" s="10">
        <v>-0.28850661762054175</v>
      </c>
    </row>
    <row r="9" spans="1:31" ht="22.2" customHeight="1" x14ac:dyDescent="0.3">
      <c r="A9" s="5"/>
      <c r="B9" s="13" t="s">
        <v>313</v>
      </c>
      <c r="C9" s="14"/>
      <c r="D9" s="13" t="s">
        <v>314</v>
      </c>
      <c r="E9" s="14"/>
      <c r="F9" s="14"/>
      <c r="G9" s="13" t="s">
        <v>315</v>
      </c>
      <c r="H9" s="13" t="s">
        <v>316</v>
      </c>
      <c r="I9" s="13" t="s">
        <v>317</v>
      </c>
      <c r="J9" s="13"/>
      <c r="K9" s="13" t="s">
        <v>318</v>
      </c>
      <c r="L9" s="14"/>
      <c r="N9" s="7"/>
      <c r="O9" s="11"/>
      <c r="P9" s="12"/>
      <c r="Q9" s="10"/>
    </row>
    <row r="10" spans="1:31" ht="33.450000000000003" customHeight="1" x14ac:dyDescent="0.3">
      <c r="A10" s="5" t="s">
        <v>319</v>
      </c>
      <c r="B10" s="14" t="s">
        <v>320</v>
      </c>
      <c r="C10" s="14" t="s">
        <v>321</v>
      </c>
      <c r="D10" s="15" t="s">
        <v>322</v>
      </c>
      <c r="E10" s="14" t="s">
        <v>323</v>
      </c>
      <c r="F10" s="14" t="s">
        <v>324</v>
      </c>
      <c r="G10" s="14" t="s">
        <v>325</v>
      </c>
      <c r="H10" s="14" t="s">
        <v>321</v>
      </c>
      <c r="I10" s="16" t="s">
        <v>326</v>
      </c>
      <c r="J10" s="15" t="s">
        <v>322</v>
      </c>
      <c r="K10" s="14" t="s">
        <v>323</v>
      </c>
      <c r="L10" s="14" t="s">
        <v>327</v>
      </c>
      <c r="M10" s="5" t="s">
        <v>328</v>
      </c>
      <c r="N10" s="7" t="s">
        <v>329</v>
      </c>
      <c r="O10" s="14" t="s">
        <v>330</v>
      </c>
      <c r="P10" s="14" t="s">
        <v>331</v>
      </c>
      <c r="Q10" s="14" t="s">
        <v>332</v>
      </c>
      <c r="R10" s="14" t="s">
        <v>333</v>
      </c>
      <c r="U10" s="4">
        <v>2018</v>
      </c>
      <c r="V10" s="51">
        <f>+U10+1</f>
        <v>2019</v>
      </c>
      <c r="W10" s="52">
        <f t="shared" ref="W10:AD10" si="0">+V10+1</f>
        <v>2020</v>
      </c>
      <c r="X10" s="53">
        <f t="shared" si="0"/>
        <v>2021</v>
      </c>
      <c r="Y10" s="54">
        <f t="shared" si="0"/>
        <v>2022</v>
      </c>
      <c r="Z10" s="167">
        <f t="shared" si="0"/>
        <v>2023</v>
      </c>
      <c r="AA10" s="165">
        <f t="shared" si="0"/>
        <v>2024</v>
      </c>
      <c r="AB10" s="188">
        <f t="shared" si="0"/>
        <v>2025</v>
      </c>
      <c r="AC10" s="4">
        <f t="shared" si="0"/>
        <v>2026</v>
      </c>
      <c r="AD10" s="4">
        <f t="shared" si="0"/>
        <v>2027</v>
      </c>
      <c r="AE10" t="s">
        <v>15</v>
      </c>
    </row>
    <row r="11" spans="1:31" x14ac:dyDescent="0.3">
      <c r="A11" t="s">
        <v>129</v>
      </c>
      <c r="B11" s="17">
        <v>1413314.26</v>
      </c>
      <c r="C11" s="17">
        <v>0</v>
      </c>
      <c r="D11" s="17">
        <v>0</v>
      </c>
      <c r="E11" s="17">
        <v>0</v>
      </c>
      <c r="F11" s="17">
        <f>SUM(B11:E11)</f>
        <v>1413314.26</v>
      </c>
      <c r="G11" s="17">
        <v>545185.97</v>
      </c>
      <c r="H11" s="17">
        <v>-147820.67000000001</v>
      </c>
      <c r="I11" s="17">
        <f>+D11*$O$7</f>
        <v>0</v>
      </c>
      <c r="J11" s="17">
        <f>+D11*$Q$7</f>
        <v>0</v>
      </c>
      <c r="K11" s="17">
        <v>-39160.81</v>
      </c>
      <c r="L11" s="17">
        <f>SUM(G11:K11)</f>
        <v>358204.48999999993</v>
      </c>
      <c r="M11" s="18">
        <f>+L11/F11</f>
        <v>0.25344999349260083</v>
      </c>
      <c r="N11" s="7" t="s">
        <v>18</v>
      </c>
      <c r="O11" s="19">
        <f>+H11+J11+K11</f>
        <v>-186981.48</v>
      </c>
      <c r="P11" s="19">
        <v>-63479.28</v>
      </c>
      <c r="Q11" s="19">
        <f>+J11*$P$8</f>
        <v>0</v>
      </c>
      <c r="R11" s="19">
        <f>+P11+Q11</f>
        <v>-63479.28</v>
      </c>
      <c r="U11" s="20">
        <f>-O11/10</f>
        <v>18698.148000000001</v>
      </c>
      <c r="V11" s="20">
        <v>18698.148000000001</v>
      </c>
      <c r="W11" s="20">
        <v>18698.148000000001</v>
      </c>
      <c r="X11" s="20">
        <v>18698.148000000001</v>
      </c>
      <c r="Y11" s="20">
        <v>18698.148000000001</v>
      </c>
      <c r="Z11" s="20">
        <v>18698.148000000001</v>
      </c>
      <c r="AA11" s="166">
        <v>18698.148000000001</v>
      </c>
      <c r="AB11" s="20">
        <v>18698.148000000001</v>
      </c>
      <c r="AC11" s="20">
        <v>18698.148000000001</v>
      </c>
      <c r="AD11" s="20">
        <v>18698.148000000001</v>
      </c>
      <c r="AE11" s="17">
        <f>+O11+SUM(U11:AD11)</f>
        <v>0</v>
      </c>
    </row>
    <row r="12" spans="1:31" x14ac:dyDescent="0.3">
      <c r="A12" t="s">
        <v>334</v>
      </c>
      <c r="B12" s="17">
        <v>-8</v>
      </c>
      <c r="C12" s="17">
        <v>0</v>
      </c>
      <c r="D12" s="17">
        <v>0</v>
      </c>
      <c r="E12" s="17">
        <v>0</v>
      </c>
      <c r="F12" s="17">
        <f t="shared" ref="F12:F75" si="1">SUM(B12:E12)</f>
        <v>-8</v>
      </c>
      <c r="G12" s="17">
        <v>-4.5599999999999996</v>
      </c>
      <c r="H12" s="21">
        <v>0</v>
      </c>
      <c r="I12" s="17">
        <f t="shared" ref="I12:I75" si="2">+D12*$O$7</f>
        <v>0</v>
      </c>
      <c r="J12" s="17">
        <f t="shared" ref="J12:J75" si="3">+D12*$Q$7</f>
        <v>0</v>
      </c>
      <c r="K12" s="22">
        <v>2.3199999999999998</v>
      </c>
      <c r="L12" s="17">
        <f t="shared" ref="L12:L75" si="4">SUM(G12:K12)</f>
        <v>-2.2399999999999998</v>
      </c>
      <c r="M12" s="18">
        <f t="shared" ref="M12:M75" si="5">+L12/F12</f>
        <v>0.27999999999999997</v>
      </c>
      <c r="N12" s="7" t="s">
        <v>18</v>
      </c>
      <c r="O12" s="55">
        <f t="shared" ref="O12:O75" si="6">+H12+J12+K12</f>
        <v>2.3199999999999998</v>
      </c>
      <c r="P12" s="19"/>
      <c r="Q12" s="19">
        <f t="shared" ref="Q12:Q75" si="7">+J12*$P$8</f>
        <v>0</v>
      </c>
      <c r="R12" s="19">
        <f t="shared" ref="R12:R75" si="8">+P12+Q12</f>
        <v>0</v>
      </c>
      <c r="U12" s="20">
        <f t="shared" ref="U12:U75" si="9">-O12/10</f>
        <v>-0.23199999999999998</v>
      </c>
      <c r="V12" s="20">
        <v>-0.23199999999999998</v>
      </c>
      <c r="W12" s="20">
        <v>-0.23199999999999998</v>
      </c>
      <c r="X12" s="20">
        <v>-0.23199999999999998</v>
      </c>
      <c r="Y12" s="20">
        <v>-0.23199999999999998</v>
      </c>
      <c r="Z12" s="20">
        <v>-0.23199999999999998</v>
      </c>
      <c r="AA12" s="20">
        <v>-0.23199999999999998</v>
      </c>
      <c r="AB12" s="20">
        <v>-0.23199999999999998</v>
      </c>
      <c r="AC12" s="20">
        <v>-0.23199999999999998</v>
      </c>
      <c r="AD12" s="20">
        <v>-0.23199999999999998</v>
      </c>
      <c r="AE12" s="17">
        <f t="shared" ref="AE12:AE75" si="10">+O12+SUM(U12:AD12)</f>
        <v>0</v>
      </c>
    </row>
    <row r="13" spans="1:31" x14ac:dyDescent="0.3">
      <c r="A13" t="s">
        <v>335</v>
      </c>
      <c r="B13" s="17">
        <v>11972.36</v>
      </c>
      <c r="C13" s="17">
        <v>0</v>
      </c>
      <c r="D13" s="17">
        <v>0</v>
      </c>
      <c r="E13" s="17">
        <v>0</v>
      </c>
      <c r="F13" s="17">
        <f t="shared" si="1"/>
        <v>11972.36</v>
      </c>
      <c r="G13" s="17">
        <v>6821.86</v>
      </c>
      <c r="H13" s="21">
        <v>108.69</v>
      </c>
      <c r="I13" s="17">
        <f t="shared" si="2"/>
        <v>0</v>
      </c>
      <c r="J13" s="17">
        <f t="shared" si="3"/>
        <v>0</v>
      </c>
      <c r="K13" s="22">
        <v>-3562.79</v>
      </c>
      <c r="L13" s="17">
        <f t="shared" si="4"/>
        <v>3367.7599999999993</v>
      </c>
      <c r="M13" s="18">
        <f t="shared" si="5"/>
        <v>0.2812945818535359</v>
      </c>
      <c r="N13" s="7" t="s">
        <v>18</v>
      </c>
      <c r="O13" s="55">
        <f t="shared" si="6"/>
        <v>-3454.1</v>
      </c>
      <c r="P13" s="19"/>
      <c r="Q13" s="19">
        <f t="shared" si="7"/>
        <v>0</v>
      </c>
      <c r="R13" s="19">
        <f t="shared" si="8"/>
        <v>0</v>
      </c>
      <c r="U13" s="20">
        <f t="shared" si="9"/>
        <v>345.40999999999997</v>
      </c>
      <c r="V13" s="20">
        <v>345.40999999999997</v>
      </c>
      <c r="W13" s="20">
        <v>345.40999999999997</v>
      </c>
      <c r="X13" s="20">
        <v>345.40999999999997</v>
      </c>
      <c r="Y13" s="20">
        <v>345.40999999999997</v>
      </c>
      <c r="Z13" s="20">
        <v>345.40999999999997</v>
      </c>
      <c r="AA13" s="20">
        <v>345.40999999999997</v>
      </c>
      <c r="AB13" s="20">
        <v>345.40999999999997</v>
      </c>
      <c r="AC13" s="20">
        <v>345.40999999999997</v>
      </c>
      <c r="AD13" s="20">
        <v>345.40999999999997</v>
      </c>
      <c r="AE13" s="17">
        <f t="shared" si="10"/>
        <v>0</v>
      </c>
    </row>
    <row r="14" spans="1:31" x14ac:dyDescent="0.3">
      <c r="A14" t="s">
        <v>336</v>
      </c>
      <c r="B14" s="17">
        <v>351.1</v>
      </c>
      <c r="C14" s="17">
        <v>0</v>
      </c>
      <c r="D14" s="17">
        <v>0</v>
      </c>
      <c r="E14" s="17">
        <v>0</v>
      </c>
      <c r="F14" s="17">
        <f t="shared" si="1"/>
        <v>351.1</v>
      </c>
      <c r="G14" s="17">
        <v>200.06</v>
      </c>
      <c r="H14" s="21">
        <v>5</v>
      </c>
      <c r="I14" s="17">
        <f t="shared" si="2"/>
        <v>0</v>
      </c>
      <c r="J14" s="17">
        <f t="shared" si="3"/>
        <v>0</v>
      </c>
      <c r="K14" s="22">
        <v>-106.3</v>
      </c>
      <c r="L14" s="17">
        <f t="shared" si="4"/>
        <v>98.76</v>
      </c>
      <c r="M14" s="18">
        <f t="shared" si="5"/>
        <v>0.28128738251210483</v>
      </c>
      <c r="N14" s="7" t="s">
        <v>18</v>
      </c>
      <c r="O14" s="55">
        <f t="shared" si="6"/>
        <v>-101.3</v>
      </c>
      <c r="P14" s="19"/>
      <c r="Q14" s="19">
        <f t="shared" si="7"/>
        <v>0</v>
      </c>
      <c r="R14" s="19">
        <f t="shared" si="8"/>
        <v>0</v>
      </c>
      <c r="U14" s="20">
        <f t="shared" si="9"/>
        <v>10.129999999999999</v>
      </c>
      <c r="V14" s="20">
        <v>10.129999999999999</v>
      </c>
      <c r="W14" s="20">
        <v>10.129999999999999</v>
      </c>
      <c r="X14" s="20">
        <v>10.129999999999999</v>
      </c>
      <c r="Y14" s="20">
        <v>10.129999999999999</v>
      </c>
      <c r="Z14" s="20">
        <v>10.129999999999999</v>
      </c>
      <c r="AA14" s="20">
        <v>10.129999999999999</v>
      </c>
      <c r="AB14" s="20">
        <v>10.129999999999999</v>
      </c>
      <c r="AC14" s="20">
        <v>10.129999999999999</v>
      </c>
      <c r="AD14" s="20">
        <v>10.129999999999999</v>
      </c>
      <c r="AE14" s="17">
        <f t="shared" si="10"/>
        <v>0</v>
      </c>
    </row>
    <row r="15" spans="1:31" x14ac:dyDescent="0.3">
      <c r="A15" t="s">
        <v>337</v>
      </c>
      <c r="B15" s="17">
        <v>232511.59</v>
      </c>
      <c r="C15" s="17">
        <v>0</v>
      </c>
      <c r="D15" s="17">
        <v>0</v>
      </c>
      <c r="E15" s="17">
        <v>0</v>
      </c>
      <c r="F15" s="17">
        <f t="shared" si="1"/>
        <v>232511.59</v>
      </c>
      <c r="G15" s="17">
        <v>132485.24</v>
      </c>
      <c r="H15" s="21">
        <v>3197.4</v>
      </c>
      <c r="I15" s="17">
        <f t="shared" si="2"/>
        <v>0</v>
      </c>
      <c r="J15" s="17">
        <f t="shared" si="3"/>
        <v>0</v>
      </c>
      <c r="K15" s="22">
        <v>-70278.539999999994</v>
      </c>
      <c r="L15" s="17">
        <f t="shared" si="4"/>
        <v>65404.099999999991</v>
      </c>
      <c r="M15" s="18">
        <f t="shared" si="5"/>
        <v>0.28129393463783886</v>
      </c>
      <c r="N15" s="7" t="s">
        <v>18</v>
      </c>
      <c r="O15" s="55">
        <f t="shared" si="6"/>
        <v>-67081.14</v>
      </c>
      <c r="P15" s="19"/>
      <c r="Q15" s="19">
        <f t="shared" si="7"/>
        <v>0</v>
      </c>
      <c r="R15" s="19">
        <f t="shared" si="8"/>
        <v>0</v>
      </c>
      <c r="U15" s="20">
        <f t="shared" si="9"/>
        <v>6708.1139999999996</v>
      </c>
      <c r="V15" s="20">
        <v>6708.1139999999996</v>
      </c>
      <c r="W15" s="20">
        <v>6708.1139999999996</v>
      </c>
      <c r="X15" s="20">
        <v>6708.1139999999996</v>
      </c>
      <c r="Y15" s="20">
        <v>6708.1139999999996</v>
      </c>
      <c r="Z15" s="20">
        <v>6708.1139999999996</v>
      </c>
      <c r="AA15" s="20">
        <v>6708.1139999999996</v>
      </c>
      <c r="AB15" s="20">
        <v>6708.1139999999996</v>
      </c>
      <c r="AC15" s="20">
        <v>6708.1139999999996</v>
      </c>
      <c r="AD15" s="20">
        <v>6708.1139999999996</v>
      </c>
      <c r="AE15" s="17">
        <f t="shared" si="10"/>
        <v>0</v>
      </c>
    </row>
    <row r="16" spans="1:31" x14ac:dyDescent="0.3">
      <c r="A16" t="s">
        <v>338</v>
      </c>
      <c r="B16" s="17">
        <v>739.16</v>
      </c>
      <c r="C16" s="17">
        <v>0</v>
      </c>
      <c r="D16" s="17">
        <v>0</v>
      </c>
      <c r="E16" s="17">
        <v>0</v>
      </c>
      <c r="F16" s="17">
        <f t="shared" si="1"/>
        <v>739.16</v>
      </c>
      <c r="G16" s="17">
        <v>421.17</v>
      </c>
      <c r="H16" s="21">
        <v>10.1</v>
      </c>
      <c r="I16" s="17">
        <f t="shared" si="2"/>
        <v>0</v>
      </c>
      <c r="J16" s="17">
        <f t="shared" si="3"/>
        <v>0</v>
      </c>
      <c r="K16" s="22">
        <v>-223.35</v>
      </c>
      <c r="L16" s="17">
        <f t="shared" si="4"/>
        <v>207.92000000000004</v>
      </c>
      <c r="M16" s="18">
        <f t="shared" si="5"/>
        <v>0.28129227772065596</v>
      </c>
      <c r="N16" s="7" t="s">
        <v>18</v>
      </c>
      <c r="O16" s="55">
        <f t="shared" si="6"/>
        <v>-213.25</v>
      </c>
      <c r="P16" s="19"/>
      <c r="Q16" s="19">
        <f t="shared" si="7"/>
        <v>0</v>
      </c>
      <c r="R16" s="19">
        <f t="shared" si="8"/>
        <v>0</v>
      </c>
      <c r="U16" s="20">
        <f t="shared" si="9"/>
        <v>21.324999999999999</v>
      </c>
      <c r="V16" s="20">
        <v>21.324999999999999</v>
      </c>
      <c r="W16" s="20">
        <v>21.324999999999999</v>
      </c>
      <c r="X16" s="20">
        <v>21.324999999999999</v>
      </c>
      <c r="Y16" s="20">
        <v>21.324999999999999</v>
      </c>
      <c r="Z16" s="20">
        <v>21.324999999999999</v>
      </c>
      <c r="AA16" s="20">
        <v>21.324999999999999</v>
      </c>
      <c r="AB16" s="20">
        <v>21.324999999999999</v>
      </c>
      <c r="AC16" s="20">
        <v>21.324999999999999</v>
      </c>
      <c r="AD16" s="20">
        <v>21.324999999999999</v>
      </c>
      <c r="AE16" s="17">
        <f t="shared" si="10"/>
        <v>0</v>
      </c>
    </row>
    <row r="17" spans="1:31" x14ac:dyDescent="0.3">
      <c r="A17" t="s">
        <v>339</v>
      </c>
      <c r="B17" s="17">
        <v>148416.04</v>
      </c>
      <c r="C17" s="17">
        <v>0</v>
      </c>
      <c r="D17" s="17">
        <v>0</v>
      </c>
      <c r="E17" s="17">
        <v>0</v>
      </c>
      <c r="F17" s="17">
        <f t="shared" si="1"/>
        <v>148416.04</v>
      </c>
      <c r="G17" s="17">
        <v>84567.53</v>
      </c>
      <c r="H17" s="21">
        <v>1905.32</v>
      </c>
      <c r="I17" s="17">
        <f t="shared" si="2"/>
        <v>0</v>
      </c>
      <c r="J17" s="17">
        <f t="shared" si="3"/>
        <v>0</v>
      </c>
      <c r="K17" s="22">
        <v>-44724.32</v>
      </c>
      <c r="L17" s="17">
        <f t="shared" si="4"/>
        <v>41748.530000000006</v>
      </c>
      <c r="M17" s="18">
        <f t="shared" si="5"/>
        <v>0.28129392213941301</v>
      </c>
      <c r="N17" s="7" t="s">
        <v>18</v>
      </c>
      <c r="O17" s="55">
        <f t="shared" si="6"/>
        <v>-42819</v>
      </c>
      <c r="P17" s="19"/>
      <c r="Q17" s="19">
        <f t="shared" si="7"/>
        <v>0</v>
      </c>
      <c r="R17" s="19">
        <f t="shared" si="8"/>
        <v>0</v>
      </c>
      <c r="U17" s="20">
        <f t="shared" si="9"/>
        <v>4281.8999999999996</v>
      </c>
      <c r="V17" s="20">
        <v>4281.8999999999996</v>
      </c>
      <c r="W17" s="20">
        <v>4281.8999999999996</v>
      </c>
      <c r="X17" s="20">
        <v>4281.8999999999996</v>
      </c>
      <c r="Y17" s="20">
        <v>4281.8999999999996</v>
      </c>
      <c r="Z17" s="20">
        <v>4281.8999999999996</v>
      </c>
      <c r="AA17" s="20">
        <v>4281.8999999999996</v>
      </c>
      <c r="AB17" s="20">
        <v>4281.8999999999996</v>
      </c>
      <c r="AC17" s="20">
        <v>4281.8999999999996</v>
      </c>
      <c r="AD17" s="20">
        <v>4281.8999999999996</v>
      </c>
      <c r="AE17" s="17">
        <f t="shared" si="10"/>
        <v>0</v>
      </c>
    </row>
    <row r="18" spans="1:31" x14ac:dyDescent="0.3">
      <c r="A18" t="s">
        <v>340</v>
      </c>
      <c r="B18" s="17">
        <v>17832.46</v>
      </c>
      <c r="C18" s="17">
        <v>0</v>
      </c>
      <c r="D18" s="17">
        <v>0</v>
      </c>
      <c r="E18" s="17">
        <v>0</v>
      </c>
      <c r="F18" s="17">
        <f t="shared" si="1"/>
        <v>17832.46</v>
      </c>
      <c r="G18" s="17">
        <v>10160.94</v>
      </c>
      <c r="H18" s="21">
        <v>228.79</v>
      </c>
      <c r="I18" s="17">
        <f t="shared" si="2"/>
        <v>0</v>
      </c>
      <c r="J18" s="17">
        <f t="shared" si="3"/>
        <v>0</v>
      </c>
      <c r="K18" s="22">
        <v>-5373.57</v>
      </c>
      <c r="L18" s="17">
        <f t="shared" si="4"/>
        <v>5016.1600000000017</v>
      </c>
      <c r="M18" s="18">
        <f t="shared" si="5"/>
        <v>0.28129377550825863</v>
      </c>
      <c r="N18" s="7" t="s">
        <v>18</v>
      </c>
      <c r="O18" s="55">
        <f t="shared" si="6"/>
        <v>-5144.78</v>
      </c>
      <c r="P18" s="19"/>
      <c r="Q18" s="19">
        <f t="shared" si="7"/>
        <v>0</v>
      </c>
      <c r="R18" s="19">
        <f t="shared" si="8"/>
        <v>0</v>
      </c>
      <c r="U18" s="20">
        <f t="shared" si="9"/>
        <v>514.47799999999995</v>
      </c>
      <c r="V18" s="20">
        <v>514.47799999999995</v>
      </c>
      <c r="W18" s="20">
        <v>514.47799999999995</v>
      </c>
      <c r="X18" s="20">
        <v>514.47799999999995</v>
      </c>
      <c r="Y18" s="20">
        <v>514.47799999999995</v>
      </c>
      <c r="Z18" s="20">
        <v>514.47799999999995</v>
      </c>
      <c r="AA18" s="20">
        <v>514.47799999999995</v>
      </c>
      <c r="AB18" s="20">
        <v>514.47799999999995</v>
      </c>
      <c r="AC18" s="20">
        <v>514.47799999999995</v>
      </c>
      <c r="AD18" s="20">
        <v>514.47799999999995</v>
      </c>
      <c r="AE18" s="17">
        <f t="shared" si="10"/>
        <v>0</v>
      </c>
    </row>
    <row r="19" spans="1:31" x14ac:dyDescent="0.3">
      <c r="A19" t="s">
        <v>341</v>
      </c>
      <c r="B19" s="17">
        <v>5014.01</v>
      </c>
      <c r="C19" s="17">
        <v>0</v>
      </c>
      <c r="D19" s="17">
        <v>0</v>
      </c>
      <c r="E19" s="17">
        <v>0</v>
      </c>
      <c r="F19" s="17">
        <f t="shared" si="1"/>
        <v>5014.01</v>
      </c>
      <c r="G19" s="17">
        <v>2856.98</v>
      </c>
      <c r="H19" s="21">
        <v>61.75</v>
      </c>
      <c r="I19" s="17">
        <f t="shared" si="2"/>
        <v>0</v>
      </c>
      <c r="J19" s="17">
        <f t="shared" si="3"/>
        <v>0</v>
      </c>
      <c r="K19" s="22">
        <v>-1508.32</v>
      </c>
      <c r="L19" s="17">
        <f t="shared" si="4"/>
        <v>1410.41</v>
      </c>
      <c r="M19" s="18">
        <f t="shared" si="5"/>
        <v>0.28129381473112341</v>
      </c>
      <c r="N19" s="7" t="s">
        <v>18</v>
      </c>
      <c r="O19" s="55">
        <f t="shared" si="6"/>
        <v>-1446.57</v>
      </c>
      <c r="P19" s="19"/>
      <c r="Q19" s="19">
        <f t="shared" si="7"/>
        <v>0</v>
      </c>
      <c r="R19" s="19">
        <f t="shared" si="8"/>
        <v>0</v>
      </c>
      <c r="U19" s="20">
        <f t="shared" si="9"/>
        <v>144.65699999999998</v>
      </c>
      <c r="V19" s="20">
        <v>144.65699999999998</v>
      </c>
      <c r="W19" s="20">
        <v>144.65699999999998</v>
      </c>
      <c r="X19" s="20">
        <v>144.65699999999998</v>
      </c>
      <c r="Y19" s="20">
        <v>144.65699999999998</v>
      </c>
      <c r="Z19" s="20">
        <v>144.65699999999998</v>
      </c>
      <c r="AA19" s="20">
        <v>144.65699999999998</v>
      </c>
      <c r="AB19" s="20">
        <v>144.65699999999998</v>
      </c>
      <c r="AC19" s="20">
        <v>144.65699999999998</v>
      </c>
      <c r="AD19" s="20">
        <v>144.65699999999998</v>
      </c>
      <c r="AE19" s="17">
        <f t="shared" si="10"/>
        <v>0</v>
      </c>
    </row>
    <row r="20" spans="1:31" x14ac:dyDescent="0.3">
      <c r="A20" t="s">
        <v>342</v>
      </c>
      <c r="B20" s="17">
        <v>299659.84000000003</v>
      </c>
      <c r="C20" s="17">
        <v>0</v>
      </c>
      <c r="D20" s="17">
        <v>0</v>
      </c>
      <c r="E20" s="17">
        <v>0</v>
      </c>
      <c r="F20" s="17">
        <f t="shared" si="1"/>
        <v>299659.84000000003</v>
      </c>
      <c r="G20" s="17">
        <v>170746.34</v>
      </c>
      <c r="H20" s="21">
        <v>3557.59</v>
      </c>
      <c r="I20" s="17">
        <f t="shared" si="2"/>
        <v>0</v>
      </c>
      <c r="J20" s="17">
        <f t="shared" si="3"/>
        <v>0</v>
      </c>
      <c r="K20" s="22">
        <v>-90011.42</v>
      </c>
      <c r="L20" s="17">
        <f t="shared" si="4"/>
        <v>84292.51</v>
      </c>
      <c r="M20" s="18">
        <f t="shared" si="5"/>
        <v>0.28129398320442267</v>
      </c>
      <c r="N20" s="7" t="s">
        <v>18</v>
      </c>
      <c r="O20" s="55">
        <f t="shared" si="6"/>
        <v>-86453.83</v>
      </c>
      <c r="P20" s="19"/>
      <c r="Q20" s="19">
        <f t="shared" si="7"/>
        <v>0</v>
      </c>
      <c r="R20" s="19">
        <f t="shared" si="8"/>
        <v>0</v>
      </c>
      <c r="U20" s="20">
        <f t="shared" si="9"/>
        <v>8645.3829999999998</v>
      </c>
      <c r="V20" s="20">
        <v>8645.3829999999998</v>
      </c>
      <c r="W20" s="20">
        <v>8645.3829999999998</v>
      </c>
      <c r="X20" s="20">
        <v>8645.3829999999998</v>
      </c>
      <c r="Y20" s="20">
        <v>8645.3829999999998</v>
      </c>
      <c r="Z20" s="20">
        <v>8645.3829999999998</v>
      </c>
      <c r="AA20" s="20">
        <v>8645.3829999999998</v>
      </c>
      <c r="AB20" s="20">
        <v>8645.3829999999998</v>
      </c>
      <c r="AC20" s="20">
        <v>8645.3829999999998</v>
      </c>
      <c r="AD20" s="20">
        <v>8645.3829999999998</v>
      </c>
      <c r="AE20" s="17">
        <f t="shared" si="10"/>
        <v>0</v>
      </c>
    </row>
    <row r="21" spans="1:31" x14ac:dyDescent="0.3">
      <c r="A21" t="s">
        <v>343</v>
      </c>
      <c r="B21" s="17">
        <v>397.09</v>
      </c>
      <c r="C21" s="17">
        <v>0</v>
      </c>
      <c r="D21" s="17">
        <v>0</v>
      </c>
      <c r="E21" s="17">
        <v>0</v>
      </c>
      <c r="F21" s="17">
        <f t="shared" si="1"/>
        <v>397.09</v>
      </c>
      <c r="G21" s="17">
        <v>226.25</v>
      </c>
      <c r="H21" s="21">
        <v>4.93</v>
      </c>
      <c r="I21" s="17">
        <f t="shared" si="2"/>
        <v>0</v>
      </c>
      <c r="J21" s="17">
        <f t="shared" si="3"/>
        <v>0</v>
      </c>
      <c r="K21" s="22">
        <v>-119.48</v>
      </c>
      <c r="L21" s="17">
        <f t="shared" si="4"/>
        <v>111.7</v>
      </c>
      <c r="M21" s="18">
        <f t="shared" si="5"/>
        <v>0.2812964315394495</v>
      </c>
      <c r="N21" s="7" t="s">
        <v>18</v>
      </c>
      <c r="O21" s="55">
        <f t="shared" si="6"/>
        <v>-114.55000000000001</v>
      </c>
      <c r="P21" s="19"/>
      <c r="Q21" s="19">
        <f t="shared" si="7"/>
        <v>0</v>
      </c>
      <c r="R21" s="19">
        <f t="shared" si="8"/>
        <v>0</v>
      </c>
      <c r="U21" s="20">
        <f t="shared" si="9"/>
        <v>11.455000000000002</v>
      </c>
      <c r="V21" s="20">
        <v>11.455000000000002</v>
      </c>
      <c r="W21" s="20">
        <v>11.455000000000002</v>
      </c>
      <c r="X21" s="20">
        <v>11.455000000000002</v>
      </c>
      <c r="Y21" s="20">
        <v>11.455000000000002</v>
      </c>
      <c r="Z21" s="20">
        <v>11.455000000000002</v>
      </c>
      <c r="AA21" s="20">
        <v>11.455000000000002</v>
      </c>
      <c r="AB21" s="20">
        <v>11.455000000000002</v>
      </c>
      <c r="AC21" s="20">
        <v>11.455000000000002</v>
      </c>
      <c r="AD21" s="20">
        <v>11.455000000000002</v>
      </c>
      <c r="AE21" s="17">
        <f t="shared" si="10"/>
        <v>0</v>
      </c>
    </row>
    <row r="22" spans="1:31" x14ac:dyDescent="0.3">
      <c r="A22" t="s">
        <v>344</v>
      </c>
      <c r="B22" s="17">
        <v>125422.32</v>
      </c>
      <c r="C22" s="17">
        <v>0</v>
      </c>
      <c r="D22" s="17">
        <v>0</v>
      </c>
      <c r="E22" s="17">
        <v>0</v>
      </c>
      <c r="F22" s="17">
        <f t="shared" si="1"/>
        <v>125422.32</v>
      </c>
      <c r="G22" s="17">
        <v>71465.710000000006</v>
      </c>
      <c r="H22" s="21">
        <v>1433.3</v>
      </c>
      <c r="I22" s="17">
        <f t="shared" si="2"/>
        <v>0</v>
      </c>
      <c r="J22" s="17">
        <f t="shared" si="3"/>
        <v>0</v>
      </c>
      <c r="K22" s="22">
        <v>-37618.47</v>
      </c>
      <c r="L22" s="17">
        <f t="shared" si="4"/>
        <v>35280.540000000008</v>
      </c>
      <c r="M22" s="18">
        <f t="shared" si="5"/>
        <v>0.28129395150719588</v>
      </c>
      <c r="N22" s="7" t="s">
        <v>18</v>
      </c>
      <c r="O22" s="55">
        <f t="shared" si="6"/>
        <v>-36185.17</v>
      </c>
      <c r="P22" s="19"/>
      <c r="Q22" s="19">
        <f t="shared" si="7"/>
        <v>0</v>
      </c>
      <c r="R22" s="19">
        <f t="shared" si="8"/>
        <v>0</v>
      </c>
      <c r="U22" s="20">
        <f t="shared" si="9"/>
        <v>3618.5169999999998</v>
      </c>
      <c r="V22" s="20">
        <v>3618.5169999999998</v>
      </c>
      <c r="W22" s="20">
        <v>3618.5169999999998</v>
      </c>
      <c r="X22" s="20">
        <v>3618.5169999999998</v>
      </c>
      <c r="Y22" s="20">
        <v>3618.5169999999998</v>
      </c>
      <c r="Z22" s="20">
        <v>3618.5169999999998</v>
      </c>
      <c r="AA22" s="20">
        <v>3618.5169999999998</v>
      </c>
      <c r="AB22" s="20">
        <v>3618.5169999999998</v>
      </c>
      <c r="AC22" s="20">
        <v>3618.5169999999998</v>
      </c>
      <c r="AD22" s="20">
        <v>3618.5169999999998</v>
      </c>
      <c r="AE22" s="17">
        <f t="shared" si="10"/>
        <v>0</v>
      </c>
    </row>
    <row r="23" spans="1:31" x14ac:dyDescent="0.3">
      <c r="A23" t="s">
        <v>345</v>
      </c>
      <c r="B23" s="17">
        <v>119054.97</v>
      </c>
      <c r="C23" s="17">
        <v>0</v>
      </c>
      <c r="D23" s="17">
        <v>0</v>
      </c>
      <c r="E23" s="17">
        <v>0</v>
      </c>
      <c r="F23" s="17">
        <f t="shared" si="1"/>
        <v>119054.97</v>
      </c>
      <c r="G23" s="17">
        <v>67837.600000000006</v>
      </c>
      <c r="H23" s="21">
        <v>1310.4000000000001</v>
      </c>
      <c r="I23" s="17">
        <f t="shared" si="2"/>
        <v>0</v>
      </c>
      <c r="J23" s="17">
        <f t="shared" si="3"/>
        <v>0</v>
      </c>
      <c r="K23" s="22">
        <v>-35658.559999999998</v>
      </c>
      <c r="L23" s="17">
        <f t="shared" si="4"/>
        <v>33489.440000000002</v>
      </c>
      <c r="M23" s="18">
        <f t="shared" si="5"/>
        <v>0.28129392666261643</v>
      </c>
      <c r="N23" s="7" t="s">
        <v>18</v>
      </c>
      <c r="O23" s="55">
        <f t="shared" si="6"/>
        <v>-34348.159999999996</v>
      </c>
      <c r="P23" s="19"/>
      <c r="Q23" s="19">
        <f t="shared" si="7"/>
        <v>0</v>
      </c>
      <c r="R23" s="19">
        <f t="shared" si="8"/>
        <v>0</v>
      </c>
      <c r="U23" s="20">
        <f t="shared" si="9"/>
        <v>3434.8159999999998</v>
      </c>
      <c r="V23" s="20">
        <v>3434.8159999999998</v>
      </c>
      <c r="W23" s="20">
        <v>3434.8159999999998</v>
      </c>
      <c r="X23" s="20">
        <v>3434.8159999999998</v>
      </c>
      <c r="Y23" s="20">
        <v>3434.8159999999998</v>
      </c>
      <c r="Z23" s="20">
        <v>3434.8159999999998</v>
      </c>
      <c r="AA23" s="20">
        <v>3434.8159999999998</v>
      </c>
      <c r="AB23" s="20">
        <v>3434.8159999999998</v>
      </c>
      <c r="AC23" s="20">
        <v>3434.8159999999998</v>
      </c>
      <c r="AD23" s="20">
        <v>3434.8159999999998</v>
      </c>
      <c r="AE23" s="17">
        <f t="shared" si="10"/>
        <v>0</v>
      </c>
    </row>
    <row r="24" spans="1:31" x14ac:dyDescent="0.3">
      <c r="A24" t="s">
        <v>346</v>
      </c>
      <c r="B24" s="17">
        <v>21364.42</v>
      </c>
      <c r="C24" s="17">
        <v>0</v>
      </c>
      <c r="D24" s="17">
        <v>0</v>
      </c>
      <c r="E24" s="17">
        <v>0</v>
      </c>
      <c r="F24" s="17">
        <f t="shared" si="1"/>
        <v>21364.42</v>
      </c>
      <c r="G24" s="17">
        <v>12173.46</v>
      </c>
      <c r="H24" s="21">
        <v>226.76</v>
      </c>
      <c r="I24" s="17">
        <f t="shared" si="2"/>
        <v>0</v>
      </c>
      <c r="J24" s="17">
        <f t="shared" si="3"/>
        <v>0</v>
      </c>
      <c r="K24" s="22">
        <v>-6390.54</v>
      </c>
      <c r="L24" s="17">
        <f t="shared" si="4"/>
        <v>6009.6799999999994</v>
      </c>
      <c r="M24" s="18">
        <f t="shared" si="5"/>
        <v>0.28129385211487135</v>
      </c>
      <c r="N24" s="7" t="s">
        <v>18</v>
      </c>
      <c r="O24" s="55">
        <f t="shared" si="6"/>
        <v>-6163.78</v>
      </c>
      <c r="P24" s="19"/>
      <c r="Q24" s="19">
        <f t="shared" si="7"/>
        <v>0</v>
      </c>
      <c r="R24" s="19">
        <f t="shared" si="8"/>
        <v>0</v>
      </c>
      <c r="U24" s="20">
        <f t="shared" si="9"/>
        <v>616.37799999999993</v>
      </c>
      <c r="V24" s="20">
        <v>616.37799999999993</v>
      </c>
      <c r="W24" s="20">
        <v>616.37799999999993</v>
      </c>
      <c r="X24" s="20">
        <v>616.37799999999993</v>
      </c>
      <c r="Y24" s="20">
        <v>616.37799999999993</v>
      </c>
      <c r="Z24" s="20">
        <v>616.37799999999993</v>
      </c>
      <c r="AA24" s="20">
        <v>616.37799999999993</v>
      </c>
      <c r="AB24" s="20">
        <v>616.37799999999993</v>
      </c>
      <c r="AC24" s="20">
        <v>616.37799999999993</v>
      </c>
      <c r="AD24" s="20">
        <v>616.37799999999993</v>
      </c>
      <c r="AE24" s="17">
        <f t="shared" si="10"/>
        <v>0</v>
      </c>
    </row>
    <row r="25" spans="1:31" x14ac:dyDescent="0.3">
      <c r="A25" t="s">
        <v>347</v>
      </c>
      <c r="B25" s="17">
        <v>2097.23</v>
      </c>
      <c r="C25" s="17">
        <v>0</v>
      </c>
      <c r="D25" s="17">
        <v>0</v>
      </c>
      <c r="E25" s="17">
        <v>0</v>
      </c>
      <c r="F25" s="17">
        <f t="shared" si="1"/>
        <v>2097.23</v>
      </c>
      <c r="G25" s="17">
        <v>1195.01</v>
      </c>
      <c r="H25" s="21">
        <v>21.57</v>
      </c>
      <c r="I25" s="17">
        <f t="shared" si="2"/>
        <v>0</v>
      </c>
      <c r="J25" s="17">
        <f t="shared" si="3"/>
        <v>0</v>
      </c>
      <c r="K25" s="22">
        <v>-626.63</v>
      </c>
      <c r="L25" s="17">
        <f t="shared" si="4"/>
        <v>589.94999999999993</v>
      </c>
      <c r="M25" s="18">
        <f t="shared" si="5"/>
        <v>0.28129961902128042</v>
      </c>
      <c r="N25" s="7" t="s">
        <v>18</v>
      </c>
      <c r="O25" s="55">
        <f t="shared" si="6"/>
        <v>-605.05999999999995</v>
      </c>
      <c r="P25" s="19"/>
      <c r="Q25" s="19">
        <f t="shared" si="7"/>
        <v>0</v>
      </c>
      <c r="R25" s="19">
        <f t="shared" si="8"/>
        <v>0</v>
      </c>
      <c r="U25" s="20">
        <f t="shared" si="9"/>
        <v>60.505999999999993</v>
      </c>
      <c r="V25" s="20">
        <v>60.505999999999993</v>
      </c>
      <c r="W25" s="20">
        <v>60.505999999999993</v>
      </c>
      <c r="X25" s="20">
        <v>60.505999999999993</v>
      </c>
      <c r="Y25" s="20">
        <v>60.505999999999993</v>
      </c>
      <c r="Z25" s="20">
        <v>60.505999999999993</v>
      </c>
      <c r="AA25" s="20">
        <v>60.505999999999993</v>
      </c>
      <c r="AB25" s="20">
        <v>60.505999999999993</v>
      </c>
      <c r="AC25" s="20">
        <v>60.505999999999993</v>
      </c>
      <c r="AD25" s="20">
        <v>60.505999999999993</v>
      </c>
      <c r="AE25" s="17">
        <f t="shared" si="10"/>
        <v>0</v>
      </c>
    </row>
    <row r="26" spans="1:31" x14ac:dyDescent="0.3">
      <c r="A26" t="s">
        <v>348</v>
      </c>
      <c r="B26" s="17">
        <v>-122411.12</v>
      </c>
      <c r="C26" s="17">
        <v>0</v>
      </c>
      <c r="D26" s="17">
        <v>0</v>
      </c>
      <c r="E26" s="17">
        <v>0</v>
      </c>
      <c r="F26" s="17">
        <f t="shared" si="1"/>
        <v>-122411.12</v>
      </c>
      <c r="G26" s="17">
        <v>-69749.919999999998</v>
      </c>
      <c r="H26" s="21">
        <v>17297.73</v>
      </c>
      <c r="I26" s="17">
        <f t="shared" si="2"/>
        <v>0</v>
      </c>
      <c r="J26" s="17">
        <f t="shared" si="3"/>
        <v>0</v>
      </c>
      <c r="K26" s="22">
        <v>18018.68</v>
      </c>
      <c r="L26" s="17">
        <f t="shared" si="4"/>
        <v>-34433.51</v>
      </c>
      <c r="M26" s="18">
        <f t="shared" si="5"/>
        <v>0.28129397067848089</v>
      </c>
      <c r="N26" s="7" t="s">
        <v>18</v>
      </c>
      <c r="O26" s="55">
        <f t="shared" si="6"/>
        <v>35316.410000000003</v>
      </c>
      <c r="P26" s="19"/>
      <c r="Q26" s="19">
        <f t="shared" si="7"/>
        <v>0</v>
      </c>
      <c r="R26" s="19">
        <f t="shared" si="8"/>
        <v>0</v>
      </c>
      <c r="U26" s="20">
        <f t="shared" si="9"/>
        <v>-3531.6410000000005</v>
      </c>
      <c r="V26" s="20">
        <v>-3531.6410000000005</v>
      </c>
      <c r="W26" s="20">
        <v>-3531.6410000000005</v>
      </c>
      <c r="X26" s="20">
        <v>-3531.6410000000005</v>
      </c>
      <c r="Y26" s="20">
        <v>-3531.6410000000005</v>
      </c>
      <c r="Z26" s="20">
        <v>-3531.6410000000005</v>
      </c>
      <c r="AA26" s="20">
        <v>-3531.6410000000005</v>
      </c>
      <c r="AB26" s="20">
        <v>-3531.6410000000005</v>
      </c>
      <c r="AC26" s="20">
        <v>-3531.6410000000005</v>
      </c>
      <c r="AD26" s="20">
        <v>-3531.6410000000005</v>
      </c>
      <c r="AE26" s="17">
        <f t="shared" si="10"/>
        <v>0</v>
      </c>
    </row>
    <row r="27" spans="1:31" x14ac:dyDescent="0.3">
      <c r="A27" t="s">
        <v>349</v>
      </c>
      <c r="B27" s="17">
        <v>-47754.96</v>
      </c>
      <c r="C27" s="17">
        <v>0</v>
      </c>
      <c r="D27" s="17">
        <v>0</v>
      </c>
      <c r="E27" s="17">
        <v>0</v>
      </c>
      <c r="F27" s="17">
        <f t="shared" si="1"/>
        <v>-47754.96</v>
      </c>
      <c r="G27" s="17">
        <v>-27210.799999999999</v>
      </c>
      <c r="H27" s="21">
        <v>13227.93</v>
      </c>
      <c r="I27" s="17">
        <f t="shared" si="2"/>
        <v>0</v>
      </c>
      <c r="J27" s="17">
        <f t="shared" si="3"/>
        <v>0</v>
      </c>
      <c r="K27" s="22">
        <v>549.69000000000005</v>
      </c>
      <c r="L27" s="17">
        <f t="shared" si="4"/>
        <v>-13433.179999999998</v>
      </c>
      <c r="M27" s="18">
        <f t="shared" si="5"/>
        <v>0.28129392213918719</v>
      </c>
      <c r="N27" s="7" t="s">
        <v>18</v>
      </c>
      <c r="O27" s="55">
        <f t="shared" si="6"/>
        <v>13777.62</v>
      </c>
      <c r="P27" s="19"/>
      <c r="Q27" s="19">
        <f t="shared" si="7"/>
        <v>0</v>
      </c>
      <c r="R27" s="19">
        <f t="shared" si="8"/>
        <v>0</v>
      </c>
      <c r="U27" s="20">
        <f t="shared" si="9"/>
        <v>-1377.7620000000002</v>
      </c>
      <c r="V27" s="20">
        <v>-1377.7620000000002</v>
      </c>
      <c r="W27" s="20">
        <v>-1377.7620000000002</v>
      </c>
      <c r="X27" s="20">
        <v>-1377.7620000000002</v>
      </c>
      <c r="Y27" s="20">
        <v>-1377.7620000000002</v>
      </c>
      <c r="Z27" s="20">
        <v>-1377.7620000000002</v>
      </c>
      <c r="AA27" s="20">
        <v>-1377.7620000000002</v>
      </c>
      <c r="AB27" s="20">
        <v>-1377.7620000000002</v>
      </c>
      <c r="AC27" s="20">
        <v>-1377.7620000000002</v>
      </c>
      <c r="AD27" s="20">
        <v>-1377.7620000000002</v>
      </c>
      <c r="AE27" s="17">
        <f t="shared" si="10"/>
        <v>0</v>
      </c>
    </row>
    <row r="28" spans="1:31" x14ac:dyDescent="0.3">
      <c r="A28" t="s">
        <v>350</v>
      </c>
      <c r="B28" s="17">
        <v>-327749.51</v>
      </c>
      <c r="C28" s="17">
        <v>0</v>
      </c>
      <c r="D28" s="17">
        <v>0</v>
      </c>
      <c r="E28" s="17">
        <v>0</v>
      </c>
      <c r="F28" s="17">
        <f t="shared" si="1"/>
        <v>-327749.51</v>
      </c>
      <c r="G28" s="17">
        <v>-186751.86</v>
      </c>
      <c r="H28" s="21">
        <v>94557.9</v>
      </c>
      <c r="I28" s="17">
        <f t="shared" si="2"/>
        <v>0</v>
      </c>
      <c r="J28" s="17">
        <f t="shared" si="3"/>
        <v>0</v>
      </c>
      <c r="K28" s="22">
        <v>0</v>
      </c>
      <c r="L28" s="17">
        <f t="shared" si="4"/>
        <v>-92193.959999999992</v>
      </c>
      <c r="M28" s="18">
        <f t="shared" si="5"/>
        <v>0.2812939674570375</v>
      </c>
      <c r="N28" s="7" t="s">
        <v>18</v>
      </c>
      <c r="O28" s="55">
        <f t="shared" si="6"/>
        <v>94557.9</v>
      </c>
      <c r="P28" s="19"/>
      <c r="Q28" s="19">
        <f t="shared" si="7"/>
        <v>0</v>
      </c>
      <c r="R28" s="19">
        <f t="shared" si="8"/>
        <v>0</v>
      </c>
      <c r="U28" s="20">
        <f t="shared" si="9"/>
        <v>-9455.7899999999991</v>
      </c>
      <c r="V28" s="20">
        <v>-9455.7899999999991</v>
      </c>
      <c r="W28" s="20">
        <v>-9455.7899999999991</v>
      </c>
      <c r="X28" s="20">
        <v>-9455.7899999999991</v>
      </c>
      <c r="Y28" s="20">
        <v>-9455.7899999999991</v>
      </c>
      <c r="Z28" s="20">
        <v>-9455.7899999999991</v>
      </c>
      <c r="AA28" s="20">
        <v>-9455.7899999999991</v>
      </c>
      <c r="AB28" s="20">
        <v>-9455.7899999999991</v>
      </c>
      <c r="AC28" s="20">
        <v>-9455.7899999999991</v>
      </c>
      <c r="AD28" s="20">
        <v>-9455.7899999999991</v>
      </c>
      <c r="AE28" s="17">
        <f t="shared" si="10"/>
        <v>0</v>
      </c>
    </row>
    <row r="29" spans="1:31" x14ac:dyDescent="0.3">
      <c r="A29" t="s">
        <v>351</v>
      </c>
      <c r="B29" s="17">
        <v>129679.79</v>
      </c>
      <c r="C29" s="17">
        <v>0</v>
      </c>
      <c r="D29" s="17">
        <v>0</v>
      </c>
      <c r="E29" s="17">
        <v>0</v>
      </c>
      <c r="F29" s="17">
        <f t="shared" si="1"/>
        <v>129679.79</v>
      </c>
      <c r="G29" s="17">
        <v>73891.63</v>
      </c>
      <c r="H29" s="21">
        <v>1728.72</v>
      </c>
      <c r="I29" s="17">
        <f t="shared" si="2"/>
        <v>0</v>
      </c>
      <c r="J29" s="17">
        <f t="shared" si="3"/>
        <v>0</v>
      </c>
      <c r="K29" s="22">
        <v>-39142.199999999997</v>
      </c>
      <c r="L29" s="17">
        <f t="shared" si="4"/>
        <v>36478.150000000009</v>
      </c>
      <c r="M29" s="18">
        <f t="shared" si="5"/>
        <v>0.28129402430401845</v>
      </c>
      <c r="N29" s="7" t="s">
        <v>18</v>
      </c>
      <c r="O29" s="55">
        <f t="shared" si="6"/>
        <v>-37413.479999999996</v>
      </c>
      <c r="P29" s="19"/>
      <c r="Q29" s="19">
        <f t="shared" si="7"/>
        <v>0</v>
      </c>
      <c r="R29" s="19">
        <f t="shared" si="8"/>
        <v>0</v>
      </c>
      <c r="U29" s="20">
        <f t="shared" si="9"/>
        <v>3741.3479999999995</v>
      </c>
      <c r="V29" s="20">
        <v>3741.3479999999995</v>
      </c>
      <c r="W29" s="20">
        <v>3741.3479999999995</v>
      </c>
      <c r="X29" s="20">
        <v>3741.3479999999995</v>
      </c>
      <c r="Y29" s="20">
        <v>3741.3479999999995</v>
      </c>
      <c r="Z29" s="20">
        <v>3741.3479999999995</v>
      </c>
      <c r="AA29" s="20">
        <v>3741.3479999999995</v>
      </c>
      <c r="AB29" s="20">
        <v>3741.3479999999995</v>
      </c>
      <c r="AC29" s="20">
        <v>3741.3479999999995</v>
      </c>
      <c r="AD29" s="20">
        <v>3741.3479999999995</v>
      </c>
      <c r="AE29" s="17">
        <f t="shared" si="10"/>
        <v>0</v>
      </c>
    </row>
    <row r="30" spans="1:31" x14ac:dyDescent="0.3">
      <c r="A30" t="s">
        <v>352</v>
      </c>
      <c r="B30" s="17">
        <v>2283.15</v>
      </c>
      <c r="C30" s="17">
        <v>0</v>
      </c>
      <c r="D30" s="17">
        <v>0</v>
      </c>
      <c r="E30" s="17">
        <v>0</v>
      </c>
      <c r="F30" s="17">
        <f t="shared" si="1"/>
        <v>2283.15</v>
      </c>
      <c r="G30" s="17">
        <v>1300.94</v>
      </c>
      <c r="H30" s="21">
        <v>30.3</v>
      </c>
      <c r="I30" s="17">
        <f t="shared" si="2"/>
        <v>0</v>
      </c>
      <c r="J30" s="17">
        <f t="shared" si="3"/>
        <v>0</v>
      </c>
      <c r="K30" s="22">
        <v>-689.01</v>
      </c>
      <c r="L30" s="17">
        <f t="shared" si="4"/>
        <v>642.23</v>
      </c>
      <c r="M30" s="18">
        <f t="shared" si="5"/>
        <v>0.2812911985633883</v>
      </c>
      <c r="N30" s="7" t="s">
        <v>18</v>
      </c>
      <c r="O30" s="55">
        <f t="shared" si="6"/>
        <v>-658.71</v>
      </c>
      <c r="P30" s="19"/>
      <c r="Q30" s="19">
        <f t="shared" si="7"/>
        <v>0</v>
      </c>
      <c r="R30" s="19">
        <f t="shared" si="8"/>
        <v>0</v>
      </c>
      <c r="U30" s="20">
        <f t="shared" si="9"/>
        <v>65.871000000000009</v>
      </c>
      <c r="V30" s="20">
        <v>65.871000000000009</v>
      </c>
      <c r="W30" s="20">
        <v>65.871000000000009</v>
      </c>
      <c r="X30" s="20">
        <v>65.871000000000009</v>
      </c>
      <c r="Y30" s="20">
        <v>65.871000000000009</v>
      </c>
      <c r="Z30" s="20">
        <v>65.871000000000009</v>
      </c>
      <c r="AA30" s="20">
        <v>65.871000000000009</v>
      </c>
      <c r="AB30" s="20">
        <v>65.871000000000009</v>
      </c>
      <c r="AC30" s="20">
        <v>65.871000000000009</v>
      </c>
      <c r="AD30" s="20">
        <v>65.871000000000009</v>
      </c>
      <c r="AE30" s="17">
        <f t="shared" si="10"/>
        <v>0</v>
      </c>
    </row>
    <row r="31" spans="1:31" x14ac:dyDescent="0.3">
      <c r="A31" t="s">
        <v>353</v>
      </c>
      <c r="B31" s="17">
        <v>1105595.05</v>
      </c>
      <c r="C31" s="17">
        <v>0</v>
      </c>
      <c r="D31" s="17">
        <v>0</v>
      </c>
      <c r="E31" s="17">
        <v>0</v>
      </c>
      <c r="F31" s="17">
        <f t="shared" si="1"/>
        <v>1105595.05</v>
      </c>
      <c r="G31" s="17">
        <v>629968.68999999994</v>
      </c>
      <c r="H31" s="21">
        <v>14192.8</v>
      </c>
      <c r="I31" s="17">
        <f t="shared" si="2"/>
        <v>0</v>
      </c>
      <c r="J31" s="17">
        <f t="shared" si="3"/>
        <v>0</v>
      </c>
      <c r="K31" s="22">
        <v>-333164.28999999998</v>
      </c>
      <c r="L31" s="17">
        <f t="shared" si="4"/>
        <v>310997.2</v>
      </c>
      <c r="M31" s="18">
        <f t="shared" si="5"/>
        <v>0.28129395116231753</v>
      </c>
      <c r="N31" s="7" t="s">
        <v>18</v>
      </c>
      <c r="O31" s="55">
        <f t="shared" si="6"/>
        <v>-318971.49</v>
      </c>
      <c r="P31" s="19"/>
      <c r="Q31" s="19">
        <f t="shared" si="7"/>
        <v>0</v>
      </c>
      <c r="R31" s="19">
        <f t="shared" si="8"/>
        <v>0</v>
      </c>
      <c r="U31" s="20">
        <f t="shared" si="9"/>
        <v>31897.148999999998</v>
      </c>
      <c r="V31" s="20">
        <v>31897.148999999998</v>
      </c>
      <c r="W31" s="20">
        <v>31897.148999999998</v>
      </c>
      <c r="X31" s="20">
        <v>31897.148999999998</v>
      </c>
      <c r="Y31" s="20">
        <v>31897.148999999998</v>
      </c>
      <c r="Z31" s="20">
        <v>31897.148999999998</v>
      </c>
      <c r="AA31" s="20">
        <v>31897.148999999998</v>
      </c>
      <c r="AB31" s="20">
        <v>31897.148999999998</v>
      </c>
      <c r="AC31" s="20">
        <v>31897.148999999998</v>
      </c>
      <c r="AD31" s="20">
        <v>31897.148999999998</v>
      </c>
      <c r="AE31" s="17">
        <f t="shared" si="10"/>
        <v>0</v>
      </c>
    </row>
    <row r="32" spans="1:31" x14ac:dyDescent="0.3">
      <c r="A32" t="s">
        <v>354</v>
      </c>
      <c r="B32" s="17">
        <v>703159.24</v>
      </c>
      <c r="C32" s="17">
        <v>0</v>
      </c>
      <c r="D32" s="17">
        <v>0</v>
      </c>
      <c r="E32" s="17">
        <v>0</v>
      </c>
      <c r="F32" s="17">
        <f t="shared" si="1"/>
        <v>703159.24</v>
      </c>
      <c r="G32" s="17">
        <v>400660.53</v>
      </c>
      <c r="H32" s="21">
        <v>8680.8799999999992</v>
      </c>
      <c r="I32" s="17">
        <f t="shared" si="2"/>
        <v>0</v>
      </c>
      <c r="J32" s="17">
        <f t="shared" si="3"/>
        <v>0</v>
      </c>
      <c r="K32" s="22">
        <v>-211546.98</v>
      </c>
      <c r="L32" s="17">
        <f t="shared" si="4"/>
        <v>197794.43000000002</v>
      </c>
      <c r="M32" s="18">
        <f t="shared" si="5"/>
        <v>0.28129393563824889</v>
      </c>
      <c r="N32" s="7" t="s">
        <v>18</v>
      </c>
      <c r="O32" s="55">
        <f t="shared" si="6"/>
        <v>-202866.1</v>
      </c>
      <c r="P32" s="19"/>
      <c r="Q32" s="19">
        <f t="shared" si="7"/>
        <v>0</v>
      </c>
      <c r="R32" s="19">
        <f t="shared" si="8"/>
        <v>0</v>
      </c>
      <c r="U32" s="20">
        <f t="shared" si="9"/>
        <v>20286.61</v>
      </c>
      <c r="V32" s="20">
        <v>20286.61</v>
      </c>
      <c r="W32" s="20">
        <v>20286.61</v>
      </c>
      <c r="X32" s="20">
        <v>20286.61</v>
      </c>
      <c r="Y32" s="20">
        <v>20286.61</v>
      </c>
      <c r="Z32" s="20">
        <v>20286.61</v>
      </c>
      <c r="AA32" s="20">
        <v>20286.61</v>
      </c>
      <c r="AB32" s="20">
        <v>20286.61</v>
      </c>
      <c r="AC32" s="20">
        <v>20286.61</v>
      </c>
      <c r="AD32" s="20">
        <v>20286.61</v>
      </c>
      <c r="AE32" s="17">
        <f t="shared" si="10"/>
        <v>0</v>
      </c>
    </row>
    <row r="33" spans="1:31" x14ac:dyDescent="0.3">
      <c r="A33" t="s">
        <v>355</v>
      </c>
      <c r="B33" s="17">
        <v>168850.53</v>
      </c>
      <c r="C33" s="17">
        <v>0</v>
      </c>
      <c r="D33" s="17">
        <v>0</v>
      </c>
      <c r="E33" s="17">
        <v>0</v>
      </c>
      <c r="F33" s="17">
        <f t="shared" si="1"/>
        <v>168850.53</v>
      </c>
      <c r="G33" s="17">
        <v>96211.13</v>
      </c>
      <c r="H33" s="21">
        <v>2084.4699999999998</v>
      </c>
      <c r="I33" s="17">
        <f t="shared" si="2"/>
        <v>0</v>
      </c>
      <c r="J33" s="17">
        <f t="shared" si="3"/>
        <v>0</v>
      </c>
      <c r="K33" s="22">
        <v>-50798.98</v>
      </c>
      <c r="L33" s="17">
        <f t="shared" si="4"/>
        <v>47496.62</v>
      </c>
      <c r="M33" s="18">
        <f t="shared" si="5"/>
        <v>0.28129387571362674</v>
      </c>
      <c r="N33" s="7" t="s">
        <v>18</v>
      </c>
      <c r="O33" s="55">
        <f t="shared" si="6"/>
        <v>-48714.51</v>
      </c>
      <c r="P33" s="19"/>
      <c r="Q33" s="19">
        <f t="shared" si="7"/>
        <v>0</v>
      </c>
      <c r="R33" s="19">
        <f t="shared" si="8"/>
        <v>0</v>
      </c>
      <c r="U33" s="20">
        <f t="shared" si="9"/>
        <v>4871.451</v>
      </c>
      <c r="V33" s="20">
        <v>4871.451</v>
      </c>
      <c r="W33" s="20">
        <v>4871.451</v>
      </c>
      <c r="X33" s="20">
        <v>4871.451</v>
      </c>
      <c r="Y33" s="20">
        <v>4871.451</v>
      </c>
      <c r="Z33" s="20">
        <v>4871.451</v>
      </c>
      <c r="AA33" s="20">
        <v>4871.451</v>
      </c>
      <c r="AB33" s="20">
        <v>4871.451</v>
      </c>
      <c r="AC33" s="20">
        <v>4871.451</v>
      </c>
      <c r="AD33" s="20">
        <v>4871.451</v>
      </c>
      <c r="AE33" s="17">
        <f t="shared" si="10"/>
        <v>0</v>
      </c>
    </row>
    <row r="34" spans="1:31" x14ac:dyDescent="0.3">
      <c r="A34" t="s">
        <v>356</v>
      </c>
      <c r="B34" s="17">
        <v>1286919.57</v>
      </c>
      <c r="C34" s="17">
        <v>0</v>
      </c>
      <c r="D34" s="17">
        <v>0</v>
      </c>
      <c r="E34" s="17">
        <v>0</v>
      </c>
      <c r="F34" s="17">
        <f t="shared" si="1"/>
        <v>1286919.57</v>
      </c>
      <c r="G34" s="17">
        <v>733287.51</v>
      </c>
      <c r="H34" s="21">
        <v>15888.05</v>
      </c>
      <c r="I34" s="17">
        <f t="shared" si="2"/>
        <v>0</v>
      </c>
      <c r="J34" s="17">
        <f t="shared" si="3"/>
        <v>0</v>
      </c>
      <c r="K34" s="22">
        <v>-387172.86</v>
      </c>
      <c r="L34" s="17">
        <f t="shared" si="4"/>
        <v>362002.70000000007</v>
      </c>
      <c r="M34" s="18">
        <f t="shared" si="5"/>
        <v>0.28129395840953764</v>
      </c>
      <c r="N34" s="7" t="s">
        <v>18</v>
      </c>
      <c r="O34" s="55">
        <f t="shared" si="6"/>
        <v>-371284.81</v>
      </c>
      <c r="P34" s="19"/>
      <c r="Q34" s="19">
        <f t="shared" si="7"/>
        <v>0</v>
      </c>
      <c r="R34" s="19">
        <f t="shared" si="8"/>
        <v>0</v>
      </c>
      <c r="S34" s="21">
        <f>SUM(H12:H40)</f>
        <v>224179.15999999992</v>
      </c>
      <c r="U34" s="20">
        <f t="shared" si="9"/>
        <v>37128.481</v>
      </c>
      <c r="V34" s="20">
        <v>37128.481</v>
      </c>
      <c r="W34" s="20">
        <v>37128.481</v>
      </c>
      <c r="X34" s="20">
        <v>37128.481</v>
      </c>
      <c r="Y34" s="20">
        <v>37128.481</v>
      </c>
      <c r="Z34" s="20">
        <v>37128.481</v>
      </c>
      <c r="AA34" s="20">
        <v>37128.481</v>
      </c>
      <c r="AB34" s="20">
        <v>37128.481</v>
      </c>
      <c r="AC34" s="20">
        <v>37128.481</v>
      </c>
      <c r="AD34" s="20">
        <v>37128.481</v>
      </c>
      <c r="AE34" s="17">
        <f t="shared" si="10"/>
        <v>0</v>
      </c>
    </row>
    <row r="35" spans="1:31" x14ac:dyDescent="0.3">
      <c r="A35" t="s">
        <v>357</v>
      </c>
      <c r="B35" s="17">
        <v>737252.64</v>
      </c>
      <c r="C35" s="17">
        <v>0</v>
      </c>
      <c r="D35" s="17">
        <v>0</v>
      </c>
      <c r="E35" s="17">
        <v>0</v>
      </c>
      <c r="F35" s="17">
        <f t="shared" si="1"/>
        <v>737252.64</v>
      </c>
      <c r="G35" s="17">
        <v>420086.97</v>
      </c>
      <c r="H35" s="21">
        <v>9102.1</v>
      </c>
      <c r="I35" s="17">
        <f t="shared" si="2"/>
        <v>0</v>
      </c>
      <c r="J35" s="17">
        <f t="shared" si="3"/>
        <v>0</v>
      </c>
      <c r="K35" s="22">
        <v>-221804.36</v>
      </c>
      <c r="L35" s="17">
        <f t="shared" si="4"/>
        <v>207384.70999999996</v>
      </c>
      <c r="M35" s="18">
        <f t="shared" si="5"/>
        <v>0.28129395372527927</v>
      </c>
      <c r="N35" s="7" t="s">
        <v>18</v>
      </c>
      <c r="O35" s="55">
        <f t="shared" si="6"/>
        <v>-212702.25999999998</v>
      </c>
      <c r="P35" s="19"/>
      <c r="Q35" s="19">
        <f t="shared" si="7"/>
        <v>0</v>
      </c>
      <c r="R35" s="19">
        <f t="shared" si="8"/>
        <v>0</v>
      </c>
      <c r="S35" s="22">
        <f>SUM(K12:K40)</f>
        <v>-2383464.0399999996</v>
      </c>
      <c r="U35" s="20">
        <f t="shared" si="9"/>
        <v>21270.225999999999</v>
      </c>
      <c r="V35" s="20">
        <v>21270.225999999999</v>
      </c>
      <c r="W35" s="20">
        <v>21270.225999999999</v>
      </c>
      <c r="X35" s="20">
        <v>21270.225999999999</v>
      </c>
      <c r="Y35" s="20">
        <v>21270.225999999999</v>
      </c>
      <c r="Z35" s="20">
        <v>21270.225999999999</v>
      </c>
      <c r="AA35" s="20">
        <v>21270.225999999999</v>
      </c>
      <c r="AB35" s="20">
        <v>21270.225999999999</v>
      </c>
      <c r="AC35" s="20">
        <v>21270.225999999999</v>
      </c>
      <c r="AD35" s="20">
        <v>21270.225999999999</v>
      </c>
      <c r="AE35" s="17">
        <f t="shared" si="10"/>
        <v>0</v>
      </c>
    </row>
    <row r="36" spans="1:31" x14ac:dyDescent="0.3">
      <c r="A36" t="s">
        <v>358</v>
      </c>
      <c r="B36" s="17">
        <v>28182.23</v>
      </c>
      <c r="C36" s="17">
        <v>0</v>
      </c>
      <c r="D36" s="17">
        <v>0</v>
      </c>
      <c r="E36" s="17">
        <v>0</v>
      </c>
      <c r="F36" s="17">
        <f t="shared" si="1"/>
        <v>28182.23</v>
      </c>
      <c r="G36" s="17">
        <v>16058.25</v>
      </c>
      <c r="H36" s="21">
        <v>334.4</v>
      </c>
      <c r="I36" s="17">
        <f t="shared" si="2"/>
        <v>0</v>
      </c>
      <c r="J36" s="17">
        <f t="shared" si="3"/>
        <v>0</v>
      </c>
      <c r="K36" s="22">
        <v>-8465.16</v>
      </c>
      <c r="L36" s="17">
        <f t="shared" si="4"/>
        <v>7927.4900000000016</v>
      </c>
      <c r="M36" s="18">
        <f t="shared" si="5"/>
        <v>0.28129392173720824</v>
      </c>
      <c r="N36" s="7" t="s">
        <v>18</v>
      </c>
      <c r="O36" s="55">
        <f t="shared" si="6"/>
        <v>-8130.76</v>
      </c>
      <c r="P36" s="19"/>
      <c r="Q36" s="19">
        <f t="shared" si="7"/>
        <v>0</v>
      </c>
      <c r="R36" s="19">
        <f t="shared" si="8"/>
        <v>0</v>
      </c>
      <c r="S36" s="17">
        <f>+H82</f>
        <v>-3241948.01</v>
      </c>
      <c r="U36" s="20">
        <f t="shared" si="9"/>
        <v>813.07600000000002</v>
      </c>
      <c r="V36" s="20">
        <v>813.07600000000002</v>
      </c>
      <c r="W36" s="20">
        <v>813.07600000000002</v>
      </c>
      <c r="X36" s="20">
        <v>813.07600000000002</v>
      </c>
      <c r="Y36" s="20">
        <v>813.07600000000002</v>
      </c>
      <c r="Z36" s="20">
        <v>813.07600000000002</v>
      </c>
      <c r="AA36" s="20">
        <v>813.07600000000002</v>
      </c>
      <c r="AB36" s="20">
        <v>813.07600000000002</v>
      </c>
      <c r="AC36" s="20">
        <v>813.07600000000002</v>
      </c>
      <c r="AD36" s="20">
        <v>813.07600000000002</v>
      </c>
      <c r="AE36" s="17">
        <f t="shared" si="10"/>
        <v>0</v>
      </c>
    </row>
    <row r="37" spans="1:31" x14ac:dyDescent="0.3">
      <c r="A37" t="s">
        <v>359</v>
      </c>
      <c r="B37" s="17">
        <v>26418.77</v>
      </c>
      <c r="C37" s="17">
        <v>0</v>
      </c>
      <c r="D37" s="17">
        <v>0</v>
      </c>
      <c r="E37" s="17">
        <v>0</v>
      </c>
      <c r="F37" s="17">
        <f t="shared" si="1"/>
        <v>26418.77</v>
      </c>
      <c r="G37" s="17">
        <v>15053.43</v>
      </c>
      <c r="H37" s="21">
        <v>301.77999999999997</v>
      </c>
      <c r="I37" s="17">
        <f t="shared" si="2"/>
        <v>0</v>
      </c>
      <c r="J37" s="17">
        <f t="shared" si="3"/>
        <v>0</v>
      </c>
      <c r="K37" s="22">
        <v>-7923.77</v>
      </c>
      <c r="L37" s="17">
        <f t="shared" si="4"/>
        <v>7431.4400000000005</v>
      </c>
      <c r="M37" s="18">
        <f t="shared" si="5"/>
        <v>0.28129394366202515</v>
      </c>
      <c r="N37" s="7" t="s">
        <v>18</v>
      </c>
      <c r="O37" s="55">
        <f t="shared" si="6"/>
        <v>-7621.9900000000007</v>
      </c>
      <c r="P37" s="19"/>
      <c r="Q37" s="19">
        <f t="shared" si="7"/>
        <v>0</v>
      </c>
      <c r="R37" s="19">
        <f t="shared" si="8"/>
        <v>0</v>
      </c>
      <c r="S37" s="17">
        <f>+K82</f>
        <v>-914681.67</v>
      </c>
      <c r="U37" s="20">
        <f t="shared" si="9"/>
        <v>762.19900000000007</v>
      </c>
      <c r="V37" s="20">
        <v>762.19900000000007</v>
      </c>
      <c r="W37" s="20">
        <v>762.19900000000007</v>
      </c>
      <c r="X37" s="20">
        <v>762.19900000000007</v>
      </c>
      <c r="Y37" s="20">
        <v>762.19900000000007</v>
      </c>
      <c r="Z37" s="20">
        <v>762.19900000000007</v>
      </c>
      <c r="AA37" s="20">
        <v>762.19900000000007</v>
      </c>
      <c r="AB37" s="20">
        <v>762.19900000000007</v>
      </c>
      <c r="AC37" s="20">
        <v>762.19900000000007</v>
      </c>
      <c r="AD37" s="20">
        <v>762.19900000000007</v>
      </c>
      <c r="AE37" s="17">
        <f t="shared" si="10"/>
        <v>0</v>
      </c>
    </row>
    <row r="38" spans="1:31" x14ac:dyDescent="0.3">
      <c r="A38" t="s">
        <v>360</v>
      </c>
      <c r="B38" s="17">
        <v>2009194.5</v>
      </c>
      <c r="C38" s="17">
        <v>0</v>
      </c>
      <c r="D38" s="17">
        <v>0</v>
      </c>
      <c r="E38" s="17">
        <v>0</v>
      </c>
      <c r="F38" s="17">
        <f t="shared" si="1"/>
        <v>2009194.5</v>
      </c>
      <c r="G38" s="17">
        <v>1144840.18</v>
      </c>
      <c r="H38" s="21">
        <v>24804.93</v>
      </c>
      <c r="I38" s="17">
        <f t="shared" si="2"/>
        <v>0</v>
      </c>
      <c r="J38" s="17">
        <f t="shared" si="3"/>
        <v>0</v>
      </c>
      <c r="K38" s="22">
        <v>-604470.85</v>
      </c>
      <c r="L38" s="17">
        <f t="shared" si="4"/>
        <v>565174.25999999989</v>
      </c>
      <c r="M38" s="18">
        <f t="shared" si="5"/>
        <v>0.28129395138200902</v>
      </c>
      <c r="N38" s="7" t="s">
        <v>18</v>
      </c>
      <c r="O38" s="55">
        <f t="shared" si="6"/>
        <v>-579665.91999999993</v>
      </c>
      <c r="P38" s="19"/>
      <c r="Q38" s="19">
        <f t="shared" si="7"/>
        <v>0</v>
      </c>
      <c r="R38" s="19">
        <f t="shared" si="8"/>
        <v>0</v>
      </c>
      <c r="S38" s="24">
        <f>SUM(S34:S37)</f>
        <v>-6315914.5599999996</v>
      </c>
      <c r="T38" t="s">
        <v>361</v>
      </c>
      <c r="U38" s="20">
        <f t="shared" si="9"/>
        <v>57966.59199999999</v>
      </c>
      <c r="V38" s="20">
        <v>57966.59199999999</v>
      </c>
      <c r="W38" s="20">
        <v>57966.59199999999</v>
      </c>
      <c r="X38" s="20">
        <v>57966.59199999999</v>
      </c>
      <c r="Y38" s="20">
        <v>57966.59199999999</v>
      </c>
      <c r="Z38" s="20">
        <v>57966.59199999999</v>
      </c>
      <c r="AA38" s="20">
        <v>57966.59199999999</v>
      </c>
      <c r="AB38" s="20">
        <v>57966.59199999999</v>
      </c>
      <c r="AC38" s="20">
        <v>57966.59199999999</v>
      </c>
      <c r="AD38" s="20">
        <v>57966.59199999999</v>
      </c>
      <c r="AE38" s="17">
        <f t="shared" si="10"/>
        <v>0</v>
      </c>
    </row>
    <row r="39" spans="1:31" x14ac:dyDescent="0.3">
      <c r="A39" t="s">
        <v>362</v>
      </c>
      <c r="B39" s="17">
        <v>539795.27</v>
      </c>
      <c r="C39" s="17">
        <v>0</v>
      </c>
      <c r="D39" s="17">
        <v>0</v>
      </c>
      <c r="E39" s="17">
        <v>0</v>
      </c>
      <c r="F39" s="17">
        <f t="shared" si="1"/>
        <v>539795.27</v>
      </c>
      <c r="G39" s="17">
        <v>307575.65000000002</v>
      </c>
      <c r="H39" s="21">
        <v>6664.21</v>
      </c>
      <c r="I39" s="17">
        <f t="shared" si="2"/>
        <v>0</v>
      </c>
      <c r="J39" s="17">
        <f t="shared" si="3"/>
        <v>0</v>
      </c>
      <c r="K39" s="22">
        <v>-162398.72</v>
      </c>
      <c r="L39" s="17">
        <f t="shared" si="4"/>
        <v>151841.14000000004</v>
      </c>
      <c r="M39" s="18">
        <f t="shared" si="5"/>
        <v>0.28129394316478551</v>
      </c>
      <c r="N39" s="7" t="s">
        <v>18</v>
      </c>
      <c r="O39" s="55">
        <f t="shared" si="6"/>
        <v>-155734.51</v>
      </c>
      <c r="P39" s="19"/>
      <c r="Q39" s="19">
        <f t="shared" si="7"/>
        <v>0</v>
      </c>
      <c r="R39" s="19">
        <f t="shared" si="8"/>
        <v>0</v>
      </c>
      <c r="U39" s="20">
        <f t="shared" si="9"/>
        <v>15573.451000000001</v>
      </c>
      <c r="V39" s="20">
        <v>15573.451000000001</v>
      </c>
      <c r="W39" s="20">
        <v>15573.451000000001</v>
      </c>
      <c r="X39" s="20">
        <v>15573.451000000001</v>
      </c>
      <c r="Y39" s="20">
        <v>15573.451000000001</v>
      </c>
      <c r="Z39" s="20">
        <v>15573.451000000001</v>
      </c>
      <c r="AA39" s="20">
        <v>15573.451000000001</v>
      </c>
      <c r="AB39" s="20">
        <v>15573.451000000001</v>
      </c>
      <c r="AC39" s="20">
        <v>15573.451000000001</v>
      </c>
      <c r="AD39" s="20">
        <v>15573.451000000001</v>
      </c>
      <c r="AE39" s="17">
        <f t="shared" si="10"/>
        <v>0</v>
      </c>
    </row>
    <row r="40" spans="1:31" x14ac:dyDescent="0.3">
      <c r="A40" t="s">
        <v>363</v>
      </c>
      <c r="B40" s="17">
        <v>260111.54</v>
      </c>
      <c r="C40" s="17">
        <v>0</v>
      </c>
      <c r="D40" s="17">
        <v>0</v>
      </c>
      <c r="E40" s="17">
        <v>0</v>
      </c>
      <c r="F40" s="17">
        <f t="shared" si="1"/>
        <v>260111.54</v>
      </c>
      <c r="G40" s="17">
        <v>148211.70000000001</v>
      </c>
      <c r="H40" s="21">
        <v>3211.36</v>
      </c>
      <c r="I40" s="17">
        <f t="shared" si="2"/>
        <v>0</v>
      </c>
      <c r="J40" s="17">
        <f t="shared" si="3"/>
        <v>0</v>
      </c>
      <c r="K40" s="22">
        <v>-78255.259999999995</v>
      </c>
      <c r="L40" s="17">
        <f t="shared" si="4"/>
        <v>73167.8</v>
      </c>
      <c r="M40" s="18">
        <f t="shared" si="5"/>
        <v>0.28129394028423343</v>
      </c>
      <c r="N40" s="7" t="s">
        <v>18</v>
      </c>
      <c r="O40" s="55">
        <f t="shared" si="6"/>
        <v>-75043.899999999994</v>
      </c>
      <c r="P40" s="19"/>
      <c r="Q40" s="19">
        <f t="shared" si="7"/>
        <v>0</v>
      </c>
      <c r="R40" s="19">
        <f t="shared" si="8"/>
        <v>0</v>
      </c>
      <c r="U40" s="20">
        <f t="shared" si="9"/>
        <v>7504.3899999999994</v>
      </c>
      <c r="V40" s="20">
        <v>7504.3899999999994</v>
      </c>
      <c r="W40" s="20">
        <v>7504.3899999999994</v>
      </c>
      <c r="X40" s="20">
        <v>7504.3899999999994</v>
      </c>
      <c r="Y40" s="20">
        <v>7504.3899999999994</v>
      </c>
      <c r="Z40" s="20">
        <v>7504.3899999999994</v>
      </c>
      <c r="AA40" s="20">
        <v>7504.3899999999994</v>
      </c>
      <c r="AB40" s="20">
        <v>7504.3899999999994</v>
      </c>
      <c r="AC40" s="20">
        <v>7504.3899999999994</v>
      </c>
      <c r="AD40" s="20">
        <v>7504.3899999999994</v>
      </c>
      <c r="AE40" s="17">
        <f t="shared" si="10"/>
        <v>0</v>
      </c>
    </row>
    <row r="41" spans="1:31" x14ac:dyDescent="0.3">
      <c r="A41" t="s">
        <v>131</v>
      </c>
      <c r="B41" s="17">
        <v>13766654.119999999</v>
      </c>
      <c r="C41" s="17">
        <v>0</v>
      </c>
      <c r="D41" s="17">
        <v>0</v>
      </c>
      <c r="E41" s="17">
        <v>0</v>
      </c>
      <c r="F41" s="17">
        <f t="shared" si="1"/>
        <v>13766654.119999999</v>
      </c>
      <c r="G41" s="17">
        <v>5310486.83</v>
      </c>
      <c r="H41" s="17">
        <v>-252249.82</v>
      </c>
      <c r="I41" s="17">
        <f t="shared" si="2"/>
        <v>0</v>
      </c>
      <c r="J41" s="17">
        <f t="shared" si="3"/>
        <v>0</v>
      </c>
      <c r="K41" s="17">
        <v>-1569078.52</v>
      </c>
      <c r="L41" s="17">
        <f t="shared" si="4"/>
        <v>3489158.4899999998</v>
      </c>
      <c r="M41" s="18">
        <f t="shared" si="5"/>
        <v>0.25345000023869269</v>
      </c>
      <c r="N41" s="7" t="s">
        <v>18</v>
      </c>
      <c r="O41" s="17">
        <f t="shared" si="6"/>
        <v>-1821328.34</v>
      </c>
      <c r="P41" s="19">
        <v>-618331.89</v>
      </c>
      <c r="Q41" s="19">
        <f t="shared" si="7"/>
        <v>0</v>
      </c>
      <c r="R41" s="19">
        <f t="shared" si="8"/>
        <v>-618331.89</v>
      </c>
      <c r="S41" s="25"/>
      <c r="U41" s="20">
        <f t="shared" si="9"/>
        <v>182132.834</v>
      </c>
      <c r="V41" s="20">
        <v>182132.834</v>
      </c>
      <c r="W41" s="20">
        <v>182132.834</v>
      </c>
      <c r="X41" s="20">
        <v>182132.834</v>
      </c>
      <c r="Y41" s="20">
        <v>182132.834</v>
      </c>
      <c r="Z41" s="20">
        <v>182132.834</v>
      </c>
      <c r="AA41" s="20">
        <v>182132.834</v>
      </c>
      <c r="AB41" s="20">
        <v>182132.834</v>
      </c>
      <c r="AC41" s="20">
        <v>182132.834</v>
      </c>
      <c r="AD41" s="20">
        <v>182132.834</v>
      </c>
      <c r="AE41" s="17">
        <f t="shared" si="10"/>
        <v>0</v>
      </c>
    </row>
    <row r="42" spans="1:31" x14ac:dyDescent="0.3">
      <c r="A42" t="s">
        <v>364</v>
      </c>
      <c r="B42" s="17">
        <v>-189962004.49000001</v>
      </c>
      <c r="C42" s="17">
        <v>0</v>
      </c>
      <c r="D42" s="26">
        <v>0</v>
      </c>
      <c r="E42" s="17">
        <v>0</v>
      </c>
      <c r="F42" s="17">
        <f t="shared" si="1"/>
        <v>-189962004.49000001</v>
      </c>
      <c r="G42" s="17">
        <v>-73277843.230000004</v>
      </c>
      <c r="H42" s="17">
        <v>208610.15</v>
      </c>
      <c r="I42" s="17">
        <f t="shared" si="2"/>
        <v>0</v>
      </c>
      <c r="J42" s="17">
        <f t="shared" si="3"/>
        <v>0</v>
      </c>
      <c r="K42" s="17">
        <v>24923363.039999999</v>
      </c>
      <c r="L42" s="17">
        <f t="shared" si="4"/>
        <v>-48145870.039999999</v>
      </c>
      <c r="M42" s="18">
        <f t="shared" si="5"/>
        <v>0.25345000001057844</v>
      </c>
      <c r="N42" s="7" t="s">
        <v>18</v>
      </c>
      <c r="O42" s="55">
        <f t="shared" si="6"/>
        <v>25131973.189999998</v>
      </c>
      <c r="P42" s="19">
        <v>29673322.190000001</v>
      </c>
      <c r="Q42" s="19">
        <f t="shared" si="7"/>
        <v>0</v>
      </c>
      <c r="R42" s="17">
        <f t="shared" si="8"/>
        <v>29673322.190000001</v>
      </c>
      <c r="S42" s="17"/>
      <c r="T42" s="20"/>
      <c r="U42" s="20">
        <f t="shared" si="9"/>
        <v>-2513197.3189999997</v>
      </c>
      <c r="V42" s="20">
        <v>-2513197.3189999997</v>
      </c>
      <c r="W42" s="20">
        <v>-2513197.3189999997</v>
      </c>
      <c r="X42" s="20">
        <v>-2513197.3189999997</v>
      </c>
      <c r="Y42" s="20">
        <v>-2513197.3189999997</v>
      </c>
      <c r="Z42" s="20">
        <v>-2513197.3189999997</v>
      </c>
      <c r="AA42" s="20">
        <v>-2513197.3189999997</v>
      </c>
      <c r="AB42" s="20">
        <v>-2513197.3189999997</v>
      </c>
      <c r="AC42" s="20">
        <v>-2513197.3189999997</v>
      </c>
      <c r="AD42" s="20">
        <v>-2513197.3189999997</v>
      </c>
      <c r="AE42" s="17">
        <f t="shared" si="10"/>
        <v>0</v>
      </c>
    </row>
    <row r="43" spans="1:31" x14ac:dyDescent="0.3">
      <c r="A43" t="s">
        <v>365</v>
      </c>
      <c r="B43" s="17">
        <v>65695048.880000003</v>
      </c>
      <c r="C43" s="17">
        <v>0</v>
      </c>
      <c r="D43" s="26">
        <v>1801640.1199999973</v>
      </c>
      <c r="E43" s="17">
        <v>0</v>
      </c>
      <c r="F43" s="17">
        <f t="shared" si="1"/>
        <v>67496689</v>
      </c>
      <c r="G43" s="17">
        <v>25341865.109999999</v>
      </c>
      <c r="H43" s="17">
        <v>-955393.33</v>
      </c>
      <c r="I43" s="17">
        <f t="shared" si="2"/>
        <v>694982.67628999893</v>
      </c>
      <c r="J43" s="17">
        <f t="shared" si="3"/>
        <v>-238356.98787599959</v>
      </c>
      <c r="K43" s="17">
        <v>-7736061.6399999997</v>
      </c>
      <c r="L43" s="17">
        <f t="shared" si="4"/>
        <v>17107035.828414001</v>
      </c>
      <c r="M43" s="18">
        <f t="shared" si="5"/>
        <v>0.2534500000202084</v>
      </c>
      <c r="N43" s="7" t="s">
        <v>18</v>
      </c>
      <c r="O43" s="55">
        <f t="shared" si="6"/>
        <v>-8929811.9578759987</v>
      </c>
      <c r="P43" s="19">
        <v>-10262001.390000001</v>
      </c>
      <c r="Q43" s="19">
        <f t="shared" si="7"/>
        <v>-80921.008073366946</v>
      </c>
      <c r="R43" s="17">
        <f t="shared" si="8"/>
        <v>-10342922.398073368</v>
      </c>
      <c r="S43" s="27">
        <f>+L43/F43</f>
        <v>0.2534500000202084</v>
      </c>
      <c r="T43" s="20"/>
      <c r="U43" s="20">
        <f t="shared" si="9"/>
        <v>892981.19578759989</v>
      </c>
      <c r="V43" s="20">
        <v>892981.19578759989</v>
      </c>
      <c r="W43" s="20">
        <v>892981.19578759989</v>
      </c>
      <c r="X43" s="20">
        <v>892981.19578759989</v>
      </c>
      <c r="Y43" s="20">
        <v>892981.19578759989</v>
      </c>
      <c r="Z43" s="20">
        <v>892981.19578759989</v>
      </c>
      <c r="AA43" s="20">
        <v>892981.19578759989</v>
      </c>
      <c r="AB43" s="20">
        <v>892981.19578759989</v>
      </c>
      <c r="AC43" s="20">
        <v>892981.19578759989</v>
      </c>
      <c r="AD43" s="20">
        <v>892981.19578759989</v>
      </c>
      <c r="AE43" s="17">
        <f t="shared" si="10"/>
        <v>0</v>
      </c>
    </row>
    <row r="44" spans="1:31" x14ac:dyDescent="0.3">
      <c r="A44" t="s">
        <v>151</v>
      </c>
      <c r="B44" s="17">
        <v>-584472.07999999996</v>
      </c>
      <c r="C44" s="17">
        <v>0</v>
      </c>
      <c r="D44" s="17">
        <v>0</v>
      </c>
      <c r="E44" s="17">
        <v>0</v>
      </c>
      <c r="F44" s="17">
        <f t="shared" si="1"/>
        <v>-584472.07999999996</v>
      </c>
      <c r="G44" s="17">
        <v>-225460.1</v>
      </c>
      <c r="H44" s="17">
        <v>-15998.39</v>
      </c>
      <c r="I44" s="17">
        <f t="shared" si="2"/>
        <v>0</v>
      </c>
      <c r="J44" s="17">
        <f t="shared" si="3"/>
        <v>0</v>
      </c>
      <c r="K44" s="17">
        <v>93324.04</v>
      </c>
      <c r="L44" s="17">
        <f t="shared" si="4"/>
        <v>-148134.45000000001</v>
      </c>
      <c r="M44" s="18">
        <f t="shared" si="5"/>
        <v>0.25345000226529218</v>
      </c>
      <c r="N44" s="7" t="s">
        <v>18</v>
      </c>
      <c r="O44" s="17">
        <f t="shared" si="6"/>
        <v>77325.649999999994</v>
      </c>
      <c r="P44" s="19">
        <v>26251.599999999999</v>
      </c>
      <c r="Q44" s="19">
        <f t="shared" si="7"/>
        <v>0</v>
      </c>
      <c r="R44" s="19">
        <f t="shared" si="8"/>
        <v>26251.599999999999</v>
      </c>
      <c r="S44" s="27">
        <f>+L44/F44</f>
        <v>0.25345000226529218</v>
      </c>
      <c r="T44" s="20"/>
      <c r="U44" s="20">
        <f t="shared" si="9"/>
        <v>-7732.5649999999996</v>
      </c>
      <c r="V44" s="20">
        <v>-7732.5649999999996</v>
      </c>
      <c r="W44" s="20">
        <v>-7732.5649999999996</v>
      </c>
      <c r="X44" s="20">
        <v>-7732.5649999999996</v>
      </c>
      <c r="Y44" s="20">
        <v>-7732.5649999999996</v>
      </c>
      <c r="Z44" s="20">
        <v>-7732.5649999999996</v>
      </c>
      <c r="AA44" s="20">
        <v>-7732.5649999999996</v>
      </c>
      <c r="AB44" s="20">
        <v>-7732.5649999999996</v>
      </c>
      <c r="AC44" s="20">
        <v>-7732.5649999999996</v>
      </c>
      <c r="AD44" s="20">
        <v>-7732.5649999999996</v>
      </c>
      <c r="AE44" s="17">
        <f t="shared" si="10"/>
        <v>0</v>
      </c>
    </row>
    <row r="45" spans="1:31" x14ac:dyDescent="0.3">
      <c r="A45" t="s">
        <v>153</v>
      </c>
      <c r="B45" s="17">
        <v>-578156.28</v>
      </c>
      <c r="C45" s="17">
        <v>0</v>
      </c>
      <c r="D45" s="17">
        <v>0</v>
      </c>
      <c r="E45" s="17">
        <v>0</v>
      </c>
      <c r="F45" s="17">
        <f t="shared" si="1"/>
        <v>-578156.28</v>
      </c>
      <c r="G45" s="17">
        <v>-223023.79</v>
      </c>
      <c r="H45" s="17">
        <v>-21995.4</v>
      </c>
      <c r="I45" s="17">
        <f t="shared" si="2"/>
        <v>0</v>
      </c>
      <c r="J45" s="17">
        <f t="shared" si="3"/>
        <v>0</v>
      </c>
      <c r="K45" s="17">
        <v>98485.48</v>
      </c>
      <c r="L45" s="17">
        <f t="shared" si="4"/>
        <v>-146533.71000000002</v>
      </c>
      <c r="M45" s="18">
        <f t="shared" si="5"/>
        <v>0.25345000144251656</v>
      </c>
      <c r="N45" s="7" t="s">
        <v>18</v>
      </c>
      <c r="O45" s="17">
        <f t="shared" si="6"/>
        <v>76490.079999999987</v>
      </c>
      <c r="P45" s="19">
        <v>26005.54</v>
      </c>
      <c r="Q45" s="19">
        <f t="shared" si="7"/>
        <v>0</v>
      </c>
      <c r="R45" s="19">
        <f t="shared" si="8"/>
        <v>26005.54</v>
      </c>
      <c r="U45" s="20">
        <f t="shared" si="9"/>
        <v>-7649.0079999999989</v>
      </c>
      <c r="V45" s="20">
        <v>-7649.0079999999989</v>
      </c>
      <c r="W45" s="20">
        <v>-7649.0079999999989</v>
      </c>
      <c r="X45" s="20">
        <v>-7649.0079999999989</v>
      </c>
      <c r="Y45" s="20">
        <v>-7649.0079999999989</v>
      </c>
      <c r="Z45" s="20">
        <v>-7649.0079999999989</v>
      </c>
      <c r="AA45" s="20">
        <v>-7649.0079999999989</v>
      </c>
      <c r="AB45" s="20">
        <v>-7649.0079999999989</v>
      </c>
      <c r="AC45" s="20">
        <v>-7649.0079999999989</v>
      </c>
      <c r="AD45" s="20">
        <v>-7649.0079999999989</v>
      </c>
      <c r="AE45" s="17">
        <f t="shared" si="10"/>
        <v>0</v>
      </c>
    </row>
    <row r="46" spans="1:31" x14ac:dyDescent="0.3">
      <c r="A46" t="s">
        <v>155</v>
      </c>
      <c r="B46" s="17">
        <v>-1008976.78</v>
      </c>
      <c r="C46" s="17">
        <v>0</v>
      </c>
      <c r="D46" s="17">
        <v>0</v>
      </c>
      <c r="E46" s="17">
        <v>0</v>
      </c>
      <c r="F46" s="17">
        <f t="shared" si="1"/>
        <v>-1008976.78</v>
      </c>
      <c r="G46" s="17">
        <v>-389212.79</v>
      </c>
      <c r="H46" s="17">
        <v>-30591.86</v>
      </c>
      <c r="I46" s="17">
        <f t="shared" si="2"/>
        <v>0</v>
      </c>
      <c r="J46" s="17">
        <f t="shared" si="3"/>
        <v>0</v>
      </c>
      <c r="K46" s="17">
        <v>164079.49</v>
      </c>
      <c r="L46" s="17">
        <f t="shared" si="4"/>
        <v>-255725.15999999997</v>
      </c>
      <c r="M46" s="18">
        <f t="shared" si="5"/>
        <v>0.25344999515251476</v>
      </c>
      <c r="N46" s="7" t="s">
        <v>18</v>
      </c>
      <c r="O46" s="17">
        <f t="shared" si="6"/>
        <v>133487.63</v>
      </c>
      <c r="P46" s="19">
        <v>45566.69</v>
      </c>
      <c r="Q46" s="19">
        <f t="shared" si="7"/>
        <v>0</v>
      </c>
      <c r="R46" s="19">
        <f t="shared" si="8"/>
        <v>45566.69</v>
      </c>
      <c r="U46" s="20">
        <f t="shared" si="9"/>
        <v>-13348.763000000001</v>
      </c>
      <c r="V46" s="20">
        <v>-13348.763000000001</v>
      </c>
      <c r="W46" s="20">
        <v>-13348.763000000001</v>
      </c>
      <c r="X46" s="20">
        <v>-13348.763000000001</v>
      </c>
      <c r="Y46" s="20">
        <v>-13348.763000000001</v>
      </c>
      <c r="Z46" s="20">
        <v>-13348.763000000001</v>
      </c>
      <c r="AA46" s="20">
        <v>-13348.763000000001</v>
      </c>
      <c r="AB46" s="20">
        <v>-13348.763000000001</v>
      </c>
      <c r="AC46" s="20">
        <v>-13348.763000000001</v>
      </c>
      <c r="AD46" s="20">
        <v>-13348.763000000001</v>
      </c>
      <c r="AE46" s="17">
        <f t="shared" si="10"/>
        <v>0</v>
      </c>
    </row>
    <row r="47" spans="1:31" x14ac:dyDescent="0.3">
      <c r="A47" t="s">
        <v>157</v>
      </c>
      <c r="B47" s="17">
        <v>0</v>
      </c>
      <c r="C47" s="17">
        <v>0</v>
      </c>
      <c r="D47" s="17">
        <v>0</v>
      </c>
      <c r="E47" s="17">
        <v>0</v>
      </c>
      <c r="F47" s="17">
        <f t="shared" si="1"/>
        <v>0</v>
      </c>
      <c r="G47" s="17">
        <v>0</v>
      </c>
      <c r="H47" s="17">
        <v>0</v>
      </c>
      <c r="I47" s="17">
        <f t="shared" si="2"/>
        <v>0</v>
      </c>
      <c r="J47" s="17">
        <f t="shared" si="3"/>
        <v>0</v>
      </c>
      <c r="K47" s="17">
        <v>0</v>
      </c>
      <c r="L47" s="17">
        <f t="shared" si="4"/>
        <v>0</v>
      </c>
      <c r="M47" s="18">
        <v>0</v>
      </c>
      <c r="N47" s="7" t="s">
        <v>18</v>
      </c>
      <c r="O47" s="17">
        <f t="shared" si="6"/>
        <v>0</v>
      </c>
      <c r="P47" s="19">
        <v>0.01</v>
      </c>
      <c r="Q47" s="19">
        <f t="shared" si="7"/>
        <v>0</v>
      </c>
      <c r="R47" s="19">
        <f t="shared" si="8"/>
        <v>0.01</v>
      </c>
      <c r="U47" s="20">
        <f t="shared" si="9"/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17">
        <f t="shared" si="10"/>
        <v>0</v>
      </c>
    </row>
    <row r="48" spans="1:31" x14ac:dyDescent="0.3">
      <c r="A48" t="s">
        <v>159</v>
      </c>
      <c r="B48" s="17">
        <v>0</v>
      </c>
      <c r="C48" s="17">
        <v>0</v>
      </c>
      <c r="D48" s="17">
        <v>0</v>
      </c>
      <c r="E48" s="17">
        <v>0</v>
      </c>
      <c r="F48" s="17">
        <f t="shared" si="1"/>
        <v>0</v>
      </c>
      <c r="G48" s="17">
        <v>0</v>
      </c>
      <c r="H48" s="17">
        <v>0</v>
      </c>
      <c r="I48" s="17">
        <f t="shared" si="2"/>
        <v>0</v>
      </c>
      <c r="J48" s="17">
        <f t="shared" si="3"/>
        <v>0</v>
      </c>
      <c r="K48" s="17">
        <v>0</v>
      </c>
      <c r="L48" s="17">
        <f t="shared" si="4"/>
        <v>0</v>
      </c>
      <c r="M48" s="18">
        <v>0</v>
      </c>
      <c r="N48" s="7" t="s">
        <v>18</v>
      </c>
      <c r="O48" s="17">
        <f t="shared" si="6"/>
        <v>0</v>
      </c>
      <c r="P48" s="19">
        <v>0.01</v>
      </c>
      <c r="Q48" s="19">
        <f t="shared" si="7"/>
        <v>0</v>
      </c>
      <c r="R48" s="19">
        <f t="shared" si="8"/>
        <v>0.01</v>
      </c>
      <c r="U48" s="20">
        <f t="shared" si="9"/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17">
        <f t="shared" si="10"/>
        <v>0</v>
      </c>
    </row>
    <row r="49" spans="1:31" x14ac:dyDescent="0.3">
      <c r="A49" t="s">
        <v>203</v>
      </c>
      <c r="B49" s="17">
        <v>-169004894.06</v>
      </c>
      <c r="C49" s="17">
        <v>0</v>
      </c>
      <c r="D49" s="28">
        <v>-1232001.9399999976</v>
      </c>
      <c r="E49" s="17">
        <v>0</v>
      </c>
      <c r="F49" s="17">
        <f t="shared" si="1"/>
        <v>-170236896</v>
      </c>
      <c r="G49" s="17">
        <v>-59151712.920000002</v>
      </c>
      <c r="H49" s="17">
        <v>-641937.93999999994</v>
      </c>
      <c r="I49" s="17">
        <f>+D49*$O$6</f>
        <v>-431200.67899999913</v>
      </c>
      <c r="J49" s="17">
        <f>+D49*$Q$6</f>
        <v>172480.27159999966</v>
      </c>
      <c r="K49" s="17">
        <v>24302623.109999999</v>
      </c>
      <c r="L49" s="17">
        <f t="shared" si="4"/>
        <v>-35749748.157399997</v>
      </c>
      <c r="M49" s="18">
        <f t="shared" si="5"/>
        <v>0.20999999998472715</v>
      </c>
      <c r="N49" s="7" t="s">
        <v>18</v>
      </c>
      <c r="O49" s="17">
        <f t="shared" si="6"/>
        <v>23833165.441599999</v>
      </c>
      <c r="P49" s="19">
        <v>10317445.73</v>
      </c>
      <c r="Q49" s="19">
        <f t="shared" si="7"/>
        <v>58556.191597374469</v>
      </c>
      <c r="R49" s="19">
        <f t="shared" si="8"/>
        <v>10376001.921597375</v>
      </c>
      <c r="S49" t="s">
        <v>366</v>
      </c>
      <c r="T49" s="17"/>
      <c r="U49" s="20">
        <f t="shared" si="9"/>
        <v>-2383316.54416</v>
      </c>
      <c r="V49" s="20">
        <v>-2383316.54416</v>
      </c>
      <c r="W49" s="20">
        <v>-2383316.54416</v>
      </c>
      <c r="X49" s="20">
        <v>-2383316.54416</v>
      </c>
      <c r="Y49" s="20">
        <v>-2383316.54416</v>
      </c>
      <c r="Z49" s="20">
        <v>-2383316.54416</v>
      </c>
      <c r="AA49" s="20">
        <v>-2383316.54416</v>
      </c>
      <c r="AB49" s="20">
        <v>-2383316.54416</v>
      </c>
      <c r="AC49" s="20">
        <v>-2383316.54416</v>
      </c>
      <c r="AD49" s="20">
        <v>-2383316.54416</v>
      </c>
      <c r="AE49" s="17">
        <f t="shared" si="10"/>
        <v>0</v>
      </c>
    </row>
    <row r="50" spans="1:31" x14ac:dyDescent="0.3">
      <c r="A50" t="s">
        <v>105</v>
      </c>
      <c r="B50" s="17">
        <v>-169004894.06</v>
      </c>
      <c r="C50" s="17">
        <v>0</v>
      </c>
      <c r="D50" s="28">
        <v>-1232001.9399999976</v>
      </c>
      <c r="E50" s="17">
        <v>0</v>
      </c>
      <c r="F50" s="17">
        <f t="shared" si="1"/>
        <v>-170236896</v>
      </c>
      <c r="G50" s="17">
        <v>-6041924.96</v>
      </c>
      <c r="H50" s="17">
        <v>35306.58</v>
      </c>
      <c r="I50" s="17">
        <f>+D50*$O$3</f>
        <v>-67760.106699999873</v>
      </c>
      <c r="J50" s="17">
        <f>+D50*$Q$5</f>
        <v>-9486.4149379999799</v>
      </c>
      <c r="K50" s="17">
        <v>-1336644.26</v>
      </c>
      <c r="L50" s="17">
        <f t="shared" si="4"/>
        <v>-7420509.1616379991</v>
      </c>
      <c r="M50" s="18">
        <f t="shared" si="5"/>
        <v>4.3589311929406883E-2</v>
      </c>
      <c r="N50" s="7" t="s">
        <v>18</v>
      </c>
      <c r="O50" s="17">
        <f t="shared" si="6"/>
        <v>-1310824.094938</v>
      </c>
      <c r="P50" s="19">
        <v>-63182</v>
      </c>
      <c r="Q50" s="19">
        <f t="shared" si="7"/>
        <v>-3220.5905378555954</v>
      </c>
      <c r="R50" s="19">
        <f t="shared" si="8"/>
        <v>-66402.590537855591</v>
      </c>
      <c r="S50" t="s">
        <v>366</v>
      </c>
      <c r="U50" s="20">
        <f t="shared" si="9"/>
        <v>131082.40949379999</v>
      </c>
      <c r="V50" s="20">
        <v>131082.40949379999</v>
      </c>
      <c r="W50" s="20">
        <v>131082.40949379999</v>
      </c>
      <c r="X50" s="20">
        <v>131082.40949379999</v>
      </c>
      <c r="Y50" s="20">
        <v>131082.40949379999</v>
      </c>
      <c r="Z50" s="20">
        <v>131082.40949379999</v>
      </c>
      <c r="AA50" s="20">
        <v>131082.40949379999</v>
      </c>
      <c r="AB50" s="20">
        <v>131082.40949379999</v>
      </c>
      <c r="AC50" s="20">
        <v>131082.40949379999</v>
      </c>
      <c r="AD50" s="20">
        <v>131082.40949379999</v>
      </c>
      <c r="AE50" s="17">
        <f t="shared" si="10"/>
        <v>0</v>
      </c>
    </row>
    <row r="51" spans="1:31" x14ac:dyDescent="0.3">
      <c r="A51" t="s">
        <v>161</v>
      </c>
      <c r="B51" s="17">
        <v>762122.54</v>
      </c>
      <c r="C51" s="17">
        <v>0</v>
      </c>
      <c r="D51" s="17">
        <v>0</v>
      </c>
      <c r="E51" s="17">
        <v>0</v>
      </c>
      <c r="F51" s="17">
        <f t="shared" si="1"/>
        <v>762122.54</v>
      </c>
      <c r="G51" s="17">
        <v>293988.77</v>
      </c>
      <c r="H51" s="17">
        <v>8611.27</v>
      </c>
      <c r="I51" s="17">
        <f t="shared" si="2"/>
        <v>0</v>
      </c>
      <c r="J51" s="17">
        <f t="shared" si="3"/>
        <v>0</v>
      </c>
      <c r="K51" s="17">
        <v>-109440.09</v>
      </c>
      <c r="L51" s="17">
        <f t="shared" si="4"/>
        <v>193159.95000000004</v>
      </c>
      <c r="M51" s="18">
        <f t="shared" si="5"/>
        <v>0.25344998981397404</v>
      </c>
      <c r="N51" s="7" t="s">
        <v>18</v>
      </c>
      <c r="O51" s="17">
        <f t="shared" si="6"/>
        <v>-100828.81999999999</v>
      </c>
      <c r="P51" s="19">
        <v>-34262.32</v>
      </c>
      <c r="Q51" s="19">
        <f t="shared" si="7"/>
        <v>0</v>
      </c>
      <c r="R51" s="19">
        <f t="shared" si="8"/>
        <v>-34262.32</v>
      </c>
      <c r="U51" s="20">
        <f t="shared" si="9"/>
        <v>10082.882</v>
      </c>
      <c r="V51" s="20">
        <v>10082.882</v>
      </c>
      <c r="W51" s="20">
        <v>10082.882</v>
      </c>
      <c r="X51" s="20">
        <v>10082.882</v>
      </c>
      <c r="Y51" s="20">
        <v>10082.882</v>
      </c>
      <c r="Z51" s="20">
        <v>10082.882</v>
      </c>
      <c r="AA51" s="20">
        <v>10082.882</v>
      </c>
      <c r="AB51" s="20">
        <v>10082.882</v>
      </c>
      <c r="AC51" s="20">
        <v>10082.882</v>
      </c>
      <c r="AD51" s="20">
        <v>10082.882</v>
      </c>
      <c r="AE51" s="17">
        <f t="shared" si="10"/>
        <v>0</v>
      </c>
    </row>
    <row r="52" spans="1:31" x14ac:dyDescent="0.3">
      <c r="A52" t="s">
        <v>76</v>
      </c>
      <c r="B52" s="17">
        <v>151141690.06</v>
      </c>
      <c r="C52" s="17">
        <v>0</v>
      </c>
      <c r="D52" s="28">
        <v>-69660837.060000002</v>
      </c>
      <c r="E52" s="17">
        <v>0</v>
      </c>
      <c r="F52" s="17">
        <f t="shared" si="1"/>
        <v>81480853</v>
      </c>
      <c r="G52" s="17">
        <v>58302906.939999998</v>
      </c>
      <c r="H52" s="17">
        <v>-1648607.57</v>
      </c>
      <c r="I52" s="17">
        <f t="shared" si="2"/>
        <v>-26871667.895895001</v>
      </c>
      <c r="J52" s="17">
        <f t="shared" si="3"/>
        <v>9216128.7430379987</v>
      </c>
      <c r="K52" s="17">
        <v>-18347438.030000001</v>
      </c>
      <c r="L52" s="17">
        <f t="shared" si="4"/>
        <v>20651322.187142998</v>
      </c>
      <c r="M52" s="18">
        <f t="shared" si="5"/>
        <v>0.25344999992995898</v>
      </c>
      <c r="N52" s="7" t="s">
        <v>17</v>
      </c>
      <c r="O52" s="17"/>
      <c r="P52" s="19">
        <v>-5389310.9000000004</v>
      </c>
      <c r="Q52" s="19">
        <f t="shared" si="7"/>
        <v>3128829.7232911135</v>
      </c>
      <c r="R52" s="19">
        <f t="shared" si="8"/>
        <v>-2260481.1767088869</v>
      </c>
      <c r="S52" s="27">
        <f>+L52/F52</f>
        <v>0.25344999992995898</v>
      </c>
      <c r="T52" s="20"/>
      <c r="U52" s="20">
        <f t="shared" si="9"/>
        <v>0</v>
      </c>
      <c r="V52" s="20"/>
      <c r="W52" s="20"/>
      <c r="X52" s="20"/>
      <c r="Y52" s="20"/>
      <c r="Z52" s="20"/>
      <c r="AA52" s="20"/>
      <c r="AB52" s="20"/>
      <c r="AC52" s="20"/>
      <c r="AD52" s="20"/>
      <c r="AE52" s="17">
        <f t="shared" si="10"/>
        <v>0</v>
      </c>
    </row>
    <row r="53" spans="1:31" x14ac:dyDescent="0.3">
      <c r="A53" t="s">
        <v>207</v>
      </c>
      <c r="B53" s="17">
        <v>-514365657.67000002</v>
      </c>
      <c r="C53" s="17">
        <v>0</v>
      </c>
      <c r="D53" s="28">
        <v>724188117.67000008</v>
      </c>
      <c r="E53" s="17">
        <v>0</v>
      </c>
      <c r="F53" s="17">
        <f t="shared" si="1"/>
        <v>209822460.00000006</v>
      </c>
      <c r="G53" s="17">
        <v>-198416552.44</v>
      </c>
      <c r="H53" s="17">
        <v>6804611.6699999999</v>
      </c>
      <c r="I53" s="17">
        <f t="shared" si="2"/>
        <v>279355566.39120251</v>
      </c>
      <c r="J53" s="17">
        <f t="shared" si="3"/>
        <v>-95810087.967740998</v>
      </c>
      <c r="K53" s="17">
        <v>61245964.840000004</v>
      </c>
      <c r="L53" s="17">
        <f t="shared" si="4"/>
        <v>53179502.493461505</v>
      </c>
      <c r="M53" s="18">
        <f t="shared" si="5"/>
        <v>0.25345000003079504</v>
      </c>
      <c r="N53" s="7" t="s">
        <v>18</v>
      </c>
      <c r="O53" s="17">
        <f t="shared" si="6"/>
        <v>-27759511.457740992</v>
      </c>
      <c r="P53" s="19">
        <v>23102831.050000001</v>
      </c>
      <c r="Q53" s="19">
        <f t="shared" si="7"/>
        <v>-32527046.809221022</v>
      </c>
      <c r="R53" s="19">
        <f t="shared" si="8"/>
        <v>-9424215.7592210211</v>
      </c>
      <c r="S53" s="27">
        <f>+L53/F53</f>
        <v>0.25345000003079504</v>
      </c>
      <c r="T53" s="29"/>
      <c r="U53" s="20">
        <f t="shared" si="9"/>
        <v>2775951.145774099</v>
      </c>
      <c r="V53" s="20">
        <v>2775951.145774099</v>
      </c>
      <c r="W53" s="20">
        <v>2775951.145774099</v>
      </c>
      <c r="X53" s="20">
        <v>2775951.145774099</v>
      </c>
      <c r="Y53" s="20">
        <v>2775951.145774099</v>
      </c>
      <c r="Z53" s="20">
        <v>2775951.145774099</v>
      </c>
      <c r="AA53" s="20">
        <v>2775951.145774099</v>
      </c>
      <c r="AB53" s="20">
        <v>2775951.145774099</v>
      </c>
      <c r="AC53" s="20">
        <v>2775951.145774099</v>
      </c>
      <c r="AD53" s="20">
        <v>2775951.145774099</v>
      </c>
      <c r="AE53" s="17">
        <f t="shared" si="10"/>
        <v>0</v>
      </c>
    </row>
    <row r="54" spans="1:31" x14ac:dyDescent="0.3">
      <c r="A54" t="s">
        <v>367</v>
      </c>
      <c r="B54" s="17">
        <v>6196.45</v>
      </c>
      <c r="C54" s="17">
        <v>0</v>
      </c>
      <c r="D54" s="17">
        <v>0</v>
      </c>
      <c r="E54" s="17">
        <v>0</v>
      </c>
      <c r="F54" s="17">
        <f t="shared" si="1"/>
        <v>6196.45</v>
      </c>
      <c r="G54" s="17">
        <v>2390.2800000000002</v>
      </c>
      <c r="H54" s="17">
        <v>-880.07</v>
      </c>
      <c r="I54" s="17">
        <f t="shared" si="2"/>
        <v>0</v>
      </c>
      <c r="J54" s="17">
        <f t="shared" si="3"/>
        <v>0</v>
      </c>
      <c r="K54" s="17">
        <v>60.27</v>
      </c>
      <c r="L54" s="17">
        <f t="shared" si="4"/>
        <v>1570.48</v>
      </c>
      <c r="M54" s="18">
        <f t="shared" si="5"/>
        <v>0.25344834542358935</v>
      </c>
      <c r="N54" s="7" t="s">
        <v>18</v>
      </c>
      <c r="O54" s="17">
        <f t="shared" si="6"/>
        <v>-819.80000000000007</v>
      </c>
      <c r="P54" s="19"/>
      <c r="Q54" s="19">
        <f t="shared" si="7"/>
        <v>0</v>
      </c>
      <c r="R54" s="19">
        <f t="shared" si="8"/>
        <v>0</v>
      </c>
      <c r="U54" s="20">
        <f t="shared" si="9"/>
        <v>81.98</v>
      </c>
      <c r="V54" s="20">
        <v>81.98</v>
      </c>
      <c r="W54" s="20">
        <v>81.98</v>
      </c>
      <c r="X54" s="20">
        <v>81.98</v>
      </c>
      <c r="Y54" s="20">
        <v>81.98</v>
      </c>
      <c r="Z54" s="20">
        <v>81.98</v>
      </c>
      <c r="AA54" s="20">
        <v>81.98</v>
      </c>
      <c r="AB54" s="20">
        <v>81.98</v>
      </c>
      <c r="AC54" s="20">
        <v>81.98</v>
      </c>
      <c r="AD54" s="20">
        <v>81.98</v>
      </c>
      <c r="AE54" s="17">
        <f t="shared" si="10"/>
        <v>0</v>
      </c>
    </row>
    <row r="55" spans="1:31" x14ac:dyDescent="0.3">
      <c r="A55" t="s">
        <v>368</v>
      </c>
      <c r="B55" s="17">
        <v>0</v>
      </c>
      <c r="C55" s="17">
        <v>0</v>
      </c>
      <c r="D55" s="17">
        <v>0</v>
      </c>
      <c r="E55" s="17">
        <v>0</v>
      </c>
      <c r="F55" s="17">
        <f t="shared" si="1"/>
        <v>0</v>
      </c>
      <c r="G55" s="17">
        <v>0</v>
      </c>
      <c r="H55" s="17">
        <v>-19783342.280000001</v>
      </c>
      <c r="I55" s="17">
        <f t="shared" si="2"/>
        <v>0</v>
      </c>
      <c r="J55" s="17">
        <f t="shared" si="3"/>
        <v>0</v>
      </c>
      <c r="K55" s="17">
        <v>19783342.280000001</v>
      </c>
      <c r="L55" s="17">
        <f t="shared" si="4"/>
        <v>0</v>
      </c>
      <c r="M55" s="18">
        <v>0</v>
      </c>
      <c r="N55" s="7" t="s">
        <v>18</v>
      </c>
      <c r="O55" s="17">
        <f t="shared" si="6"/>
        <v>0</v>
      </c>
      <c r="P55" s="19"/>
      <c r="Q55" s="19">
        <f t="shared" si="7"/>
        <v>0</v>
      </c>
      <c r="R55" s="19">
        <f t="shared" si="8"/>
        <v>0</v>
      </c>
      <c r="U55" s="20">
        <f t="shared" si="9"/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17">
        <f t="shared" si="10"/>
        <v>0</v>
      </c>
    </row>
    <row r="56" spans="1:31" x14ac:dyDescent="0.3">
      <c r="A56" t="s">
        <v>65</v>
      </c>
      <c r="B56" s="17">
        <v>141309587.74000001</v>
      </c>
      <c r="C56" s="17">
        <v>0</v>
      </c>
      <c r="D56" s="17">
        <v>0</v>
      </c>
      <c r="E56" s="17">
        <v>0</v>
      </c>
      <c r="F56" s="17">
        <f t="shared" si="1"/>
        <v>141309587.74000001</v>
      </c>
      <c r="G56" s="17">
        <v>49458355.710000001</v>
      </c>
      <c r="H56" s="17">
        <v>0</v>
      </c>
      <c r="I56" s="17">
        <f t="shared" si="2"/>
        <v>0</v>
      </c>
      <c r="J56" s="17">
        <f t="shared" si="3"/>
        <v>0</v>
      </c>
      <c r="K56" s="17">
        <v>-19783342.280000001</v>
      </c>
      <c r="L56" s="17">
        <f t="shared" si="4"/>
        <v>29675013.43</v>
      </c>
      <c r="M56" s="18">
        <f t="shared" si="5"/>
        <v>0.21000000003255262</v>
      </c>
      <c r="N56" s="7" t="s">
        <v>17</v>
      </c>
      <c r="O56" s="17"/>
      <c r="P56" s="19"/>
      <c r="Q56" s="19"/>
      <c r="R56" s="19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17">
        <f t="shared" si="10"/>
        <v>0</v>
      </c>
    </row>
    <row r="57" spans="1:31" x14ac:dyDescent="0.3">
      <c r="A57" t="s">
        <v>106</v>
      </c>
      <c r="B57" s="17">
        <v>194143570</v>
      </c>
      <c r="C57" s="17">
        <v>0</v>
      </c>
      <c r="D57" s="17">
        <v>0</v>
      </c>
      <c r="E57" s="17">
        <v>0</v>
      </c>
      <c r="F57" s="17">
        <f t="shared" si="1"/>
        <v>194143570</v>
      </c>
      <c r="G57" s="17">
        <v>67950249.5</v>
      </c>
      <c r="H57" s="17">
        <v>0</v>
      </c>
      <c r="I57" s="17">
        <f t="shared" si="2"/>
        <v>0</v>
      </c>
      <c r="J57" s="17">
        <f t="shared" si="3"/>
        <v>0</v>
      </c>
      <c r="K57" s="17">
        <v>-27180099.800000001</v>
      </c>
      <c r="L57" s="17">
        <f t="shared" si="4"/>
        <v>40770149.700000003</v>
      </c>
      <c r="M57" s="18">
        <f t="shared" si="5"/>
        <v>0.21000000000000002</v>
      </c>
      <c r="N57" s="7" t="s">
        <v>18</v>
      </c>
      <c r="O57" s="17">
        <f t="shared" si="6"/>
        <v>-27180099.800000001</v>
      </c>
      <c r="P57" s="19">
        <v>-9227508.2599999998</v>
      </c>
      <c r="Q57" s="19">
        <f t="shared" si="7"/>
        <v>0</v>
      </c>
      <c r="R57" s="19">
        <f t="shared" si="8"/>
        <v>-9227508.2599999998</v>
      </c>
      <c r="U57" s="20">
        <f t="shared" si="9"/>
        <v>2718009.98</v>
      </c>
      <c r="V57" s="20">
        <v>2718009.98</v>
      </c>
      <c r="W57" s="20">
        <v>2718009.98</v>
      </c>
      <c r="X57" s="20">
        <v>2718009.98</v>
      </c>
      <c r="Y57" s="20">
        <v>2718009.98</v>
      </c>
      <c r="Z57" s="20">
        <v>2718009.98</v>
      </c>
      <c r="AA57" s="20">
        <v>2718009.98</v>
      </c>
      <c r="AB57" s="20">
        <v>2718009.98</v>
      </c>
      <c r="AC57" s="20">
        <v>2718009.98</v>
      </c>
      <c r="AD57" s="20">
        <v>2718009.98</v>
      </c>
      <c r="AE57" s="17">
        <f t="shared" si="10"/>
        <v>0</v>
      </c>
    </row>
    <row r="58" spans="1:31" x14ac:dyDescent="0.3">
      <c r="A58" t="s">
        <v>369</v>
      </c>
      <c r="B58" s="17">
        <v>0</v>
      </c>
      <c r="C58" s="17">
        <v>0</v>
      </c>
      <c r="D58" s="17">
        <v>0</v>
      </c>
      <c r="E58" s="17">
        <v>0</v>
      </c>
      <c r="F58" s="17">
        <f t="shared" si="1"/>
        <v>0</v>
      </c>
      <c r="G58" s="17">
        <v>0.01</v>
      </c>
      <c r="H58" s="17">
        <v>0</v>
      </c>
      <c r="I58" s="17">
        <f t="shared" si="2"/>
        <v>0</v>
      </c>
      <c r="J58" s="17">
        <f t="shared" si="3"/>
        <v>0</v>
      </c>
      <c r="K58" s="17">
        <v>-0.01</v>
      </c>
      <c r="L58" s="17">
        <f t="shared" si="4"/>
        <v>0</v>
      </c>
      <c r="M58" s="18">
        <v>0</v>
      </c>
      <c r="N58" s="7" t="s">
        <v>18</v>
      </c>
      <c r="O58" s="17">
        <f t="shared" si="6"/>
        <v>-0.01</v>
      </c>
      <c r="P58" s="19"/>
      <c r="Q58" s="19">
        <f t="shared" si="7"/>
        <v>0</v>
      </c>
      <c r="R58" s="19">
        <f t="shared" si="8"/>
        <v>0</v>
      </c>
      <c r="U58" s="20">
        <f t="shared" si="9"/>
        <v>1E-3</v>
      </c>
      <c r="V58" s="20">
        <v>1E-3</v>
      </c>
      <c r="W58" s="20">
        <v>1E-3</v>
      </c>
      <c r="X58" s="20">
        <v>1E-3</v>
      </c>
      <c r="Y58" s="20">
        <v>1E-3</v>
      </c>
      <c r="Z58" s="20">
        <v>1E-3</v>
      </c>
      <c r="AA58" s="20">
        <v>1E-3</v>
      </c>
      <c r="AB58" s="20">
        <v>1E-3</v>
      </c>
      <c r="AC58" s="20">
        <v>1E-3</v>
      </c>
      <c r="AD58" s="20">
        <v>1E-3</v>
      </c>
      <c r="AE58" s="17">
        <f t="shared" si="10"/>
        <v>0</v>
      </c>
    </row>
    <row r="59" spans="1:31" x14ac:dyDescent="0.3">
      <c r="A59" t="s">
        <v>107</v>
      </c>
      <c r="B59" s="17">
        <v>268538363</v>
      </c>
      <c r="C59" s="17">
        <v>0</v>
      </c>
      <c r="D59" s="17">
        <v>0</v>
      </c>
      <c r="E59" s="17">
        <v>0</v>
      </c>
      <c r="F59" s="17">
        <f t="shared" si="1"/>
        <v>268538363</v>
      </c>
      <c r="G59" s="17">
        <v>9600246.4700000007</v>
      </c>
      <c r="H59" s="17">
        <v>0</v>
      </c>
      <c r="I59" s="17">
        <f t="shared" si="2"/>
        <v>0</v>
      </c>
      <c r="J59" s="17">
        <f t="shared" si="3"/>
        <v>0</v>
      </c>
      <c r="K59" s="17">
        <v>2067745.41</v>
      </c>
      <c r="L59" s="17">
        <f t="shared" si="4"/>
        <v>11667991.880000001</v>
      </c>
      <c r="M59" s="18">
        <f t="shared" si="5"/>
        <v>4.3450000028487555E-2</v>
      </c>
      <c r="N59" s="7" t="s">
        <v>18</v>
      </c>
      <c r="O59" s="17">
        <f t="shared" si="6"/>
        <v>2067745.41</v>
      </c>
      <c r="P59" s="19">
        <v>701989.23</v>
      </c>
      <c r="Q59" s="19">
        <f t="shared" si="7"/>
        <v>0</v>
      </c>
      <c r="R59" s="19">
        <f t="shared" si="8"/>
        <v>701989.23</v>
      </c>
      <c r="U59" s="20">
        <f t="shared" si="9"/>
        <v>-206774.541</v>
      </c>
      <c r="V59" s="20">
        <v>-206774.541</v>
      </c>
      <c r="W59" s="20">
        <v>-206774.541</v>
      </c>
      <c r="X59" s="20">
        <v>-206774.541</v>
      </c>
      <c r="Y59" s="20">
        <v>-206774.541</v>
      </c>
      <c r="Z59" s="20">
        <v>-206774.541</v>
      </c>
      <c r="AA59" s="20">
        <v>-206774.541</v>
      </c>
      <c r="AB59" s="20">
        <v>-206774.541</v>
      </c>
      <c r="AC59" s="20">
        <v>-206774.541</v>
      </c>
      <c r="AD59" s="20">
        <v>-206774.541</v>
      </c>
      <c r="AE59" s="17">
        <f t="shared" si="10"/>
        <v>0</v>
      </c>
    </row>
    <row r="60" spans="1:31" x14ac:dyDescent="0.3">
      <c r="A60" t="s">
        <v>133</v>
      </c>
      <c r="B60" s="17">
        <v>248190.04</v>
      </c>
      <c r="C60" s="17">
        <v>0</v>
      </c>
      <c r="D60" s="17">
        <v>0</v>
      </c>
      <c r="E60" s="17">
        <v>0</v>
      </c>
      <c r="F60" s="17">
        <f t="shared" si="1"/>
        <v>248190.04</v>
      </c>
      <c r="G60" s="17">
        <v>95739.3</v>
      </c>
      <c r="H60" s="17">
        <v>-32835.360000000001</v>
      </c>
      <c r="I60" s="17">
        <f t="shared" si="2"/>
        <v>0</v>
      </c>
      <c r="J60" s="17">
        <f t="shared" si="3"/>
        <v>0</v>
      </c>
      <c r="K60" s="17">
        <v>-0.17</v>
      </c>
      <c r="L60" s="17">
        <f t="shared" si="4"/>
        <v>62903.770000000004</v>
      </c>
      <c r="M60" s="18">
        <f t="shared" si="5"/>
        <v>0.25345001757524194</v>
      </c>
      <c r="N60" s="7" t="s">
        <v>18</v>
      </c>
      <c r="O60" s="17">
        <f t="shared" si="6"/>
        <v>-32835.53</v>
      </c>
      <c r="P60" s="19">
        <v>-11147.5</v>
      </c>
      <c r="Q60" s="19">
        <f t="shared" si="7"/>
        <v>0</v>
      </c>
      <c r="R60" s="19">
        <f t="shared" si="8"/>
        <v>-11147.5</v>
      </c>
      <c r="U60" s="20">
        <f t="shared" si="9"/>
        <v>3283.5529999999999</v>
      </c>
      <c r="V60" s="20">
        <v>3283.5529999999999</v>
      </c>
      <c r="W60" s="20">
        <v>3283.5529999999999</v>
      </c>
      <c r="X60" s="20">
        <v>3283.5529999999999</v>
      </c>
      <c r="Y60" s="20">
        <v>3283.5529999999999</v>
      </c>
      <c r="Z60" s="20">
        <v>3283.5529999999999</v>
      </c>
      <c r="AA60" s="20">
        <v>3283.5529999999999</v>
      </c>
      <c r="AB60" s="20">
        <v>3283.5529999999999</v>
      </c>
      <c r="AC60" s="20">
        <v>3283.5529999999999</v>
      </c>
      <c r="AD60" s="20">
        <v>3283.5529999999999</v>
      </c>
      <c r="AE60" s="17">
        <f t="shared" si="10"/>
        <v>0</v>
      </c>
    </row>
    <row r="61" spans="1:31" x14ac:dyDescent="0.3">
      <c r="A61" t="s">
        <v>165</v>
      </c>
      <c r="B61" s="17">
        <v>-5364387.37</v>
      </c>
      <c r="C61" s="17">
        <v>0</v>
      </c>
      <c r="D61" s="17">
        <v>0</v>
      </c>
      <c r="E61" s="17">
        <v>0</v>
      </c>
      <c r="F61" s="17">
        <f t="shared" si="1"/>
        <v>-5364387.37</v>
      </c>
      <c r="G61" s="17">
        <v>-2069312.43</v>
      </c>
      <c r="H61" s="17">
        <v>-373436.07</v>
      </c>
      <c r="I61" s="17">
        <f t="shared" si="2"/>
        <v>0</v>
      </c>
      <c r="J61" s="17">
        <f t="shared" si="3"/>
        <v>0</v>
      </c>
      <c r="K61" s="17">
        <v>1083144.51</v>
      </c>
      <c r="L61" s="17">
        <f t="shared" si="4"/>
        <v>-1359603.99</v>
      </c>
      <c r="M61" s="18">
        <f t="shared" si="5"/>
        <v>0.25345000206426183</v>
      </c>
      <c r="N61" s="7" t="s">
        <v>18</v>
      </c>
      <c r="O61" s="17">
        <f t="shared" si="6"/>
        <v>709708.44</v>
      </c>
      <c r="P61" s="19">
        <v>240942.48</v>
      </c>
      <c r="Q61" s="19">
        <f t="shared" si="7"/>
        <v>0</v>
      </c>
      <c r="R61" s="19">
        <f t="shared" si="8"/>
        <v>240942.48</v>
      </c>
      <c r="U61" s="20">
        <f t="shared" si="9"/>
        <v>-70970.843999999997</v>
      </c>
      <c r="V61" s="20">
        <v>-70970.843999999997</v>
      </c>
      <c r="W61" s="20">
        <v>-70970.843999999997</v>
      </c>
      <c r="X61" s="20">
        <v>-70970.843999999997</v>
      </c>
      <c r="Y61" s="20">
        <v>-70970.843999999997</v>
      </c>
      <c r="Z61" s="20">
        <v>-70970.843999999997</v>
      </c>
      <c r="AA61" s="20">
        <v>-70970.843999999997</v>
      </c>
      <c r="AB61" s="20">
        <v>-70970.843999999997</v>
      </c>
      <c r="AC61" s="20">
        <v>-70970.843999999997</v>
      </c>
      <c r="AD61" s="20">
        <v>-70970.843999999997</v>
      </c>
      <c r="AE61" s="17">
        <f t="shared" si="10"/>
        <v>0</v>
      </c>
    </row>
    <row r="62" spans="1:31" x14ac:dyDescent="0.3">
      <c r="A62" t="s">
        <v>201</v>
      </c>
      <c r="B62" s="17">
        <v>-11393068.41</v>
      </c>
      <c r="C62" s="17">
        <v>0</v>
      </c>
      <c r="D62" s="17">
        <v>0</v>
      </c>
      <c r="E62" s="17">
        <v>0</v>
      </c>
      <c r="F62" s="17">
        <f t="shared" si="1"/>
        <v>-11393068.41</v>
      </c>
      <c r="G62" s="17">
        <v>-4394876.13</v>
      </c>
      <c r="H62" s="17">
        <v>-460633.82</v>
      </c>
      <c r="I62" s="17">
        <f t="shared" si="2"/>
        <v>0</v>
      </c>
      <c r="J62" s="17">
        <f t="shared" si="3"/>
        <v>0</v>
      </c>
      <c r="K62" s="17">
        <v>1967936.76</v>
      </c>
      <c r="L62" s="17">
        <f t="shared" si="4"/>
        <v>-2887573.1900000004</v>
      </c>
      <c r="M62" s="18">
        <f t="shared" si="5"/>
        <v>0.25345000013038632</v>
      </c>
      <c r="N62" s="7" t="s">
        <v>18</v>
      </c>
      <c r="O62" s="17">
        <f t="shared" si="6"/>
        <v>1507302.94</v>
      </c>
      <c r="P62" s="19">
        <v>516151.98</v>
      </c>
      <c r="Q62" s="19">
        <f t="shared" si="7"/>
        <v>0</v>
      </c>
      <c r="R62" s="19">
        <f t="shared" si="8"/>
        <v>516151.98</v>
      </c>
      <c r="U62" s="20">
        <f t="shared" si="9"/>
        <v>-150730.29399999999</v>
      </c>
      <c r="V62" s="20">
        <v>-150730.29399999999</v>
      </c>
      <c r="W62" s="20">
        <v>-150730.29399999999</v>
      </c>
      <c r="X62" s="20">
        <v>-150730.29399999999</v>
      </c>
      <c r="Y62" s="20">
        <v>-150730.29399999999</v>
      </c>
      <c r="Z62" s="20">
        <v>-150730.29399999999</v>
      </c>
      <c r="AA62" s="20">
        <v>-150730.29399999999</v>
      </c>
      <c r="AB62" s="20">
        <v>-150730.29399999999</v>
      </c>
      <c r="AC62" s="20">
        <v>-150730.29399999999</v>
      </c>
      <c r="AD62" s="20">
        <v>-150730.29399999999</v>
      </c>
      <c r="AE62" s="17">
        <f t="shared" si="10"/>
        <v>0</v>
      </c>
    </row>
    <row r="63" spans="1:31" x14ac:dyDescent="0.3">
      <c r="A63" t="s">
        <v>167</v>
      </c>
      <c r="B63" s="17">
        <v>678520.98</v>
      </c>
      <c r="C63" s="17">
        <v>0</v>
      </c>
      <c r="D63" s="17">
        <v>0</v>
      </c>
      <c r="E63" s="17">
        <v>0</v>
      </c>
      <c r="F63" s="17">
        <f t="shared" si="1"/>
        <v>678520.98</v>
      </c>
      <c r="G63" s="17">
        <v>261739.46</v>
      </c>
      <c r="H63" s="17">
        <v>-7927.9</v>
      </c>
      <c r="I63" s="17">
        <f t="shared" si="2"/>
        <v>0</v>
      </c>
      <c r="J63" s="17">
        <f t="shared" si="3"/>
        <v>0</v>
      </c>
      <c r="K63" s="17">
        <v>-81840.42</v>
      </c>
      <c r="L63" s="17">
        <f t="shared" si="4"/>
        <v>171971.14</v>
      </c>
      <c r="M63" s="18">
        <f t="shared" si="5"/>
        <v>0.25344999649089706</v>
      </c>
      <c r="N63" s="7" t="s">
        <v>18</v>
      </c>
      <c r="O63" s="17">
        <f t="shared" si="6"/>
        <v>-89768.319999999992</v>
      </c>
      <c r="P63" s="19">
        <v>117164.36</v>
      </c>
      <c r="Q63" s="19">
        <f t="shared" si="7"/>
        <v>0</v>
      </c>
      <c r="R63" s="19">
        <f t="shared" si="8"/>
        <v>117164.36</v>
      </c>
      <c r="U63" s="20">
        <f t="shared" si="9"/>
        <v>8976.8319999999985</v>
      </c>
      <c r="V63" s="20">
        <v>8976.8319999999985</v>
      </c>
      <c r="W63" s="20">
        <v>8976.8319999999985</v>
      </c>
      <c r="X63" s="20">
        <v>8976.8319999999985</v>
      </c>
      <c r="Y63" s="20">
        <v>8976.8319999999985</v>
      </c>
      <c r="Z63" s="20">
        <v>8976.8319999999985</v>
      </c>
      <c r="AA63" s="20">
        <v>8976.8319999999985</v>
      </c>
      <c r="AB63" s="20">
        <v>8976.8319999999985</v>
      </c>
      <c r="AC63" s="20">
        <v>8976.8319999999985</v>
      </c>
      <c r="AD63" s="20">
        <v>8976.8319999999985</v>
      </c>
      <c r="AE63" s="17">
        <f t="shared" si="10"/>
        <v>0</v>
      </c>
    </row>
    <row r="64" spans="1:31" x14ac:dyDescent="0.3">
      <c r="A64" t="s">
        <v>68</v>
      </c>
      <c r="B64" s="17">
        <v>-12596149.34</v>
      </c>
      <c r="C64" s="17">
        <v>0</v>
      </c>
      <c r="D64" s="28">
        <v>12596149.34</v>
      </c>
      <c r="E64" s="17">
        <v>0</v>
      </c>
      <c r="F64" s="17">
        <f t="shared" si="1"/>
        <v>0</v>
      </c>
      <c r="G64" s="17">
        <v>-4858964.6100000003</v>
      </c>
      <c r="H64" s="17">
        <v>-24400.38</v>
      </c>
      <c r="I64" s="17">
        <f t="shared" si="2"/>
        <v>4858964.6079049995</v>
      </c>
      <c r="J64" s="17">
        <f t="shared" si="3"/>
        <v>-1666470.5576819996</v>
      </c>
      <c r="K64" s="17">
        <v>1690870.94</v>
      </c>
      <c r="L64" s="17">
        <f t="shared" si="4"/>
        <v>2.2299960255622864E-4</v>
      </c>
      <c r="M64" s="18">
        <v>0</v>
      </c>
      <c r="N64" s="7" t="s">
        <v>17</v>
      </c>
      <c r="O64" s="17"/>
      <c r="P64" s="19"/>
      <c r="Q64" s="19"/>
      <c r="R64" s="19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17">
        <f t="shared" si="10"/>
        <v>0</v>
      </c>
    </row>
    <row r="65" spans="1:31" x14ac:dyDescent="0.3">
      <c r="A65" t="s">
        <v>71</v>
      </c>
      <c r="B65" s="17">
        <v>-2467663268.46</v>
      </c>
      <c r="C65" s="17">
        <v>0</v>
      </c>
      <c r="D65" s="28">
        <v>-355107918.53999996</v>
      </c>
      <c r="E65" s="17">
        <v>0</v>
      </c>
      <c r="F65" s="17">
        <f t="shared" si="1"/>
        <v>-2822771187</v>
      </c>
      <c r="G65" s="17">
        <v>-863682143.96000004</v>
      </c>
      <c r="H65" s="17">
        <v>50072377.409999996</v>
      </c>
      <c r="I65" s="17">
        <f>+D65*$O$6</f>
        <v>-124287771.48899998</v>
      </c>
      <c r="J65" s="17">
        <f>+D65*$Q$6</f>
        <v>49715108.595599987</v>
      </c>
      <c r="K65" s="17">
        <v>295400480.17000002</v>
      </c>
      <c r="L65" s="17">
        <f t="shared" si="4"/>
        <v>-592781949.27340007</v>
      </c>
      <c r="M65" s="18">
        <f t="shared" si="5"/>
        <v>0.2100000000012045</v>
      </c>
      <c r="N65" s="7" t="s">
        <v>17</v>
      </c>
      <c r="O65" s="17"/>
      <c r="P65" s="19"/>
      <c r="Q65" s="19"/>
      <c r="R65" s="19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17">
        <f t="shared" si="10"/>
        <v>0</v>
      </c>
    </row>
    <row r="66" spans="1:31" x14ac:dyDescent="0.3">
      <c r="A66" t="s">
        <v>73</v>
      </c>
      <c r="B66" s="17">
        <v>-1793631217.8599999</v>
      </c>
      <c r="C66" s="17">
        <v>0</v>
      </c>
      <c r="D66" s="28">
        <v>-397264729.1400001</v>
      </c>
      <c r="E66" s="17">
        <v>0</v>
      </c>
      <c r="F66" s="17">
        <f t="shared" si="1"/>
        <v>-2190895947</v>
      </c>
      <c r="G66" s="17">
        <v>-64122316.039999999</v>
      </c>
      <c r="H66" s="17">
        <v>-798172.94</v>
      </c>
      <c r="I66" s="17">
        <f>+D66*$O$5</f>
        <v>-14202214.066755006</v>
      </c>
      <c r="J66" s="17">
        <f>+D66*$Q$5</f>
        <v>-3058938.4143780004</v>
      </c>
      <c r="K66" s="17">
        <v>-13012787.43</v>
      </c>
      <c r="L66" s="17">
        <f t="shared" si="4"/>
        <v>-95194428.89113301</v>
      </c>
      <c r="M66" s="18">
        <f t="shared" si="5"/>
        <v>4.3449999997253637E-2</v>
      </c>
      <c r="N66" s="7" t="s">
        <v>17</v>
      </c>
      <c r="O66" s="17"/>
      <c r="P66" s="19"/>
      <c r="Q66" s="19"/>
      <c r="R66" s="19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17">
        <f t="shared" si="10"/>
        <v>0</v>
      </c>
    </row>
    <row r="67" spans="1:31" x14ac:dyDescent="0.3">
      <c r="A67" t="s">
        <v>209</v>
      </c>
      <c r="B67" s="17">
        <v>125943563.23999999</v>
      </c>
      <c r="C67" s="17">
        <v>0</v>
      </c>
      <c r="D67" s="17">
        <v>0</v>
      </c>
      <c r="E67" s="17">
        <v>0</v>
      </c>
      <c r="F67" s="17">
        <f t="shared" si="1"/>
        <v>125943563.23999999</v>
      </c>
      <c r="G67" s="17">
        <v>48582729.520000003</v>
      </c>
      <c r="H67" s="17">
        <v>-156920.24</v>
      </c>
      <c r="I67" s="17">
        <f t="shared" si="2"/>
        <v>0</v>
      </c>
      <c r="J67" s="17">
        <f t="shared" si="3"/>
        <v>0</v>
      </c>
      <c r="K67" s="17">
        <v>-16505413.18</v>
      </c>
      <c r="L67" s="17">
        <f t="shared" si="4"/>
        <v>31920396.100000001</v>
      </c>
      <c r="M67" s="18">
        <f t="shared" si="5"/>
        <v>0.25344999997476647</v>
      </c>
      <c r="N67" s="7" t="s">
        <v>18</v>
      </c>
      <c r="O67" s="17">
        <f t="shared" si="6"/>
        <v>-16662333.42</v>
      </c>
      <c r="P67" s="19">
        <v>-5656779.3799999999</v>
      </c>
      <c r="Q67" s="19">
        <f t="shared" si="7"/>
        <v>0</v>
      </c>
      <c r="R67" s="19">
        <f t="shared" si="8"/>
        <v>-5656779.3799999999</v>
      </c>
      <c r="U67" s="20">
        <f t="shared" si="9"/>
        <v>1666233.3419999999</v>
      </c>
      <c r="V67" s="20">
        <v>1666233.3419999999</v>
      </c>
      <c r="W67" s="20">
        <v>1666233.3419999999</v>
      </c>
      <c r="X67" s="20">
        <v>1666233.3419999999</v>
      </c>
      <c r="Y67" s="20">
        <v>1666233.3419999999</v>
      </c>
      <c r="Z67" s="20">
        <v>1666233.3419999999</v>
      </c>
      <c r="AA67" s="20">
        <v>1666233.3419999999</v>
      </c>
      <c r="AB67" s="20">
        <v>1666233.3419999999</v>
      </c>
      <c r="AC67" s="20">
        <v>1666233.3419999999</v>
      </c>
      <c r="AD67" s="20">
        <v>1666233.3419999999</v>
      </c>
      <c r="AE67" s="17">
        <f t="shared" si="10"/>
        <v>0</v>
      </c>
    </row>
    <row r="68" spans="1:31" x14ac:dyDescent="0.3">
      <c r="A68" t="s">
        <v>175</v>
      </c>
      <c r="B68" s="17">
        <v>-2183941.7000000002</v>
      </c>
      <c r="C68" s="17">
        <v>0</v>
      </c>
      <c r="D68" s="17">
        <v>0</v>
      </c>
      <c r="E68" s="17">
        <v>0</v>
      </c>
      <c r="F68" s="17">
        <f t="shared" si="1"/>
        <v>-2183941.7000000002</v>
      </c>
      <c r="G68" s="17">
        <v>-842455.51</v>
      </c>
      <c r="H68" s="17">
        <v>38832.31</v>
      </c>
      <c r="I68" s="17">
        <f t="shared" si="2"/>
        <v>0</v>
      </c>
      <c r="J68" s="17">
        <f t="shared" si="3"/>
        <v>0</v>
      </c>
      <c r="K68" s="17">
        <v>250103.18</v>
      </c>
      <c r="L68" s="17">
        <f t="shared" si="4"/>
        <v>-553520.02</v>
      </c>
      <c r="M68" s="18">
        <f t="shared" si="5"/>
        <v>0.2534499982302641</v>
      </c>
      <c r="N68" s="7" t="s">
        <v>18</v>
      </c>
      <c r="O68" s="17">
        <f t="shared" si="6"/>
        <v>288935.49</v>
      </c>
      <c r="P68" s="19">
        <v>98092.11</v>
      </c>
      <c r="Q68" s="19">
        <f t="shared" si="7"/>
        <v>0</v>
      </c>
      <c r="R68" s="19">
        <f t="shared" si="8"/>
        <v>98092.11</v>
      </c>
      <c r="U68" s="20">
        <f t="shared" si="9"/>
        <v>-28893.548999999999</v>
      </c>
      <c r="V68" s="20">
        <v>-28893.548999999999</v>
      </c>
      <c r="W68" s="20">
        <v>-28893.548999999999</v>
      </c>
      <c r="X68" s="20">
        <v>-28893.548999999999</v>
      </c>
      <c r="Y68" s="20">
        <v>-28893.548999999999</v>
      </c>
      <c r="Z68" s="20">
        <v>-28893.548999999999</v>
      </c>
      <c r="AA68" s="20">
        <v>-28893.548999999999</v>
      </c>
      <c r="AB68" s="20">
        <v>-28893.548999999999</v>
      </c>
      <c r="AC68" s="20">
        <v>-28893.548999999999</v>
      </c>
      <c r="AD68" s="20">
        <v>-28893.548999999999</v>
      </c>
      <c r="AE68" s="17">
        <f t="shared" si="10"/>
        <v>0</v>
      </c>
    </row>
    <row r="69" spans="1:31" x14ac:dyDescent="0.3">
      <c r="A69" t="s">
        <v>177</v>
      </c>
      <c r="B69" s="17">
        <v>0</v>
      </c>
      <c r="C69" s="17">
        <v>0</v>
      </c>
      <c r="D69" s="17">
        <v>0</v>
      </c>
      <c r="E69" s="17">
        <v>0</v>
      </c>
      <c r="F69" s="17">
        <f t="shared" si="1"/>
        <v>0</v>
      </c>
      <c r="G69" s="17">
        <v>0</v>
      </c>
      <c r="H69" s="17">
        <v>0</v>
      </c>
      <c r="I69" s="17">
        <f t="shared" si="2"/>
        <v>0</v>
      </c>
      <c r="J69" s="17">
        <f t="shared" si="3"/>
        <v>0</v>
      </c>
      <c r="K69" s="17">
        <v>0</v>
      </c>
      <c r="L69" s="17">
        <f t="shared" si="4"/>
        <v>0</v>
      </c>
      <c r="M69" s="18">
        <v>0</v>
      </c>
      <c r="N69" s="7" t="s">
        <v>18</v>
      </c>
      <c r="O69" s="17">
        <f t="shared" si="6"/>
        <v>0</v>
      </c>
      <c r="P69" s="19">
        <v>0.12</v>
      </c>
      <c r="Q69" s="19">
        <f t="shared" si="7"/>
        <v>0</v>
      </c>
      <c r="R69" s="19">
        <f t="shared" si="8"/>
        <v>0.12</v>
      </c>
      <c r="U69" s="20">
        <f t="shared" si="9"/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17">
        <f t="shared" si="10"/>
        <v>0</v>
      </c>
    </row>
    <row r="70" spans="1:31" x14ac:dyDescent="0.3">
      <c r="A70" t="s">
        <v>135</v>
      </c>
      <c r="B70" s="17">
        <v>81591563.310000002</v>
      </c>
      <c r="C70" s="17">
        <v>0</v>
      </c>
      <c r="D70" s="17">
        <v>0</v>
      </c>
      <c r="E70" s="17">
        <v>0</v>
      </c>
      <c r="F70" s="17">
        <f t="shared" si="1"/>
        <v>81591563.310000002</v>
      </c>
      <c r="G70" s="17">
        <v>31473945.550000001</v>
      </c>
      <c r="H70" s="17">
        <v>756479.63</v>
      </c>
      <c r="I70" s="17">
        <f t="shared" si="2"/>
        <v>0</v>
      </c>
      <c r="J70" s="17">
        <f t="shared" si="3"/>
        <v>0</v>
      </c>
      <c r="K70" s="17">
        <v>-11551043.460000001</v>
      </c>
      <c r="L70" s="17">
        <f t="shared" si="4"/>
        <v>20679381.719999999</v>
      </c>
      <c r="M70" s="18">
        <f t="shared" si="5"/>
        <v>0.25344999998873041</v>
      </c>
      <c r="N70" s="7" t="s">
        <v>18</v>
      </c>
      <c r="O70" s="17">
        <f t="shared" si="6"/>
        <v>-10794563.83</v>
      </c>
      <c r="P70" s="19">
        <v>-3664700.52</v>
      </c>
      <c r="Q70" s="19">
        <f t="shared" si="7"/>
        <v>0</v>
      </c>
      <c r="R70" s="19">
        <f t="shared" si="8"/>
        <v>-3664700.52</v>
      </c>
      <c r="U70" s="20">
        <f t="shared" si="9"/>
        <v>1079456.3829999999</v>
      </c>
      <c r="V70" s="20">
        <v>1079456.3829999999</v>
      </c>
      <c r="W70" s="20">
        <v>1079456.3829999999</v>
      </c>
      <c r="X70" s="20">
        <v>1079456.3829999999</v>
      </c>
      <c r="Y70" s="20">
        <v>1079456.3829999999</v>
      </c>
      <c r="Z70" s="20">
        <v>1079456.3829999999</v>
      </c>
      <c r="AA70" s="20">
        <v>1079456.3829999999</v>
      </c>
      <c r="AB70" s="20">
        <v>1079456.3829999999</v>
      </c>
      <c r="AC70" s="20">
        <v>1079456.3829999999</v>
      </c>
      <c r="AD70" s="20">
        <v>1079456.3829999999</v>
      </c>
      <c r="AE70" s="17">
        <f t="shared" si="10"/>
        <v>0</v>
      </c>
    </row>
    <row r="71" spans="1:31" x14ac:dyDescent="0.3">
      <c r="A71" t="s">
        <v>108</v>
      </c>
      <c r="B71" s="17">
        <v>3119528</v>
      </c>
      <c r="C71" s="17">
        <v>0</v>
      </c>
      <c r="D71" s="17">
        <v>0</v>
      </c>
      <c r="E71" s="17">
        <v>0</v>
      </c>
      <c r="F71" s="17">
        <f t="shared" si="1"/>
        <v>3119528</v>
      </c>
      <c r="G71" s="17">
        <v>1203357.93</v>
      </c>
      <c r="H71" s="17">
        <v>0</v>
      </c>
      <c r="I71" s="17">
        <f t="shared" si="2"/>
        <v>0</v>
      </c>
      <c r="J71" s="17">
        <f t="shared" si="3"/>
        <v>0</v>
      </c>
      <c r="K71" s="17">
        <v>-412713.56</v>
      </c>
      <c r="L71" s="17">
        <f t="shared" si="4"/>
        <v>790644.36999999988</v>
      </c>
      <c r="M71" s="18">
        <f t="shared" si="5"/>
        <v>0.25344999948710184</v>
      </c>
      <c r="N71" s="7" t="s">
        <v>18</v>
      </c>
      <c r="O71" s="17">
        <f t="shared" si="6"/>
        <v>-412713.56</v>
      </c>
      <c r="P71" s="19">
        <v>-140114.20000000001</v>
      </c>
      <c r="Q71" s="19">
        <f t="shared" si="7"/>
        <v>0</v>
      </c>
      <c r="R71" s="19">
        <f t="shared" si="8"/>
        <v>-140114.20000000001</v>
      </c>
      <c r="U71" s="20">
        <f t="shared" si="9"/>
        <v>41271.356</v>
      </c>
      <c r="V71" s="20">
        <v>41271.356</v>
      </c>
      <c r="W71" s="20">
        <v>41271.356</v>
      </c>
      <c r="X71" s="20">
        <v>41271.356</v>
      </c>
      <c r="Y71" s="20">
        <v>41271.356</v>
      </c>
      <c r="Z71" s="20">
        <v>41271.356</v>
      </c>
      <c r="AA71" s="20">
        <v>41271.356</v>
      </c>
      <c r="AB71" s="20">
        <v>41271.356</v>
      </c>
      <c r="AC71" s="20">
        <v>41271.356</v>
      </c>
      <c r="AD71" s="20">
        <v>41271.356</v>
      </c>
      <c r="AE71" s="17">
        <f t="shared" si="10"/>
        <v>0</v>
      </c>
    </row>
    <row r="72" spans="1:31" x14ac:dyDescent="0.3">
      <c r="A72" t="s">
        <v>109</v>
      </c>
      <c r="B72" s="17">
        <v>9640008</v>
      </c>
      <c r="C72" s="17">
        <v>0</v>
      </c>
      <c r="D72" s="17">
        <v>0</v>
      </c>
      <c r="E72" s="17">
        <v>0</v>
      </c>
      <c r="F72" s="17">
        <f t="shared" si="1"/>
        <v>9640008</v>
      </c>
      <c r="G72" s="17">
        <v>3718633.09</v>
      </c>
      <c r="H72" s="17">
        <v>-121384.59</v>
      </c>
      <c r="I72" s="17">
        <f t="shared" si="2"/>
        <v>0</v>
      </c>
      <c r="J72" s="17">
        <f t="shared" si="3"/>
        <v>0</v>
      </c>
      <c r="K72" s="17">
        <v>-1153988.47</v>
      </c>
      <c r="L72" s="17">
        <f t="shared" si="4"/>
        <v>2443260.0300000003</v>
      </c>
      <c r="M72" s="18">
        <f t="shared" si="5"/>
        <v>0.25345000024896247</v>
      </c>
      <c r="N72" s="7" t="s">
        <v>18</v>
      </c>
      <c r="O72" s="17">
        <f t="shared" si="6"/>
        <v>-1275373.06</v>
      </c>
      <c r="P72" s="19">
        <v>-391773.33</v>
      </c>
      <c r="Q72" s="19">
        <f t="shared" si="7"/>
        <v>0</v>
      </c>
      <c r="R72" s="19">
        <f t="shared" si="8"/>
        <v>-391773.33</v>
      </c>
      <c r="U72" s="20">
        <f t="shared" si="9"/>
        <v>127537.30600000001</v>
      </c>
      <c r="V72" s="20">
        <v>127537.30600000001</v>
      </c>
      <c r="W72" s="20">
        <v>127537.30600000001</v>
      </c>
      <c r="X72" s="20">
        <v>127537.30600000001</v>
      </c>
      <c r="Y72" s="20">
        <v>127537.30600000001</v>
      </c>
      <c r="Z72" s="20">
        <v>127537.30600000001</v>
      </c>
      <c r="AA72" s="20">
        <v>127537.30600000001</v>
      </c>
      <c r="AB72" s="20">
        <v>127537.30600000001</v>
      </c>
      <c r="AC72" s="20">
        <v>127537.30600000001</v>
      </c>
      <c r="AD72" s="20">
        <v>127537.30600000001</v>
      </c>
      <c r="AE72" s="17">
        <f t="shared" si="10"/>
        <v>0</v>
      </c>
    </row>
    <row r="73" spans="1:31" x14ac:dyDescent="0.3">
      <c r="A73" t="s">
        <v>110</v>
      </c>
      <c r="B73" s="17">
        <v>-9640008</v>
      </c>
      <c r="C73" s="17">
        <v>0</v>
      </c>
      <c r="D73" s="17">
        <v>0</v>
      </c>
      <c r="E73" s="17">
        <v>0</v>
      </c>
      <c r="F73" s="17">
        <f t="shared" si="1"/>
        <v>-9640008</v>
      </c>
      <c r="G73" s="17">
        <v>-3718633.09</v>
      </c>
      <c r="H73" s="17">
        <v>121384.59</v>
      </c>
      <c r="I73" s="17">
        <f t="shared" si="2"/>
        <v>0</v>
      </c>
      <c r="J73" s="17">
        <f t="shared" si="3"/>
        <v>0</v>
      </c>
      <c r="K73" s="17">
        <v>1153988.47</v>
      </c>
      <c r="L73" s="17">
        <f t="shared" si="4"/>
        <v>-2443260.0300000003</v>
      </c>
      <c r="M73" s="18">
        <f t="shared" si="5"/>
        <v>0.25345000024896247</v>
      </c>
      <c r="N73" s="7" t="s">
        <v>18</v>
      </c>
      <c r="O73" s="17">
        <f t="shared" si="6"/>
        <v>1275373.06</v>
      </c>
      <c r="P73" s="19">
        <v>391773.33</v>
      </c>
      <c r="Q73" s="19">
        <f t="shared" si="7"/>
        <v>0</v>
      </c>
      <c r="R73" s="19">
        <f t="shared" si="8"/>
        <v>391773.33</v>
      </c>
      <c r="U73" s="20">
        <f t="shared" si="9"/>
        <v>-127537.30600000001</v>
      </c>
      <c r="V73" s="20">
        <v>-127537.30600000001</v>
      </c>
      <c r="W73" s="20">
        <v>-127537.30600000001</v>
      </c>
      <c r="X73" s="20">
        <v>-127537.30600000001</v>
      </c>
      <c r="Y73" s="20">
        <v>-127537.30600000001</v>
      </c>
      <c r="Z73" s="20">
        <v>-127537.30600000001</v>
      </c>
      <c r="AA73" s="20">
        <v>-127537.30600000001</v>
      </c>
      <c r="AB73" s="20">
        <v>-127537.30600000001</v>
      </c>
      <c r="AC73" s="20">
        <v>-127537.30600000001</v>
      </c>
      <c r="AD73" s="20">
        <v>-127537.30600000001</v>
      </c>
      <c r="AE73" s="17">
        <f t="shared" si="10"/>
        <v>0</v>
      </c>
    </row>
    <row r="74" spans="1:31" x14ac:dyDescent="0.3">
      <c r="A74" t="s">
        <v>111</v>
      </c>
      <c r="B74" s="17">
        <v>46775125</v>
      </c>
      <c r="C74" s="17">
        <v>0</v>
      </c>
      <c r="D74" s="17">
        <v>0</v>
      </c>
      <c r="E74" s="17">
        <v>0</v>
      </c>
      <c r="F74" s="17">
        <f t="shared" si="1"/>
        <v>46775125</v>
      </c>
      <c r="G74" s="17">
        <v>18043504.469999999</v>
      </c>
      <c r="H74" s="17">
        <v>-2465563.4300000002</v>
      </c>
      <c r="I74" s="17">
        <f t="shared" si="2"/>
        <v>0</v>
      </c>
      <c r="J74" s="17">
        <f t="shared" si="3"/>
        <v>0</v>
      </c>
      <c r="K74" s="17">
        <v>-3722785.6</v>
      </c>
      <c r="L74" s="17">
        <f t="shared" si="4"/>
        <v>11855155.439999999</v>
      </c>
      <c r="M74" s="18">
        <f t="shared" si="5"/>
        <v>0.25345000018706521</v>
      </c>
      <c r="N74" s="7" t="s">
        <v>18</v>
      </c>
      <c r="O74" s="17">
        <f t="shared" si="6"/>
        <v>-6188349.0300000003</v>
      </c>
      <c r="P74" s="19">
        <v>-1263867.1299999999</v>
      </c>
      <c r="Q74" s="19">
        <f t="shared" si="7"/>
        <v>0</v>
      </c>
      <c r="R74" s="19">
        <f t="shared" si="8"/>
        <v>-1263867.1299999999</v>
      </c>
      <c r="U74" s="20">
        <f t="shared" si="9"/>
        <v>618834.90300000005</v>
      </c>
      <c r="V74" s="20">
        <v>618834.90300000005</v>
      </c>
      <c r="W74" s="20">
        <v>618834.90300000005</v>
      </c>
      <c r="X74" s="20">
        <v>618834.90300000005</v>
      </c>
      <c r="Y74" s="20">
        <v>618834.90300000005</v>
      </c>
      <c r="Z74" s="20">
        <v>618834.90300000005</v>
      </c>
      <c r="AA74" s="20">
        <v>618834.90300000005</v>
      </c>
      <c r="AB74" s="20">
        <v>618834.90300000005</v>
      </c>
      <c r="AC74" s="20">
        <v>618834.90300000005</v>
      </c>
      <c r="AD74" s="20">
        <v>618834.90300000005</v>
      </c>
      <c r="AE74" s="17">
        <f t="shared" si="10"/>
        <v>0</v>
      </c>
    </row>
    <row r="75" spans="1:31" x14ac:dyDescent="0.3">
      <c r="A75" t="s">
        <v>112</v>
      </c>
      <c r="B75" s="17">
        <v>-46775125</v>
      </c>
      <c r="C75" s="17">
        <v>0</v>
      </c>
      <c r="D75" s="17">
        <v>0</v>
      </c>
      <c r="E75" s="17">
        <v>0</v>
      </c>
      <c r="F75" s="17">
        <f t="shared" si="1"/>
        <v>-46775125</v>
      </c>
      <c r="G75" s="17">
        <v>-18043504.469999999</v>
      </c>
      <c r="H75" s="17">
        <v>2465563.4300000002</v>
      </c>
      <c r="I75" s="17">
        <f t="shared" si="2"/>
        <v>0</v>
      </c>
      <c r="J75" s="17">
        <f t="shared" si="3"/>
        <v>0</v>
      </c>
      <c r="K75" s="17">
        <v>3722785.6</v>
      </c>
      <c r="L75" s="17">
        <f t="shared" si="4"/>
        <v>-11855155.439999999</v>
      </c>
      <c r="M75" s="18">
        <f t="shared" si="5"/>
        <v>0.25345000018706521</v>
      </c>
      <c r="N75" s="7" t="s">
        <v>18</v>
      </c>
      <c r="O75" s="17">
        <f t="shared" si="6"/>
        <v>6188349.0300000003</v>
      </c>
      <c r="P75" s="19">
        <v>1263867.1299999999</v>
      </c>
      <c r="Q75" s="19">
        <f t="shared" si="7"/>
        <v>0</v>
      </c>
      <c r="R75" s="19">
        <f t="shared" si="8"/>
        <v>1263867.1299999999</v>
      </c>
      <c r="U75" s="20">
        <f t="shared" si="9"/>
        <v>-618834.90300000005</v>
      </c>
      <c r="V75" s="20">
        <v>-618834.90300000005</v>
      </c>
      <c r="W75" s="20">
        <v>-618834.90300000005</v>
      </c>
      <c r="X75" s="20">
        <v>-618834.90300000005</v>
      </c>
      <c r="Y75" s="20">
        <v>-618834.90300000005</v>
      </c>
      <c r="Z75" s="20">
        <v>-618834.90300000005</v>
      </c>
      <c r="AA75" s="20">
        <v>-618834.90300000005</v>
      </c>
      <c r="AB75" s="20">
        <v>-618834.90300000005</v>
      </c>
      <c r="AC75" s="20">
        <v>-618834.90300000005</v>
      </c>
      <c r="AD75" s="20">
        <v>-618834.90300000005</v>
      </c>
      <c r="AE75" s="17">
        <f t="shared" si="10"/>
        <v>0</v>
      </c>
    </row>
    <row r="76" spans="1:31" x14ac:dyDescent="0.3">
      <c r="A76" t="s">
        <v>137</v>
      </c>
      <c r="B76" s="17">
        <v>13977835</v>
      </c>
      <c r="C76" s="17">
        <v>0</v>
      </c>
      <c r="D76" s="17">
        <v>0</v>
      </c>
      <c r="E76" s="17">
        <v>0</v>
      </c>
      <c r="F76" s="17">
        <f t="shared" ref="F76:F113" si="11">SUM(B76:E76)</f>
        <v>13977835</v>
      </c>
      <c r="G76" s="17">
        <v>5391949.8600000003</v>
      </c>
      <c r="H76" s="17">
        <v>212172.01</v>
      </c>
      <c r="I76" s="17">
        <f t="shared" ref="I76:I113" si="12">+D76*$O$7</f>
        <v>0</v>
      </c>
      <c r="J76" s="17">
        <f t="shared" ref="J76:J113" si="13">+D76*$Q$7</f>
        <v>0</v>
      </c>
      <c r="K76" s="17">
        <v>-2061439.58</v>
      </c>
      <c r="L76" s="17">
        <f t="shared" ref="L76:L113" si="14">SUM(G76:K76)</f>
        <v>3542682.29</v>
      </c>
      <c r="M76" s="18">
        <f t="shared" ref="M76:M112" si="15">+L76/F76</f>
        <v>0.25345000066176199</v>
      </c>
      <c r="N76" s="7" t="s">
        <v>18</v>
      </c>
      <c r="O76" s="17">
        <f t="shared" ref="O76:O113" si="16">+H76+J76+K76</f>
        <v>-1849267.57</v>
      </c>
      <c r="P76" s="19">
        <v>-627707.81999999995</v>
      </c>
      <c r="Q76" s="19">
        <f t="shared" ref="Q76:Q113" si="17">+J76*$P$8</f>
        <v>0</v>
      </c>
      <c r="R76" s="19">
        <f t="shared" ref="R76:R114" si="18">+P76+Q76</f>
        <v>-627707.81999999995</v>
      </c>
      <c r="U76" s="20">
        <f t="shared" ref="U76:U114" si="19">-O76/10</f>
        <v>184926.75700000001</v>
      </c>
      <c r="V76" s="20">
        <v>184926.75700000001</v>
      </c>
      <c r="W76" s="20">
        <v>184926.75700000001</v>
      </c>
      <c r="X76" s="20">
        <v>184926.75700000001</v>
      </c>
      <c r="Y76" s="20">
        <v>184926.75700000001</v>
      </c>
      <c r="Z76" s="20">
        <v>184926.75700000001</v>
      </c>
      <c r="AA76" s="20">
        <v>184926.75700000001</v>
      </c>
      <c r="AB76" s="20">
        <v>184926.75700000001</v>
      </c>
      <c r="AC76" s="20">
        <v>184926.75700000001</v>
      </c>
      <c r="AD76" s="20">
        <v>184926.75700000001</v>
      </c>
      <c r="AE76" s="17">
        <f t="shared" ref="AE76:AE114" si="20">+O76+SUM(U76:AD76)</f>
        <v>0</v>
      </c>
    </row>
    <row r="77" spans="1:31" x14ac:dyDescent="0.3">
      <c r="A77" t="s">
        <v>179</v>
      </c>
      <c r="B77" s="17">
        <v>383749.84</v>
      </c>
      <c r="C77" s="17">
        <v>0</v>
      </c>
      <c r="D77" s="17">
        <v>0</v>
      </c>
      <c r="E77" s="17">
        <v>0</v>
      </c>
      <c r="F77" s="17">
        <f t="shared" si="11"/>
        <v>383749.84</v>
      </c>
      <c r="G77" s="17">
        <v>148031.5</v>
      </c>
      <c r="H77" s="17">
        <v>11693.21</v>
      </c>
      <c r="I77" s="17">
        <f t="shared" si="12"/>
        <v>0</v>
      </c>
      <c r="J77" s="17">
        <f t="shared" si="13"/>
        <v>0</v>
      </c>
      <c r="K77" s="17">
        <v>-62463.31</v>
      </c>
      <c r="L77" s="17">
        <f t="shared" si="14"/>
        <v>97261.4</v>
      </c>
      <c r="M77" s="18">
        <f t="shared" si="15"/>
        <v>0.25345000795309774</v>
      </c>
      <c r="N77" s="7" t="s">
        <v>18</v>
      </c>
      <c r="O77" s="17">
        <f t="shared" si="16"/>
        <v>-50770.1</v>
      </c>
      <c r="P77" s="19">
        <v>-14744.17</v>
      </c>
      <c r="Q77" s="19">
        <f t="shared" si="17"/>
        <v>0</v>
      </c>
      <c r="R77" s="19">
        <f t="shared" si="18"/>
        <v>-14744.17</v>
      </c>
      <c r="U77" s="20">
        <f t="shared" si="19"/>
        <v>5077.01</v>
      </c>
      <c r="V77" s="20">
        <v>5077.01</v>
      </c>
      <c r="W77" s="20">
        <v>5077.01</v>
      </c>
      <c r="X77" s="20">
        <v>5077.01</v>
      </c>
      <c r="Y77" s="20">
        <v>5077.01</v>
      </c>
      <c r="Z77" s="20">
        <v>5077.01</v>
      </c>
      <c r="AA77" s="20">
        <v>5077.01</v>
      </c>
      <c r="AB77" s="20">
        <v>5077.01</v>
      </c>
      <c r="AC77" s="20">
        <v>5077.01</v>
      </c>
      <c r="AD77" s="20">
        <v>5077.01</v>
      </c>
      <c r="AE77" s="17">
        <f t="shared" si="20"/>
        <v>0</v>
      </c>
    </row>
    <row r="78" spans="1:31" x14ac:dyDescent="0.3">
      <c r="A78" t="s">
        <v>211</v>
      </c>
      <c r="B78" s="17">
        <v>79543.13</v>
      </c>
      <c r="C78" s="17">
        <v>0</v>
      </c>
      <c r="D78" s="28">
        <v>-79543.13</v>
      </c>
      <c r="E78" s="17">
        <v>0</v>
      </c>
      <c r="F78" s="17">
        <f t="shared" si="11"/>
        <v>0</v>
      </c>
      <c r="G78" s="17">
        <v>30683.759999999998</v>
      </c>
      <c r="H78" s="17">
        <v>1957.65</v>
      </c>
      <c r="I78" s="17">
        <f t="shared" si="12"/>
        <v>-30683.762397499999</v>
      </c>
      <c r="J78" s="17">
        <f t="shared" si="13"/>
        <v>10523.556098999998</v>
      </c>
      <c r="K78" s="17">
        <v>-12481.2</v>
      </c>
      <c r="L78" s="17">
        <f t="shared" si="14"/>
        <v>3.7014999979874119E-3</v>
      </c>
      <c r="M78" s="18">
        <v>0</v>
      </c>
      <c r="N78" s="7" t="s">
        <v>18</v>
      </c>
      <c r="O78" s="17">
        <f t="shared" si="16"/>
        <v>6.0989999965386232E-3</v>
      </c>
      <c r="P78" s="19">
        <v>-3550.89</v>
      </c>
      <c r="Q78" s="19">
        <f t="shared" si="17"/>
        <v>3572.6947870759486</v>
      </c>
      <c r="R78" s="19">
        <f t="shared" si="18"/>
        <v>21.804787075948752</v>
      </c>
      <c r="U78" s="20">
        <f t="shared" si="19"/>
        <v>-6.098999996538623E-4</v>
      </c>
      <c r="V78" s="20">
        <v>-6.098999996538623E-4</v>
      </c>
      <c r="W78" s="20">
        <v>-6.098999996538623E-4</v>
      </c>
      <c r="X78" s="20">
        <v>-6.098999996538623E-4</v>
      </c>
      <c r="Y78" s="20">
        <v>-6.098999996538623E-4</v>
      </c>
      <c r="Z78" s="20">
        <v>-6.098999996538623E-4</v>
      </c>
      <c r="AA78" s="20">
        <v>-6.098999996538623E-4</v>
      </c>
      <c r="AB78" s="20">
        <v>-6.098999996538623E-4</v>
      </c>
      <c r="AC78" s="20">
        <v>-6.098999996538623E-4</v>
      </c>
      <c r="AD78" s="20">
        <v>-6.098999996538623E-4</v>
      </c>
      <c r="AE78" s="17">
        <f t="shared" si="20"/>
        <v>0</v>
      </c>
    </row>
    <row r="79" spans="1:31" x14ac:dyDescent="0.3">
      <c r="A79" t="s">
        <v>370</v>
      </c>
      <c r="B79" s="17">
        <v>-22320525.66</v>
      </c>
      <c r="C79" s="17">
        <v>0</v>
      </c>
      <c r="D79" s="17">
        <v>0</v>
      </c>
      <c r="E79" s="17">
        <v>0</v>
      </c>
      <c r="F79" s="17">
        <f t="shared" si="11"/>
        <v>-22320525.66</v>
      </c>
      <c r="G79" s="17">
        <v>22320525.66</v>
      </c>
      <c r="H79" s="17">
        <v>0</v>
      </c>
      <c r="I79" s="17">
        <f t="shared" si="12"/>
        <v>0</v>
      </c>
      <c r="J79" s="17">
        <f t="shared" si="13"/>
        <v>0</v>
      </c>
      <c r="K79" s="17">
        <v>0</v>
      </c>
      <c r="L79" s="17">
        <f t="shared" si="14"/>
        <v>22320525.66</v>
      </c>
      <c r="M79" s="18">
        <f t="shared" si="15"/>
        <v>-1</v>
      </c>
      <c r="N79" s="7" t="s">
        <v>18</v>
      </c>
      <c r="O79" s="17">
        <f t="shared" si="16"/>
        <v>0</v>
      </c>
      <c r="P79" s="19"/>
      <c r="Q79" s="19">
        <f t="shared" si="17"/>
        <v>0</v>
      </c>
      <c r="R79" s="19">
        <f t="shared" si="18"/>
        <v>0</v>
      </c>
      <c r="U79" s="20">
        <f t="shared" si="19"/>
        <v>0</v>
      </c>
      <c r="V79" s="20">
        <v>0</v>
      </c>
      <c r="W79" s="20">
        <v>0</v>
      </c>
      <c r="X79" s="20">
        <v>0</v>
      </c>
      <c r="Y79" s="20">
        <v>0</v>
      </c>
      <c r="Z79" s="20">
        <v>0</v>
      </c>
      <c r="AA79" s="20">
        <v>0</v>
      </c>
      <c r="AB79" s="20">
        <v>0</v>
      </c>
      <c r="AC79" s="20">
        <v>0</v>
      </c>
      <c r="AD79" s="20">
        <v>0</v>
      </c>
      <c r="AE79" s="17">
        <f t="shared" si="20"/>
        <v>0</v>
      </c>
    </row>
    <row r="80" spans="1:31" x14ac:dyDescent="0.3">
      <c r="A80" t="s">
        <v>183</v>
      </c>
      <c r="B80" s="17">
        <v>0</v>
      </c>
      <c r="C80" s="17">
        <v>0</v>
      </c>
      <c r="D80" s="17">
        <v>0</v>
      </c>
      <c r="E80" s="17">
        <v>0</v>
      </c>
      <c r="F80" s="17">
        <f t="shared" si="11"/>
        <v>0</v>
      </c>
      <c r="G80" s="17">
        <v>0</v>
      </c>
      <c r="H80" s="17">
        <v>-428223.74</v>
      </c>
      <c r="I80" s="17">
        <f t="shared" si="12"/>
        <v>0</v>
      </c>
      <c r="J80" s="17">
        <f t="shared" si="13"/>
        <v>0</v>
      </c>
      <c r="K80" s="17">
        <v>428223.74</v>
      </c>
      <c r="L80" s="17">
        <f t="shared" si="14"/>
        <v>0</v>
      </c>
      <c r="M80" s="18">
        <v>0</v>
      </c>
      <c r="N80" s="7" t="s">
        <v>18</v>
      </c>
      <c r="O80" s="17">
        <f t="shared" si="16"/>
        <v>0</v>
      </c>
      <c r="P80" s="19">
        <v>0</v>
      </c>
      <c r="Q80" s="19">
        <f t="shared" si="17"/>
        <v>0</v>
      </c>
      <c r="R80" s="19">
        <f t="shared" si="18"/>
        <v>0</v>
      </c>
      <c r="U80" s="20">
        <f t="shared" si="19"/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0</v>
      </c>
      <c r="AD80" s="20">
        <v>0</v>
      </c>
      <c r="AE80" s="17">
        <f t="shared" si="20"/>
        <v>0</v>
      </c>
    </row>
    <row r="81" spans="1:31" x14ac:dyDescent="0.3">
      <c r="A81" t="s">
        <v>181</v>
      </c>
      <c r="B81" s="17">
        <v>-27328771.170000002</v>
      </c>
      <c r="C81" s="17">
        <v>0</v>
      </c>
      <c r="D81" s="17">
        <v>0</v>
      </c>
      <c r="E81" s="17">
        <v>0</v>
      </c>
      <c r="F81" s="17">
        <f t="shared" si="11"/>
        <v>-27328771.170000002</v>
      </c>
      <c r="G81" s="17">
        <v>-10542073.470000001</v>
      </c>
      <c r="H81" s="17">
        <v>13057663.529999999</v>
      </c>
      <c r="I81" s="17">
        <f t="shared" si="12"/>
        <v>0</v>
      </c>
      <c r="J81" s="17">
        <f t="shared" si="13"/>
        <v>0</v>
      </c>
      <c r="K81" s="17">
        <v>-9442067.1099999994</v>
      </c>
      <c r="L81" s="17">
        <f t="shared" si="14"/>
        <v>-6926477.0500000007</v>
      </c>
      <c r="M81" s="18">
        <f t="shared" si="15"/>
        <v>0.25344999988889</v>
      </c>
      <c r="N81" s="7" t="s">
        <v>18</v>
      </c>
      <c r="O81" s="17">
        <f t="shared" si="16"/>
        <v>3615596.42</v>
      </c>
      <c r="P81" s="19">
        <v>1243827.73</v>
      </c>
      <c r="Q81" s="19">
        <f t="shared" si="17"/>
        <v>0</v>
      </c>
      <c r="R81" s="19">
        <f t="shared" si="18"/>
        <v>1243827.73</v>
      </c>
      <c r="U81" s="20">
        <f t="shared" si="19"/>
        <v>-361559.64199999999</v>
      </c>
      <c r="V81" s="20">
        <v>-361559.64199999999</v>
      </c>
      <c r="W81" s="20">
        <v>-361559.64199999999</v>
      </c>
      <c r="X81" s="20">
        <v>-361559.64199999999</v>
      </c>
      <c r="Y81" s="20">
        <v>-361559.64199999999</v>
      </c>
      <c r="Z81" s="20">
        <v>-361559.64199999999</v>
      </c>
      <c r="AA81" s="20">
        <v>-361559.64199999999</v>
      </c>
      <c r="AB81" s="20">
        <v>-361559.64199999999</v>
      </c>
      <c r="AC81" s="20">
        <v>-361559.64199999999</v>
      </c>
      <c r="AD81" s="20">
        <v>-361559.64199999999</v>
      </c>
      <c r="AE81" s="17">
        <f t="shared" si="20"/>
        <v>0</v>
      </c>
    </row>
    <row r="82" spans="1:31" x14ac:dyDescent="0.3">
      <c r="A82" t="s">
        <v>371</v>
      </c>
      <c r="B82" s="17">
        <v>14407398</v>
      </c>
      <c r="C82" s="17">
        <v>0</v>
      </c>
      <c r="D82" s="17">
        <v>0</v>
      </c>
      <c r="E82" s="17">
        <v>0</v>
      </c>
      <c r="F82" s="17">
        <f t="shared" si="11"/>
        <v>14407398</v>
      </c>
      <c r="G82" s="17">
        <v>8209343.5999999996</v>
      </c>
      <c r="H82" s="17">
        <v>-3241948.01</v>
      </c>
      <c r="I82" s="17">
        <f t="shared" si="12"/>
        <v>0</v>
      </c>
      <c r="J82" s="17">
        <f t="shared" si="13"/>
        <v>0</v>
      </c>
      <c r="K82" s="17">
        <v>-914681.67</v>
      </c>
      <c r="L82" s="17">
        <f t="shared" si="14"/>
        <v>4052713.92</v>
      </c>
      <c r="M82" s="18">
        <f t="shared" si="15"/>
        <v>0.28129395189887862</v>
      </c>
      <c r="N82" s="7" t="s">
        <v>18</v>
      </c>
      <c r="O82" s="55">
        <f t="shared" si="16"/>
        <v>-4156629.6799999997</v>
      </c>
      <c r="P82" s="19"/>
      <c r="Q82" s="19">
        <f t="shared" si="17"/>
        <v>0</v>
      </c>
      <c r="R82" s="19">
        <f t="shared" si="18"/>
        <v>0</v>
      </c>
      <c r="U82" s="20">
        <f t="shared" si="19"/>
        <v>415662.96799999999</v>
      </c>
      <c r="V82" s="20">
        <v>415662.96799999999</v>
      </c>
      <c r="W82" s="20">
        <v>415662.96799999999</v>
      </c>
      <c r="X82" s="20">
        <v>415662.96799999999</v>
      </c>
      <c r="Y82" s="20">
        <v>415662.96799999999</v>
      </c>
      <c r="Z82" s="20">
        <v>415662.96799999999</v>
      </c>
      <c r="AA82" s="20">
        <v>415662.96799999999</v>
      </c>
      <c r="AB82" s="20">
        <v>415662.96799999999</v>
      </c>
      <c r="AC82" s="20">
        <v>415662.96799999999</v>
      </c>
      <c r="AD82" s="20">
        <v>415662.96799999999</v>
      </c>
      <c r="AE82" s="17">
        <f t="shared" si="20"/>
        <v>0</v>
      </c>
    </row>
    <row r="83" spans="1:31" x14ac:dyDescent="0.3">
      <c r="A83" t="s">
        <v>185</v>
      </c>
      <c r="B83" s="17">
        <v>404156.98</v>
      </c>
      <c r="C83" s="17">
        <v>0</v>
      </c>
      <c r="D83" s="17">
        <v>0</v>
      </c>
      <c r="E83" s="17">
        <v>0</v>
      </c>
      <c r="F83" s="17">
        <f t="shared" si="11"/>
        <v>404156.98</v>
      </c>
      <c r="G83" s="17">
        <v>155903.54999999999</v>
      </c>
      <c r="H83" s="17">
        <v>-49674.23</v>
      </c>
      <c r="I83" s="17">
        <f t="shared" si="12"/>
        <v>0</v>
      </c>
      <c r="J83" s="17">
        <f t="shared" si="13"/>
        <v>0</v>
      </c>
      <c r="K83" s="17">
        <v>-3795.73</v>
      </c>
      <c r="L83" s="17">
        <f t="shared" si="14"/>
        <v>102433.58999999998</v>
      </c>
      <c r="M83" s="18">
        <f t="shared" si="15"/>
        <v>0.25345000845958415</v>
      </c>
      <c r="N83" s="7" t="s">
        <v>18</v>
      </c>
      <c r="O83" s="17">
        <f t="shared" si="16"/>
        <v>-53469.960000000006</v>
      </c>
      <c r="P83" s="19"/>
      <c r="Q83" s="19">
        <f t="shared" si="17"/>
        <v>0</v>
      </c>
      <c r="R83" s="19">
        <f t="shared" si="18"/>
        <v>0</v>
      </c>
      <c r="U83" s="20">
        <f t="shared" si="19"/>
        <v>5346.996000000001</v>
      </c>
      <c r="V83" s="20">
        <v>5346.996000000001</v>
      </c>
      <c r="W83" s="20">
        <v>5346.996000000001</v>
      </c>
      <c r="X83" s="20">
        <v>5346.996000000001</v>
      </c>
      <c r="Y83" s="20">
        <v>5346.996000000001</v>
      </c>
      <c r="Z83" s="20">
        <v>5346.996000000001</v>
      </c>
      <c r="AA83" s="20">
        <v>5346.996000000001</v>
      </c>
      <c r="AB83" s="20">
        <v>5346.996000000001</v>
      </c>
      <c r="AC83" s="20">
        <v>5346.996000000001</v>
      </c>
      <c r="AD83" s="20">
        <v>5346.996000000001</v>
      </c>
      <c r="AE83" s="17">
        <f t="shared" si="20"/>
        <v>0</v>
      </c>
    </row>
    <row r="84" spans="1:31" x14ac:dyDescent="0.3">
      <c r="A84" t="s">
        <v>139</v>
      </c>
      <c r="B84" s="17">
        <v>6046167.7199999997</v>
      </c>
      <c r="C84" s="17">
        <v>0</v>
      </c>
      <c r="D84" s="17">
        <v>0</v>
      </c>
      <c r="E84" s="17">
        <v>0</v>
      </c>
      <c r="F84" s="17">
        <f t="shared" si="11"/>
        <v>6046167.7199999997</v>
      </c>
      <c r="G84" s="17">
        <v>2332309.19</v>
      </c>
      <c r="H84" s="17">
        <v>-619195.98</v>
      </c>
      <c r="I84" s="17">
        <f t="shared" si="12"/>
        <v>0</v>
      </c>
      <c r="J84" s="17">
        <f t="shared" si="13"/>
        <v>0</v>
      </c>
      <c r="K84" s="17">
        <v>-180712.01</v>
      </c>
      <c r="L84" s="17">
        <f t="shared" si="14"/>
        <v>1532401.2</v>
      </c>
      <c r="M84" s="18">
        <f t="shared" si="15"/>
        <v>0.25344999857198802</v>
      </c>
      <c r="N84" s="7" t="s">
        <v>18</v>
      </c>
      <c r="O84" s="17">
        <f t="shared" si="16"/>
        <v>-799907.99</v>
      </c>
      <c r="P84" s="19">
        <v>-271564.77</v>
      </c>
      <c r="Q84" s="19">
        <f t="shared" si="17"/>
        <v>0</v>
      </c>
      <c r="R84" s="19">
        <f t="shared" si="18"/>
        <v>-271564.77</v>
      </c>
      <c r="U84" s="20">
        <f t="shared" si="19"/>
        <v>79990.798999999999</v>
      </c>
      <c r="V84" s="20">
        <v>79990.798999999999</v>
      </c>
      <c r="W84" s="20">
        <v>79990.798999999999</v>
      </c>
      <c r="X84" s="20">
        <v>79990.798999999999</v>
      </c>
      <c r="Y84" s="20">
        <v>79990.798999999999</v>
      </c>
      <c r="Z84" s="20">
        <v>79990.798999999999</v>
      </c>
      <c r="AA84" s="20">
        <v>79990.798999999999</v>
      </c>
      <c r="AB84" s="20">
        <v>79990.798999999999</v>
      </c>
      <c r="AC84" s="20">
        <v>79990.798999999999</v>
      </c>
      <c r="AD84" s="20">
        <v>79990.798999999999</v>
      </c>
      <c r="AE84" s="17">
        <f t="shared" si="20"/>
        <v>0</v>
      </c>
    </row>
    <row r="85" spans="1:31" x14ac:dyDescent="0.3">
      <c r="A85" t="s">
        <v>187</v>
      </c>
      <c r="B85" s="17">
        <v>272075</v>
      </c>
      <c r="C85" s="17">
        <v>0</v>
      </c>
      <c r="D85" s="17">
        <v>0</v>
      </c>
      <c r="E85" s="17">
        <v>0</v>
      </c>
      <c r="F85" s="17">
        <f t="shared" si="11"/>
        <v>272075</v>
      </c>
      <c r="G85" s="17">
        <v>104952.94</v>
      </c>
      <c r="H85" s="17">
        <v>0</v>
      </c>
      <c r="I85" s="17">
        <f t="shared" si="12"/>
        <v>0</v>
      </c>
      <c r="J85" s="17">
        <f t="shared" si="13"/>
        <v>0</v>
      </c>
      <c r="K85" s="17">
        <v>-35995.53</v>
      </c>
      <c r="L85" s="17">
        <f t="shared" si="14"/>
        <v>68957.41</v>
      </c>
      <c r="M85" s="18">
        <f t="shared" si="15"/>
        <v>0.25345000459432143</v>
      </c>
      <c r="N85" s="7" t="s">
        <v>18</v>
      </c>
      <c r="O85" s="17">
        <f t="shared" si="16"/>
        <v>-35995.53</v>
      </c>
      <c r="P85" s="19">
        <v>-12841.11</v>
      </c>
      <c r="Q85" s="19">
        <f t="shared" si="17"/>
        <v>0</v>
      </c>
      <c r="R85" s="19">
        <f t="shared" si="18"/>
        <v>-12841.11</v>
      </c>
      <c r="U85" s="20">
        <f t="shared" si="19"/>
        <v>3599.5529999999999</v>
      </c>
      <c r="V85" s="20">
        <v>3599.5529999999999</v>
      </c>
      <c r="W85" s="20">
        <v>3599.5529999999999</v>
      </c>
      <c r="X85" s="20">
        <v>3599.5529999999999</v>
      </c>
      <c r="Y85" s="20">
        <v>3599.5529999999999</v>
      </c>
      <c r="Z85" s="20">
        <v>3599.5529999999999</v>
      </c>
      <c r="AA85" s="20">
        <v>3599.5529999999999</v>
      </c>
      <c r="AB85" s="20">
        <v>3599.5529999999999</v>
      </c>
      <c r="AC85" s="20">
        <v>3599.5529999999999</v>
      </c>
      <c r="AD85" s="20">
        <v>3599.5529999999999</v>
      </c>
      <c r="AE85" s="17">
        <f t="shared" si="20"/>
        <v>0</v>
      </c>
    </row>
    <row r="86" spans="1:31" x14ac:dyDescent="0.3">
      <c r="A86" t="s">
        <v>113</v>
      </c>
      <c r="B86" s="17">
        <v>933935</v>
      </c>
      <c r="C86" s="17">
        <v>0</v>
      </c>
      <c r="D86" s="17">
        <v>0</v>
      </c>
      <c r="E86" s="17">
        <v>0</v>
      </c>
      <c r="F86" s="17">
        <f t="shared" si="11"/>
        <v>933935</v>
      </c>
      <c r="G86" s="17">
        <v>360265.43</v>
      </c>
      <c r="H86" s="17">
        <v>1640513.38</v>
      </c>
      <c r="I86" s="17">
        <f t="shared" si="12"/>
        <v>0</v>
      </c>
      <c r="J86" s="17">
        <f t="shared" si="13"/>
        <v>0</v>
      </c>
      <c r="K86" s="17">
        <v>-1764072.98</v>
      </c>
      <c r="L86" s="17">
        <f t="shared" si="14"/>
        <v>236705.82999999984</v>
      </c>
      <c r="M86" s="18">
        <f t="shared" si="15"/>
        <v>0.25345000455063771</v>
      </c>
      <c r="N86" s="7" t="s">
        <v>18</v>
      </c>
      <c r="O86" s="17">
        <f t="shared" si="16"/>
        <v>-123559.60000000009</v>
      </c>
      <c r="P86" s="19">
        <v>-598893.96</v>
      </c>
      <c r="Q86" s="19">
        <f t="shared" si="17"/>
        <v>0</v>
      </c>
      <c r="R86" s="19">
        <f t="shared" si="18"/>
        <v>-598893.96</v>
      </c>
      <c r="U86" s="20">
        <f t="shared" si="19"/>
        <v>12355.96000000001</v>
      </c>
      <c r="V86" s="20">
        <v>12355.96000000001</v>
      </c>
      <c r="W86" s="20">
        <v>12355.96000000001</v>
      </c>
      <c r="X86" s="20">
        <v>12355.96000000001</v>
      </c>
      <c r="Y86" s="20">
        <v>12355.96000000001</v>
      </c>
      <c r="Z86" s="20">
        <v>12355.96000000001</v>
      </c>
      <c r="AA86" s="20">
        <v>12355.96000000001</v>
      </c>
      <c r="AB86" s="20">
        <v>12355.96000000001</v>
      </c>
      <c r="AC86" s="20">
        <v>12355.96000000001</v>
      </c>
      <c r="AD86" s="20">
        <v>12355.96000000001</v>
      </c>
      <c r="AE86" s="17">
        <f t="shared" si="20"/>
        <v>0</v>
      </c>
    </row>
    <row r="87" spans="1:31" x14ac:dyDescent="0.3">
      <c r="A87" t="s">
        <v>114</v>
      </c>
      <c r="B87" s="17">
        <v>-933935</v>
      </c>
      <c r="C87" s="17">
        <v>0</v>
      </c>
      <c r="D87" s="17">
        <v>0</v>
      </c>
      <c r="E87" s="17">
        <v>0</v>
      </c>
      <c r="F87" s="17">
        <f t="shared" si="11"/>
        <v>-933935</v>
      </c>
      <c r="G87" s="17">
        <v>-360265.43</v>
      </c>
      <c r="H87" s="17">
        <v>-1640513.38</v>
      </c>
      <c r="I87" s="17">
        <f t="shared" si="12"/>
        <v>0</v>
      </c>
      <c r="J87" s="17">
        <f t="shared" si="13"/>
        <v>0</v>
      </c>
      <c r="K87" s="17">
        <v>1764072.98</v>
      </c>
      <c r="L87" s="17">
        <f t="shared" si="14"/>
        <v>-236705.82999999984</v>
      </c>
      <c r="M87" s="18">
        <f t="shared" si="15"/>
        <v>0.25345000455063771</v>
      </c>
      <c r="N87" s="7" t="s">
        <v>18</v>
      </c>
      <c r="O87" s="17">
        <f t="shared" si="16"/>
        <v>123559.60000000009</v>
      </c>
      <c r="P87" s="19">
        <v>598893.96</v>
      </c>
      <c r="Q87" s="19">
        <f t="shared" si="17"/>
        <v>0</v>
      </c>
      <c r="R87" s="19">
        <f t="shared" si="18"/>
        <v>598893.96</v>
      </c>
      <c r="U87" s="20">
        <f t="shared" si="19"/>
        <v>-12355.96000000001</v>
      </c>
      <c r="V87" s="20">
        <v>-12355.96000000001</v>
      </c>
      <c r="W87" s="20">
        <v>-12355.96000000001</v>
      </c>
      <c r="X87" s="20">
        <v>-12355.96000000001</v>
      </c>
      <c r="Y87" s="20">
        <v>-12355.96000000001</v>
      </c>
      <c r="Z87" s="20">
        <v>-12355.96000000001</v>
      </c>
      <c r="AA87" s="20">
        <v>-12355.96000000001</v>
      </c>
      <c r="AB87" s="20">
        <v>-12355.96000000001</v>
      </c>
      <c r="AC87" s="20">
        <v>-12355.96000000001</v>
      </c>
      <c r="AD87" s="20">
        <v>-12355.96000000001</v>
      </c>
      <c r="AE87" s="17">
        <f t="shared" si="20"/>
        <v>0</v>
      </c>
    </row>
    <row r="88" spans="1:31" x14ac:dyDescent="0.3">
      <c r="A88" t="s">
        <v>115</v>
      </c>
      <c r="B88" s="17">
        <v>0</v>
      </c>
      <c r="C88" s="17">
        <v>0</v>
      </c>
      <c r="D88" s="17">
        <v>0</v>
      </c>
      <c r="E88" s="17">
        <v>0</v>
      </c>
      <c r="F88" s="17">
        <f t="shared" si="11"/>
        <v>0</v>
      </c>
      <c r="G88" s="17">
        <v>0</v>
      </c>
      <c r="H88" s="17">
        <v>162434.64000000001</v>
      </c>
      <c r="I88" s="17">
        <f t="shared" si="12"/>
        <v>0</v>
      </c>
      <c r="J88" s="17">
        <f t="shared" si="13"/>
        <v>0</v>
      </c>
      <c r="K88" s="17">
        <v>-162434.64000000001</v>
      </c>
      <c r="L88" s="17">
        <f t="shared" si="14"/>
        <v>0</v>
      </c>
      <c r="M88" s="18">
        <v>0</v>
      </c>
      <c r="N88" s="7" t="s">
        <v>18</v>
      </c>
      <c r="O88" s="17">
        <f t="shared" si="16"/>
        <v>0</v>
      </c>
      <c r="P88" s="19">
        <v>-55145.75</v>
      </c>
      <c r="Q88" s="19">
        <f t="shared" si="17"/>
        <v>0</v>
      </c>
      <c r="R88" s="19">
        <f t="shared" si="18"/>
        <v>-55145.75</v>
      </c>
      <c r="U88" s="20">
        <f t="shared" si="19"/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17">
        <f t="shared" si="20"/>
        <v>0</v>
      </c>
    </row>
    <row r="89" spans="1:31" x14ac:dyDescent="0.3">
      <c r="A89" t="s">
        <v>116</v>
      </c>
      <c r="B89" s="17">
        <v>0</v>
      </c>
      <c r="C89" s="17">
        <v>0</v>
      </c>
      <c r="D89" s="17">
        <v>0</v>
      </c>
      <c r="E89" s="17">
        <v>0</v>
      </c>
      <c r="F89" s="17">
        <f t="shared" si="11"/>
        <v>0</v>
      </c>
      <c r="G89" s="17">
        <v>0</v>
      </c>
      <c r="H89" s="17">
        <v>-162434.64000000001</v>
      </c>
      <c r="I89" s="17">
        <f t="shared" si="12"/>
        <v>0</v>
      </c>
      <c r="J89" s="17">
        <f t="shared" si="13"/>
        <v>0</v>
      </c>
      <c r="K89" s="17">
        <v>162434.64000000001</v>
      </c>
      <c r="L89" s="17">
        <f t="shared" si="14"/>
        <v>0</v>
      </c>
      <c r="M89" s="18">
        <v>0</v>
      </c>
      <c r="N89" s="7" t="s">
        <v>18</v>
      </c>
      <c r="O89" s="17">
        <f t="shared" si="16"/>
        <v>0</v>
      </c>
      <c r="P89" s="19">
        <v>55145.75</v>
      </c>
      <c r="Q89" s="19">
        <f t="shared" si="17"/>
        <v>0</v>
      </c>
      <c r="R89" s="19">
        <f t="shared" si="18"/>
        <v>55145.75</v>
      </c>
      <c r="U89" s="20">
        <f t="shared" si="19"/>
        <v>0</v>
      </c>
      <c r="V89" s="20">
        <v>0</v>
      </c>
      <c r="W89" s="20">
        <v>0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  <c r="AC89" s="20">
        <v>0</v>
      </c>
      <c r="AD89" s="20">
        <v>0</v>
      </c>
      <c r="AE89" s="17">
        <f t="shared" si="20"/>
        <v>0</v>
      </c>
    </row>
    <row r="90" spans="1:31" x14ac:dyDescent="0.3">
      <c r="A90" t="s">
        <v>117</v>
      </c>
      <c r="B90" s="17">
        <v>2309241.1800000002</v>
      </c>
      <c r="C90" s="17">
        <v>0</v>
      </c>
      <c r="D90" s="17">
        <v>0</v>
      </c>
      <c r="E90" s="17">
        <v>0</v>
      </c>
      <c r="F90" s="17">
        <f t="shared" si="11"/>
        <v>2309241.1800000002</v>
      </c>
      <c r="G90" s="17">
        <v>890789.78</v>
      </c>
      <c r="H90" s="17">
        <v>117265.04</v>
      </c>
      <c r="I90" s="17">
        <f t="shared" si="12"/>
        <v>0</v>
      </c>
      <c r="J90" s="17">
        <f t="shared" si="13"/>
        <v>0</v>
      </c>
      <c r="K90" s="17">
        <v>-422777.65</v>
      </c>
      <c r="L90" s="17">
        <f t="shared" si="14"/>
        <v>585277.17000000004</v>
      </c>
      <c r="M90" s="18">
        <f t="shared" si="15"/>
        <v>0.25344999693795517</v>
      </c>
      <c r="N90" s="7" t="s">
        <v>18</v>
      </c>
      <c r="O90" s="17">
        <f t="shared" si="16"/>
        <v>-305512.61000000004</v>
      </c>
      <c r="P90" s="19">
        <v>-143530.91</v>
      </c>
      <c r="Q90" s="19">
        <f t="shared" si="17"/>
        <v>0</v>
      </c>
      <c r="R90" s="19">
        <f t="shared" si="18"/>
        <v>-143530.91</v>
      </c>
      <c r="S90" s="20"/>
      <c r="T90" s="17"/>
      <c r="U90" s="20">
        <f t="shared" si="19"/>
        <v>30551.261000000006</v>
      </c>
      <c r="V90" s="20">
        <v>30551.261000000006</v>
      </c>
      <c r="W90" s="20">
        <v>30551.261000000006</v>
      </c>
      <c r="X90" s="20">
        <v>30551.261000000006</v>
      </c>
      <c r="Y90" s="20">
        <v>30551.261000000006</v>
      </c>
      <c r="Z90" s="20">
        <v>30551.261000000006</v>
      </c>
      <c r="AA90" s="20">
        <v>30551.261000000006</v>
      </c>
      <c r="AB90" s="20">
        <v>30551.261000000006</v>
      </c>
      <c r="AC90" s="20">
        <v>30551.261000000006</v>
      </c>
      <c r="AD90" s="20">
        <v>30551.261000000006</v>
      </c>
      <c r="AE90" s="17">
        <f t="shared" si="20"/>
        <v>0</v>
      </c>
    </row>
    <row r="91" spans="1:31" x14ac:dyDescent="0.3">
      <c r="A91" t="s">
        <v>141</v>
      </c>
      <c r="B91" s="17">
        <v>-176830202.81999999</v>
      </c>
      <c r="C91" s="17">
        <v>0</v>
      </c>
      <c r="D91" s="17">
        <v>0</v>
      </c>
      <c r="E91" s="17">
        <v>0</v>
      </c>
      <c r="F91" s="17">
        <f t="shared" si="11"/>
        <v>-176830202.81999999</v>
      </c>
      <c r="G91" s="17">
        <v>-68212250.75</v>
      </c>
      <c r="H91" s="17">
        <v>-66382.179999999993</v>
      </c>
      <c r="I91" s="17">
        <f t="shared" si="12"/>
        <v>0</v>
      </c>
      <c r="J91" s="17">
        <f t="shared" si="13"/>
        <v>0</v>
      </c>
      <c r="K91" s="17">
        <v>23461018.02</v>
      </c>
      <c r="L91" s="17">
        <f t="shared" si="14"/>
        <v>-44817614.910000011</v>
      </c>
      <c r="M91" s="18">
        <f t="shared" si="15"/>
        <v>0.25345000002980833</v>
      </c>
      <c r="N91" s="7" t="s">
        <v>18</v>
      </c>
      <c r="O91" s="17">
        <f t="shared" si="16"/>
        <v>23394635.84</v>
      </c>
      <c r="P91" s="19">
        <v>8254338.1399999997</v>
      </c>
      <c r="Q91" s="19">
        <f t="shared" si="17"/>
        <v>0</v>
      </c>
      <c r="R91" s="19">
        <f t="shared" si="18"/>
        <v>8254338.1399999997</v>
      </c>
      <c r="U91" s="20">
        <f t="shared" si="19"/>
        <v>-2339463.5839999998</v>
      </c>
      <c r="V91" s="20">
        <v>-2339463.5839999998</v>
      </c>
      <c r="W91" s="20">
        <v>-2339463.5839999998</v>
      </c>
      <c r="X91" s="20">
        <v>-2339463.5839999998</v>
      </c>
      <c r="Y91" s="20">
        <v>-2339463.5839999998</v>
      </c>
      <c r="Z91" s="20">
        <v>-2339463.5839999998</v>
      </c>
      <c r="AA91" s="20">
        <v>-2339463.5839999998</v>
      </c>
      <c r="AB91" s="20">
        <v>-2339463.5839999998</v>
      </c>
      <c r="AC91" s="20">
        <v>-2339463.5839999998</v>
      </c>
      <c r="AD91" s="20">
        <v>-2339463.5839999998</v>
      </c>
      <c r="AE91" s="17">
        <f t="shared" si="20"/>
        <v>0</v>
      </c>
    </row>
    <row r="92" spans="1:31" x14ac:dyDescent="0.3">
      <c r="A92" t="s">
        <v>118</v>
      </c>
      <c r="B92" s="17">
        <v>1523058</v>
      </c>
      <c r="C92" s="17">
        <v>0</v>
      </c>
      <c r="D92" s="17">
        <v>0</v>
      </c>
      <c r="E92" s="17">
        <v>0</v>
      </c>
      <c r="F92" s="17">
        <f t="shared" si="11"/>
        <v>1523058</v>
      </c>
      <c r="G92" s="17">
        <v>587519.62</v>
      </c>
      <c r="H92" s="17">
        <v>0</v>
      </c>
      <c r="I92" s="17">
        <f t="shared" si="12"/>
        <v>0</v>
      </c>
      <c r="J92" s="17">
        <f t="shared" si="13"/>
        <v>0</v>
      </c>
      <c r="K92" s="17">
        <v>-201500.57</v>
      </c>
      <c r="L92" s="17">
        <f t="shared" si="14"/>
        <v>386019.05</v>
      </c>
      <c r="M92" s="18">
        <f t="shared" si="15"/>
        <v>0.25344999993434258</v>
      </c>
      <c r="N92" s="7" t="s">
        <v>18</v>
      </c>
      <c r="O92" s="17">
        <f t="shared" si="16"/>
        <v>-201500.57</v>
      </c>
      <c r="P92" s="19">
        <v>-68408.44</v>
      </c>
      <c r="Q92" s="19">
        <f t="shared" si="17"/>
        <v>0</v>
      </c>
      <c r="R92" s="19">
        <f t="shared" si="18"/>
        <v>-68408.44</v>
      </c>
      <c r="U92" s="20">
        <f t="shared" si="19"/>
        <v>20150.057000000001</v>
      </c>
      <c r="V92" s="20">
        <v>20150.057000000001</v>
      </c>
      <c r="W92" s="20">
        <v>20150.057000000001</v>
      </c>
      <c r="X92" s="20">
        <v>20150.057000000001</v>
      </c>
      <c r="Y92" s="20">
        <v>20150.057000000001</v>
      </c>
      <c r="Z92" s="20">
        <v>20150.057000000001</v>
      </c>
      <c r="AA92" s="20">
        <v>20150.057000000001</v>
      </c>
      <c r="AB92" s="20">
        <v>20150.057000000001</v>
      </c>
      <c r="AC92" s="20">
        <v>20150.057000000001</v>
      </c>
      <c r="AD92" s="20">
        <v>20150.057000000001</v>
      </c>
      <c r="AE92" s="17">
        <f t="shared" si="20"/>
        <v>0</v>
      </c>
    </row>
    <row r="93" spans="1:31" x14ac:dyDescent="0.3">
      <c r="A93" t="s">
        <v>119</v>
      </c>
      <c r="B93" s="17">
        <v>189213304</v>
      </c>
      <c r="C93" s="17">
        <v>0</v>
      </c>
      <c r="D93" s="17">
        <v>0</v>
      </c>
      <c r="E93" s="17">
        <v>0</v>
      </c>
      <c r="F93" s="17">
        <f t="shared" si="11"/>
        <v>189213304</v>
      </c>
      <c r="G93" s="17">
        <v>72989032.019999996</v>
      </c>
      <c r="H93" s="17">
        <v>1653390.67</v>
      </c>
      <c r="I93" s="17">
        <f t="shared" si="12"/>
        <v>0</v>
      </c>
      <c r="J93" s="17">
        <f t="shared" si="13"/>
        <v>0</v>
      </c>
      <c r="K93" s="17">
        <v>-26686310.789999999</v>
      </c>
      <c r="L93" s="17">
        <f t="shared" si="14"/>
        <v>47956111.899999999</v>
      </c>
      <c r="M93" s="18">
        <f t="shared" si="15"/>
        <v>0.25345000000634205</v>
      </c>
      <c r="N93" s="7" t="s">
        <v>18</v>
      </c>
      <c r="O93" s="17">
        <f t="shared" si="16"/>
        <v>-25032920.119999997</v>
      </c>
      <c r="P93" s="19">
        <v>-9059869.3499999996</v>
      </c>
      <c r="Q93" s="19">
        <f t="shared" si="17"/>
        <v>0</v>
      </c>
      <c r="R93" s="19">
        <f t="shared" si="18"/>
        <v>-9059869.3499999996</v>
      </c>
      <c r="U93" s="20">
        <f t="shared" si="19"/>
        <v>2503292.0119999996</v>
      </c>
      <c r="V93" s="20">
        <v>2503292.0119999996</v>
      </c>
      <c r="W93" s="20">
        <v>2503292.0119999996</v>
      </c>
      <c r="X93" s="20">
        <v>2503292.0119999996</v>
      </c>
      <c r="Y93" s="20">
        <v>2503292.0119999996</v>
      </c>
      <c r="Z93" s="20">
        <v>2503292.0119999996</v>
      </c>
      <c r="AA93" s="20">
        <v>2503292.0119999996</v>
      </c>
      <c r="AB93" s="20">
        <v>2503292.0119999996</v>
      </c>
      <c r="AC93" s="20">
        <v>2503292.0119999996</v>
      </c>
      <c r="AD93" s="20">
        <v>2503292.0119999996</v>
      </c>
      <c r="AE93" s="17">
        <f t="shared" si="20"/>
        <v>0</v>
      </c>
    </row>
    <row r="94" spans="1:31" x14ac:dyDescent="0.3">
      <c r="A94" t="s">
        <v>120</v>
      </c>
      <c r="B94" s="17">
        <v>-189213304</v>
      </c>
      <c r="C94" s="17">
        <v>0</v>
      </c>
      <c r="D94" s="17">
        <v>0</v>
      </c>
      <c r="E94" s="17">
        <v>0</v>
      </c>
      <c r="F94" s="17">
        <f t="shared" si="11"/>
        <v>-189213304</v>
      </c>
      <c r="G94" s="17">
        <v>-72989032.019999996</v>
      </c>
      <c r="H94" s="17">
        <v>-1653390.67</v>
      </c>
      <c r="I94" s="17">
        <f t="shared" si="12"/>
        <v>0</v>
      </c>
      <c r="J94" s="17">
        <f t="shared" si="13"/>
        <v>0</v>
      </c>
      <c r="K94" s="17">
        <v>26686310.789999999</v>
      </c>
      <c r="L94" s="17">
        <f t="shared" si="14"/>
        <v>-47956111.899999999</v>
      </c>
      <c r="M94" s="18">
        <f t="shared" si="15"/>
        <v>0.25345000000634205</v>
      </c>
      <c r="N94" s="7" t="s">
        <v>18</v>
      </c>
      <c r="O94" s="17">
        <f t="shared" si="16"/>
        <v>25032920.119999997</v>
      </c>
      <c r="P94" s="19">
        <v>9059869.3499999996</v>
      </c>
      <c r="Q94" s="19">
        <f t="shared" si="17"/>
        <v>0</v>
      </c>
      <c r="R94" s="19">
        <f t="shared" si="18"/>
        <v>9059869.3499999996</v>
      </c>
      <c r="S94" s="17"/>
      <c r="T94" s="17"/>
      <c r="U94" s="20">
        <f t="shared" si="19"/>
        <v>-2503292.0119999996</v>
      </c>
      <c r="V94" s="20">
        <v>-2503292.0119999996</v>
      </c>
      <c r="W94" s="20">
        <v>-2503292.0119999996</v>
      </c>
      <c r="X94" s="20">
        <v>-2503292.0119999996</v>
      </c>
      <c r="Y94" s="20">
        <v>-2503292.0119999996</v>
      </c>
      <c r="Z94" s="20">
        <v>-2503292.0119999996</v>
      </c>
      <c r="AA94" s="20">
        <v>-2503292.0119999996</v>
      </c>
      <c r="AB94" s="20">
        <v>-2503292.0119999996</v>
      </c>
      <c r="AC94" s="20">
        <v>-2503292.0119999996</v>
      </c>
      <c r="AD94" s="20">
        <v>-2503292.0119999996</v>
      </c>
      <c r="AE94" s="17">
        <f t="shared" si="20"/>
        <v>0</v>
      </c>
    </row>
    <row r="95" spans="1:31" x14ac:dyDescent="0.3">
      <c r="A95" t="s">
        <v>189</v>
      </c>
      <c r="B95" s="17">
        <v>-0.68</v>
      </c>
      <c r="C95" s="17">
        <v>0</v>
      </c>
      <c r="D95" s="17">
        <v>0</v>
      </c>
      <c r="E95" s="17">
        <v>0</v>
      </c>
      <c r="F95" s="17">
        <f t="shared" si="11"/>
        <v>-0.68</v>
      </c>
      <c r="G95" s="17">
        <v>-0.27</v>
      </c>
      <c r="H95" s="17">
        <v>-62609.18</v>
      </c>
      <c r="I95" s="17">
        <f t="shared" si="12"/>
        <v>0</v>
      </c>
      <c r="J95" s="17">
        <f t="shared" si="13"/>
        <v>0</v>
      </c>
      <c r="K95" s="17">
        <v>62609.279999999999</v>
      </c>
      <c r="L95" s="17">
        <f t="shared" si="14"/>
        <v>-0.16999999999825377</v>
      </c>
      <c r="M95" s="18">
        <f t="shared" si="15"/>
        <v>0.249999999997432</v>
      </c>
      <c r="N95" s="7" t="s">
        <v>18</v>
      </c>
      <c r="O95" s="17">
        <f t="shared" si="16"/>
        <v>9.9999999998544808E-2</v>
      </c>
      <c r="P95" s="19">
        <v>0.11</v>
      </c>
      <c r="Q95" s="19">
        <f t="shared" si="17"/>
        <v>0</v>
      </c>
      <c r="R95" s="19">
        <f t="shared" si="18"/>
        <v>0.11</v>
      </c>
      <c r="U95" s="20">
        <f t="shared" si="19"/>
        <v>-9.9999999998544812E-3</v>
      </c>
      <c r="V95" s="20">
        <v>-9.9999999998544812E-3</v>
      </c>
      <c r="W95" s="20">
        <v>-9.9999999998544812E-3</v>
      </c>
      <c r="X95" s="20">
        <v>-9.9999999998544812E-3</v>
      </c>
      <c r="Y95" s="20">
        <v>-9.9999999998544812E-3</v>
      </c>
      <c r="Z95" s="20">
        <v>-9.9999999998544812E-3</v>
      </c>
      <c r="AA95" s="20">
        <v>-9.9999999998544812E-3</v>
      </c>
      <c r="AB95" s="20">
        <v>-9.9999999998544812E-3</v>
      </c>
      <c r="AC95" s="20">
        <v>-9.9999999998544812E-3</v>
      </c>
      <c r="AD95" s="20">
        <v>-9.9999999998544812E-3</v>
      </c>
      <c r="AE95" s="17">
        <f t="shared" si="20"/>
        <v>0</v>
      </c>
    </row>
    <row r="96" spans="1:31" x14ac:dyDescent="0.3">
      <c r="A96" t="s">
        <v>213</v>
      </c>
      <c r="B96" s="17">
        <v>-1213986281.49</v>
      </c>
      <c r="C96" s="17">
        <v>0</v>
      </c>
      <c r="D96" s="28">
        <v>-95619433.50999999</v>
      </c>
      <c r="E96" s="17">
        <v>0</v>
      </c>
      <c r="F96" s="17">
        <f t="shared" si="11"/>
        <v>-1309605715</v>
      </c>
      <c r="G96" s="17">
        <v>-468295208.07999998</v>
      </c>
      <c r="H96" s="17">
        <v>16769407.33</v>
      </c>
      <c r="I96" s="17">
        <f t="shared" si="12"/>
        <v>-36885196.476482496</v>
      </c>
      <c r="J96" s="17">
        <f t="shared" si="13"/>
        <v>12650451.053372996</v>
      </c>
      <c r="K96" s="17">
        <v>143840977.71000001</v>
      </c>
      <c r="L96" s="17">
        <f t="shared" si="14"/>
        <v>-331919568.46310949</v>
      </c>
      <c r="M96" s="18">
        <f t="shared" si="15"/>
        <v>0.25344999999722018</v>
      </c>
      <c r="N96" s="7" t="s">
        <v>18</v>
      </c>
      <c r="O96" s="17">
        <f t="shared" si="16"/>
        <v>173260836.093373</v>
      </c>
      <c r="P96" s="19">
        <v>54526424.340000004</v>
      </c>
      <c r="Q96" s="19">
        <f t="shared" si="17"/>
        <v>4294765.0116902897</v>
      </c>
      <c r="R96" s="19">
        <f t="shared" si="18"/>
        <v>58821189.351690292</v>
      </c>
      <c r="U96" s="20">
        <f t="shared" si="19"/>
        <v>-17326083.6093373</v>
      </c>
      <c r="V96" s="20">
        <v>-17326083.6093373</v>
      </c>
      <c r="W96" s="20">
        <v>-17326083.6093373</v>
      </c>
      <c r="X96" s="20">
        <v>-17326083.6093373</v>
      </c>
      <c r="Y96" s="20">
        <v>-17326083.6093373</v>
      </c>
      <c r="Z96" s="20">
        <v>-17326083.6093373</v>
      </c>
      <c r="AA96" s="20">
        <v>-17326083.6093373</v>
      </c>
      <c r="AB96" s="20">
        <v>-17326083.6093373</v>
      </c>
      <c r="AC96" s="20">
        <v>-17326083.6093373</v>
      </c>
      <c r="AD96" s="20">
        <v>-17326083.6093373</v>
      </c>
      <c r="AE96" s="17">
        <f t="shared" si="20"/>
        <v>0</v>
      </c>
    </row>
    <row r="97" spans="1:31" x14ac:dyDescent="0.3">
      <c r="A97" t="s">
        <v>143</v>
      </c>
      <c r="B97" s="17">
        <v>202435.79</v>
      </c>
      <c r="C97" s="17">
        <v>0</v>
      </c>
      <c r="D97" s="17">
        <v>0</v>
      </c>
      <c r="E97" s="17">
        <v>0</v>
      </c>
      <c r="F97" s="17">
        <f t="shared" si="11"/>
        <v>202435.79</v>
      </c>
      <c r="G97" s="17">
        <v>78089.61</v>
      </c>
      <c r="H97" s="17">
        <v>-7698.94</v>
      </c>
      <c r="I97" s="17">
        <f t="shared" si="12"/>
        <v>0</v>
      </c>
      <c r="J97" s="17">
        <f t="shared" si="13"/>
        <v>0</v>
      </c>
      <c r="K97" s="17">
        <v>-19083.310000000001</v>
      </c>
      <c r="L97" s="17">
        <f t="shared" si="14"/>
        <v>51307.360000000001</v>
      </c>
      <c r="M97" s="18">
        <f t="shared" si="15"/>
        <v>0.25345004457956766</v>
      </c>
      <c r="N97" s="7" t="s">
        <v>18</v>
      </c>
      <c r="O97" s="17">
        <f t="shared" si="16"/>
        <v>-26782.25</v>
      </c>
      <c r="P97" s="19">
        <v>-9092.4500000000007</v>
      </c>
      <c r="Q97" s="19">
        <f t="shared" si="17"/>
        <v>0</v>
      </c>
      <c r="R97" s="19">
        <f t="shared" si="18"/>
        <v>-9092.4500000000007</v>
      </c>
      <c r="U97" s="20">
        <f t="shared" si="19"/>
        <v>2678.2249999999999</v>
      </c>
      <c r="V97" s="20">
        <v>2678.2249999999999</v>
      </c>
      <c r="W97" s="20">
        <v>2678.2249999999999</v>
      </c>
      <c r="X97" s="20">
        <v>2678.2249999999999</v>
      </c>
      <c r="Y97" s="20">
        <v>2678.2249999999999</v>
      </c>
      <c r="Z97" s="20">
        <v>2678.2249999999999</v>
      </c>
      <c r="AA97" s="20">
        <v>2678.2249999999999</v>
      </c>
      <c r="AB97" s="20">
        <v>2678.2249999999999</v>
      </c>
      <c r="AC97" s="20">
        <v>2678.2249999999999</v>
      </c>
      <c r="AD97" s="20">
        <v>2678.2249999999999</v>
      </c>
      <c r="AE97" s="17">
        <f t="shared" si="20"/>
        <v>0</v>
      </c>
    </row>
    <row r="98" spans="1:31" x14ac:dyDescent="0.3">
      <c r="A98" t="s">
        <v>121</v>
      </c>
      <c r="B98" s="17">
        <v>381200</v>
      </c>
      <c r="C98" s="17">
        <v>0</v>
      </c>
      <c r="D98" s="17">
        <v>0</v>
      </c>
      <c r="E98" s="17">
        <v>0</v>
      </c>
      <c r="F98" s="17">
        <f t="shared" si="11"/>
        <v>381200</v>
      </c>
      <c r="G98" s="17">
        <v>147047.9</v>
      </c>
      <c r="H98" s="17">
        <v>57749.89</v>
      </c>
      <c r="I98" s="17">
        <f t="shared" si="12"/>
        <v>0</v>
      </c>
      <c r="J98" s="17">
        <f t="shared" si="13"/>
        <v>0</v>
      </c>
      <c r="K98" s="17">
        <v>-108182.65</v>
      </c>
      <c r="L98" s="17">
        <f t="shared" si="14"/>
        <v>96615.139999999985</v>
      </c>
      <c r="M98" s="18">
        <f t="shared" si="15"/>
        <v>0.25344999999999995</v>
      </c>
      <c r="N98" s="7" t="s">
        <v>18</v>
      </c>
      <c r="O98" s="17">
        <f t="shared" si="16"/>
        <v>-50432.759999999995</v>
      </c>
      <c r="P98" s="19">
        <v>-36727.47</v>
      </c>
      <c r="Q98" s="19">
        <f t="shared" si="17"/>
        <v>0</v>
      </c>
      <c r="R98" s="19">
        <f t="shared" si="18"/>
        <v>-36727.47</v>
      </c>
      <c r="U98" s="20">
        <f t="shared" si="19"/>
        <v>5043.2759999999998</v>
      </c>
      <c r="V98" s="20">
        <v>5043.2759999999998</v>
      </c>
      <c r="W98" s="20">
        <v>5043.2759999999998</v>
      </c>
      <c r="X98" s="20">
        <v>5043.2759999999998</v>
      </c>
      <c r="Y98" s="20">
        <v>5043.2759999999998</v>
      </c>
      <c r="Z98" s="20">
        <v>5043.2759999999998</v>
      </c>
      <c r="AA98" s="20">
        <v>5043.2759999999998</v>
      </c>
      <c r="AB98" s="20">
        <v>5043.2759999999998</v>
      </c>
      <c r="AC98" s="20">
        <v>5043.2759999999998</v>
      </c>
      <c r="AD98" s="20">
        <v>5043.2759999999998</v>
      </c>
      <c r="AE98" s="17">
        <f t="shared" si="20"/>
        <v>0</v>
      </c>
    </row>
    <row r="99" spans="1:31" x14ac:dyDescent="0.3">
      <c r="A99" t="s">
        <v>122</v>
      </c>
      <c r="B99" s="17">
        <v>-381200</v>
      </c>
      <c r="C99" s="17">
        <v>0</v>
      </c>
      <c r="D99" s="17">
        <v>0</v>
      </c>
      <c r="E99" s="17">
        <v>0</v>
      </c>
      <c r="F99" s="17">
        <f t="shared" si="11"/>
        <v>-381200</v>
      </c>
      <c r="G99" s="17">
        <v>-147047.9</v>
      </c>
      <c r="H99" s="17">
        <v>-57749.89</v>
      </c>
      <c r="I99" s="17">
        <f t="shared" si="12"/>
        <v>0</v>
      </c>
      <c r="J99" s="17">
        <f t="shared" si="13"/>
        <v>0</v>
      </c>
      <c r="K99" s="17">
        <v>108182.65</v>
      </c>
      <c r="L99" s="17">
        <f t="shared" si="14"/>
        <v>-96615.139999999985</v>
      </c>
      <c r="M99" s="18">
        <f t="shared" si="15"/>
        <v>0.25344999999999995</v>
      </c>
      <c r="N99" s="7" t="s">
        <v>18</v>
      </c>
      <c r="O99" s="17">
        <f t="shared" si="16"/>
        <v>50432.759999999995</v>
      </c>
      <c r="P99" s="19">
        <v>36727.47</v>
      </c>
      <c r="Q99" s="19">
        <f t="shared" si="17"/>
        <v>0</v>
      </c>
      <c r="R99" s="19">
        <f t="shared" si="18"/>
        <v>36727.47</v>
      </c>
      <c r="U99" s="20">
        <f t="shared" si="19"/>
        <v>-5043.2759999999998</v>
      </c>
      <c r="V99" s="20">
        <v>-5043.2759999999998</v>
      </c>
      <c r="W99" s="20">
        <v>-5043.2759999999998</v>
      </c>
      <c r="X99" s="20">
        <v>-5043.2759999999998</v>
      </c>
      <c r="Y99" s="20">
        <v>-5043.2759999999998</v>
      </c>
      <c r="Z99" s="20">
        <v>-5043.2759999999998</v>
      </c>
      <c r="AA99" s="20">
        <v>-5043.2759999999998</v>
      </c>
      <c r="AB99" s="20">
        <v>-5043.2759999999998</v>
      </c>
      <c r="AC99" s="20">
        <v>-5043.2759999999998</v>
      </c>
      <c r="AD99" s="20">
        <v>-5043.2759999999998</v>
      </c>
      <c r="AE99" s="17">
        <f t="shared" si="20"/>
        <v>0</v>
      </c>
    </row>
    <row r="100" spans="1:31" x14ac:dyDescent="0.3">
      <c r="A100" t="s">
        <v>217</v>
      </c>
      <c r="B100" s="17">
        <v>41418356.670000002</v>
      </c>
      <c r="C100" s="17">
        <v>0</v>
      </c>
      <c r="D100" s="28">
        <v>-34484150.67000024</v>
      </c>
      <c r="E100" s="17">
        <v>0</v>
      </c>
      <c r="F100" s="17">
        <f t="shared" si="11"/>
        <v>6934205.9999997616</v>
      </c>
      <c r="G100" s="17">
        <v>15977131.08</v>
      </c>
      <c r="H100" s="17">
        <v>-497543.07</v>
      </c>
      <c r="I100" s="17">
        <f t="shared" si="12"/>
        <v>-13302261.120952591</v>
      </c>
      <c r="J100" s="17">
        <f t="shared" si="13"/>
        <v>4562253.1336410306</v>
      </c>
      <c r="K100" s="17">
        <v>-4982105.51</v>
      </c>
      <c r="L100" s="17">
        <f t="shared" si="14"/>
        <v>1757474.5126884393</v>
      </c>
      <c r="M100" s="18">
        <f t="shared" si="15"/>
        <v>0.25345000028676673</v>
      </c>
      <c r="N100" s="7" t="s">
        <v>18</v>
      </c>
      <c r="O100" s="17">
        <f t="shared" si="16"/>
        <v>-917395.44635896897</v>
      </c>
      <c r="P100" s="19">
        <v>-1860313.35</v>
      </c>
      <c r="Q100" s="19">
        <f t="shared" si="17"/>
        <v>1548862.1749666054</v>
      </c>
      <c r="R100" s="19">
        <f t="shared" si="18"/>
        <v>-311451.17503339471</v>
      </c>
      <c r="U100" s="20">
        <f t="shared" si="19"/>
        <v>91739.544635896891</v>
      </c>
      <c r="V100" s="20">
        <v>91739.544635896891</v>
      </c>
      <c r="W100" s="20">
        <v>91739.544635896891</v>
      </c>
      <c r="X100" s="20">
        <v>91739.544635896891</v>
      </c>
      <c r="Y100" s="20">
        <v>91739.544635896891</v>
      </c>
      <c r="Z100" s="20">
        <v>91739.544635896891</v>
      </c>
      <c r="AA100" s="20">
        <v>91739.544635896891</v>
      </c>
      <c r="AB100" s="20">
        <v>91739.544635896891</v>
      </c>
      <c r="AC100" s="20">
        <v>91739.544635896891</v>
      </c>
      <c r="AD100" s="20">
        <v>91739.544635896891</v>
      </c>
      <c r="AE100" s="17">
        <f t="shared" si="20"/>
        <v>0</v>
      </c>
    </row>
    <row r="101" spans="1:31" x14ac:dyDescent="0.3">
      <c r="A101" t="s">
        <v>215</v>
      </c>
      <c r="B101" s="17">
        <v>216688306.18000001</v>
      </c>
      <c r="C101" s="17">
        <v>0</v>
      </c>
      <c r="D101" s="28">
        <v>-156033952.18000001</v>
      </c>
      <c r="E101" s="17">
        <v>0</v>
      </c>
      <c r="F101" s="17">
        <f t="shared" si="11"/>
        <v>60654354</v>
      </c>
      <c r="G101" s="17">
        <v>83587514.109999999</v>
      </c>
      <c r="H101" s="17">
        <v>-91793.06</v>
      </c>
      <c r="I101" s="17">
        <f t="shared" si="12"/>
        <v>-60190097.053434998</v>
      </c>
      <c r="J101" s="17">
        <f>+D101*$Q$7</f>
        <v>20643291.873413995</v>
      </c>
      <c r="K101" s="17">
        <v>-28576069.850000001</v>
      </c>
      <c r="L101" s="17">
        <f t="shared" si="14"/>
        <v>15372846.019978993</v>
      </c>
      <c r="M101" s="18">
        <f t="shared" si="15"/>
        <v>0.25344999997822071</v>
      </c>
      <c r="N101" s="7" t="s">
        <v>18</v>
      </c>
      <c r="O101" s="17">
        <f t="shared" si="16"/>
        <v>-8024571.0365860052</v>
      </c>
      <c r="P101" s="19">
        <v>-10669553.640000001</v>
      </c>
      <c r="Q101" s="19">
        <f t="shared" si="17"/>
        <v>7008294.5888644792</v>
      </c>
      <c r="R101" s="19">
        <f t="shared" si="18"/>
        <v>-3661259.0511355214</v>
      </c>
      <c r="U101" s="20">
        <f t="shared" si="19"/>
        <v>802457.10365860048</v>
      </c>
      <c r="V101" s="20">
        <v>802457.10365860048</v>
      </c>
      <c r="W101" s="20">
        <v>802457.10365860048</v>
      </c>
      <c r="X101" s="20">
        <v>802457.10365860048</v>
      </c>
      <c r="Y101" s="20">
        <v>802457.10365860048</v>
      </c>
      <c r="Z101" s="20">
        <v>802457.10365860048</v>
      </c>
      <c r="AA101" s="20">
        <v>802457.10365860048</v>
      </c>
      <c r="AB101" s="20">
        <v>802457.10365860048</v>
      </c>
      <c r="AC101" s="20">
        <v>802457.10365860048</v>
      </c>
      <c r="AD101" s="20">
        <v>802457.10365860048</v>
      </c>
      <c r="AE101" s="17">
        <f t="shared" si="20"/>
        <v>0</v>
      </c>
    </row>
    <row r="102" spans="1:31" x14ac:dyDescent="0.3">
      <c r="A102" t="s">
        <v>145</v>
      </c>
      <c r="B102" s="17">
        <v>8069212.7000000002</v>
      </c>
      <c r="C102" s="17">
        <v>0</v>
      </c>
      <c r="D102" s="17">
        <v>0</v>
      </c>
      <c r="E102" s="17">
        <v>0</v>
      </c>
      <c r="F102" s="17">
        <f t="shared" si="11"/>
        <v>8069212.7000000002</v>
      </c>
      <c r="G102" s="17">
        <v>3112698.81</v>
      </c>
      <c r="H102" s="17">
        <v>-113746.13</v>
      </c>
      <c r="I102" s="17">
        <f t="shared" si="12"/>
        <v>0</v>
      </c>
      <c r="J102" s="17">
        <f t="shared" si="13"/>
        <v>0</v>
      </c>
      <c r="K102" s="17">
        <v>-953810.72</v>
      </c>
      <c r="L102" s="17">
        <f t="shared" si="14"/>
        <v>2045141.9600000002</v>
      </c>
      <c r="M102" s="18">
        <f t="shared" si="15"/>
        <v>0.25345000014685448</v>
      </c>
      <c r="N102" s="7" t="s">
        <v>18</v>
      </c>
      <c r="O102" s="17">
        <f t="shared" si="16"/>
        <v>-1067556.8500000001</v>
      </c>
      <c r="P102" s="19">
        <v>-363195.09</v>
      </c>
      <c r="Q102" s="19">
        <f t="shared" si="17"/>
        <v>0</v>
      </c>
      <c r="R102" s="19">
        <f t="shared" si="18"/>
        <v>-363195.09</v>
      </c>
      <c r="U102" s="20">
        <f t="shared" si="19"/>
        <v>106755.68500000001</v>
      </c>
      <c r="V102" s="20">
        <v>106755.68500000001</v>
      </c>
      <c r="W102" s="20">
        <v>106755.68500000001</v>
      </c>
      <c r="X102" s="20">
        <v>106755.68500000001</v>
      </c>
      <c r="Y102" s="20">
        <v>106755.68500000001</v>
      </c>
      <c r="Z102" s="20">
        <v>106755.68500000001</v>
      </c>
      <c r="AA102" s="20">
        <v>106755.68500000001</v>
      </c>
      <c r="AB102" s="20">
        <v>106755.68500000001</v>
      </c>
      <c r="AC102" s="20">
        <v>106755.68500000001</v>
      </c>
      <c r="AD102" s="20">
        <v>106755.68500000001</v>
      </c>
      <c r="AE102" s="17">
        <f t="shared" si="20"/>
        <v>0</v>
      </c>
    </row>
    <row r="103" spans="1:31" x14ac:dyDescent="0.3">
      <c r="A103" t="s">
        <v>123</v>
      </c>
      <c r="B103" s="17">
        <v>163086</v>
      </c>
      <c r="C103" s="17">
        <v>0</v>
      </c>
      <c r="D103" s="17">
        <v>0</v>
      </c>
      <c r="E103" s="17">
        <v>0</v>
      </c>
      <c r="F103" s="17">
        <f t="shared" si="11"/>
        <v>163086</v>
      </c>
      <c r="G103" s="17">
        <v>62910.42</v>
      </c>
      <c r="H103" s="17">
        <v>0</v>
      </c>
      <c r="I103" s="17">
        <f t="shared" si="12"/>
        <v>0</v>
      </c>
      <c r="J103" s="17">
        <f t="shared" si="13"/>
        <v>0</v>
      </c>
      <c r="K103" s="17">
        <v>-21576.27</v>
      </c>
      <c r="L103" s="17">
        <f t="shared" si="14"/>
        <v>41334.149999999994</v>
      </c>
      <c r="M103" s="18">
        <f t="shared" si="15"/>
        <v>0.25345002023472274</v>
      </c>
      <c r="N103" s="7" t="s">
        <v>18</v>
      </c>
      <c r="O103" s="17">
        <f t="shared" si="16"/>
        <v>-21576.27</v>
      </c>
      <c r="P103" s="19">
        <v>-7325.04</v>
      </c>
      <c r="Q103" s="19">
        <f t="shared" si="17"/>
        <v>0</v>
      </c>
      <c r="R103" s="19">
        <f t="shared" si="18"/>
        <v>-7325.04</v>
      </c>
      <c r="U103" s="20">
        <f t="shared" si="19"/>
        <v>2157.627</v>
      </c>
      <c r="V103" s="20">
        <v>2157.627</v>
      </c>
      <c r="W103" s="20">
        <v>2157.627</v>
      </c>
      <c r="X103" s="20">
        <v>2157.627</v>
      </c>
      <c r="Y103" s="20">
        <v>2157.627</v>
      </c>
      <c r="Z103" s="20">
        <v>2157.627</v>
      </c>
      <c r="AA103" s="20">
        <v>2157.627</v>
      </c>
      <c r="AB103" s="20">
        <v>2157.627</v>
      </c>
      <c r="AC103" s="20">
        <v>2157.627</v>
      </c>
      <c r="AD103" s="20">
        <v>2157.627</v>
      </c>
      <c r="AE103" s="17">
        <f t="shared" si="20"/>
        <v>0</v>
      </c>
    </row>
    <row r="104" spans="1:31" x14ac:dyDescent="0.3">
      <c r="A104" t="s">
        <v>124</v>
      </c>
      <c r="B104" s="17">
        <v>6335831</v>
      </c>
      <c r="C104" s="17">
        <v>0</v>
      </c>
      <c r="D104" s="17">
        <v>0</v>
      </c>
      <c r="E104" s="17">
        <v>0</v>
      </c>
      <c r="F104" s="17">
        <f t="shared" si="11"/>
        <v>6335831</v>
      </c>
      <c r="G104" s="17">
        <v>2444046.81</v>
      </c>
      <c r="H104" s="17">
        <v>-810181.26</v>
      </c>
      <c r="I104" s="17">
        <f t="shared" si="12"/>
        <v>0</v>
      </c>
      <c r="J104" s="17">
        <f t="shared" si="13"/>
        <v>0</v>
      </c>
      <c r="K104" s="17">
        <v>-28049.18</v>
      </c>
      <c r="L104" s="17">
        <f t="shared" si="14"/>
        <v>1605816.37</v>
      </c>
      <c r="M104" s="18">
        <f t="shared" si="15"/>
        <v>0.2534500004813891</v>
      </c>
      <c r="N104" s="7" t="s">
        <v>18</v>
      </c>
      <c r="O104" s="17">
        <f t="shared" si="16"/>
        <v>-838230.44000000006</v>
      </c>
      <c r="P104" s="19">
        <v>-9522.57</v>
      </c>
      <c r="Q104" s="19">
        <f t="shared" si="17"/>
        <v>0</v>
      </c>
      <c r="R104" s="19">
        <f t="shared" si="18"/>
        <v>-9522.57</v>
      </c>
      <c r="U104" s="20">
        <f t="shared" si="19"/>
        <v>83823.044000000009</v>
      </c>
      <c r="V104" s="20">
        <v>83823.044000000009</v>
      </c>
      <c r="W104" s="20">
        <v>83823.044000000009</v>
      </c>
      <c r="X104" s="20">
        <v>83823.044000000009</v>
      </c>
      <c r="Y104" s="20">
        <v>83823.044000000009</v>
      </c>
      <c r="Z104" s="20">
        <v>83823.044000000009</v>
      </c>
      <c r="AA104" s="20">
        <v>83823.044000000009</v>
      </c>
      <c r="AB104" s="20">
        <v>83823.044000000009</v>
      </c>
      <c r="AC104" s="20">
        <v>83823.044000000009</v>
      </c>
      <c r="AD104" s="20">
        <v>83823.044000000009</v>
      </c>
      <c r="AE104" s="17">
        <f t="shared" si="20"/>
        <v>0</v>
      </c>
    </row>
    <row r="105" spans="1:31" x14ac:dyDescent="0.3">
      <c r="A105" t="s">
        <v>125</v>
      </c>
      <c r="B105" s="17">
        <v>-6335831</v>
      </c>
      <c r="C105" s="17">
        <v>0</v>
      </c>
      <c r="D105" s="17">
        <v>0</v>
      </c>
      <c r="E105" s="17">
        <v>0</v>
      </c>
      <c r="F105" s="17">
        <f t="shared" si="11"/>
        <v>-6335831</v>
      </c>
      <c r="G105" s="17">
        <v>-2444046.81</v>
      </c>
      <c r="H105" s="17">
        <v>810181.26</v>
      </c>
      <c r="I105" s="17">
        <f t="shared" si="12"/>
        <v>0</v>
      </c>
      <c r="J105" s="17">
        <f t="shared" si="13"/>
        <v>0</v>
      </c>
      <c r="K105" s="17">
        <v>28049.18</v>
      </c>
      <c r="L105" s="17">
        <f t="shared" si="14"/>
        <v>-1605816.37</v>
      </c>
      <c r="M105" s="18">
        <f t="shared" si="15"/>
        <v>0.2534500004813891</v>
      </c>
      <c r="N105" s="7" t="s">
        <v>18</v>
      </c>
      <c r="O105" s="17">
        <f t="shared" si="16"/>
        <v>838230.44000000006</v>
      </c>
      <c r="P105" s="19">
        <v>9522.57</v>
      </c>
      <c r="Q105" s="19">
        <f t="shared" si="17"/>
        <v>0</v>
      </c>
      <c r="R105" s="19">
        <f t="shared" si="18"/>
        <v>9522.57</v>
      </c>
      <c r="U105" s="20">
        <f t="shared" si="19"/>
        <v>-83823.044000000009</v>
      </c>
      <c r="V105" s="20">
        <v>-83823.044000000009</v>
      </c>
      <c r="W105" s="20">
        <v>-83823.044000000009</v>
      </c>
      <c r="X105" s="20">
        <v>-83823.044000000009</v>
      </c>
      <c r="Y105" s="20">
        <v>-83823.044000000009</v>
      </c>
      <c r="Z105" s="20">
        <v>-83823.044000000009</v>
      </c>
      <c r="AA105" s="20">
        <v>-83823.044000000009</v>
      </c>
      <c r="AB105" s="20">
        <v>-83823.044000000009</v>
      </c>
      <c r="AC105" s="20">
        <v>-83823.044000000009</v>
      </c>
      <c r="AD105" s="20">
        <v>-83823.044000000009</v>
      </c>
      <c r="AE105" s="17">
        <f t="shared" si="20"/>
        <v>0</v>
      </c>
    </row>
    <row r="106" spans="1:31" x14ac:dyDescent="0.3">
      <c r="A106" t="s">
        <v>126</v>
      </c>
      <c r="B106" s="17">
        <v>-2920464</v>
      </c>
      <c r="C106" s="17">
        <v>0</v>
      </c>
      <c r="D106" s="17">
        <v>0</v>
      </c>
      <c r="E106" s="17">
        <v>0</v>
      </c>
      <c r="F106" s="17">
        <f t="shared" si="11"/>
        <v>-2920464</v>
      </c>
      <c r="G106" s="17">
        <v>-1126568.99</v>
      </c>
      <c r="H106" s="17">
        <v>928211.51</v>
      </c>
      <c r="I106" s="17">
        <f t="shared" si="12"/>
        <v>0</v>
      </c>
      <c r="J106" s="17">
        <f t="shared" si="13"/>
        <v>0</v>
      </c>
      <c r="K106" s="17">
        <v>-541834.12</v>
      </c>
      <c r="L106" s="17">
        <f t="shared" si="14"/>
        <v>-740191.6</v>
      </c>
      <c r="M106" s="18">
        <f t="shared" si="15"/>
        <v>0.25344999972607091</v>
      </c>
      <c r="N106" s="7" t="s">
        <v>18</v>
      </c>
      <c r="O106" s="17">
        <f t="shared" si="16"/>
        <v>386377.39</v>
      </c>
      <c r="P106" s="19">
        <v>-183949.98</v>
      </c>
      <c r="Q106" s="19">
        <f t="shared" si="17"/>
        <v>0</v>
      </c>
      <c r="R106" s="19">
        <f t="shared" si="18"/>
        <v>-183949.98</v>
      </c>
      <c r="U106" s="20">
        <f t="shared" si="19"/>
        <v>-38637.739000000001</v>
      </c>
      <c r="V106" s="20">
        <v>-38637.739000000001</v>
      </c>
      <c r="W106" s="20">
        <v>-38637.739000000001</v>
      </c>
      <c r="X106" s="20">
        <v>-38637.739000000001</v>
      </c>
      <c r="Y106" s="20">
        <v>-38637.739000000001</v>
      </c>
      <c r="Z106" s="20">
        <v>-38637.739000000001</v>
      </c>
      <c r="AA106" s="20">
        <v>-38637.739000000001</v>
      </c>
      <c r="AB106" s="20">
        <v>-38637.739000000001</v>
      </c>
      <c r="AC106" s="20">
        <v>-38637.739000000001</v>
      </c>
      <c r="AD106" s="20">
        <v>-38637.739000000001</v>
      </c>
      <c r="AE106" s="17">
        <f t="shared" si="20"/>
        <v>0</v>
      </c>
    </row>
    <row r="107" spans="1:31" x14ac:dyDescent="0.3">
      <c r="A107" t="s">
        <v>127</v>
      </c>
      <c r="B107" s="17">
        <v>2920464</v>
      </c>
      <c r="C107" s="17">
        <v>0</v>
      </c>
      <c r="D107" s="17">
        <v>0</v>
      </c>
      <c r="E107" s="17">
        <v>0</v>
      </c>
      <c r="F107" s="17">
        <f t="shared" si="11"/>
        <v>2920464</v>
      </c>
      <c r="G107" s="17">
        <v>1126568.99</v>
      </c>
      <c r="H107" s="17">
        <v>-928211.51</v>
      </c>
      <c r="I107" s="17">
        <f t="shared" si="12"/>
        <v>0</v>
      </c>
      <c r="J107" s="17">
        <f t="shared" si="13"/>
        <v>0</v>
      </c>
      <c r="K107" s="17">
        <v>541834.12</v>
      </c>
      <c r="L107" s="17">
        <f t="shared" si="14"/>
        <v>740191.6</v>
      </c>
      <c r="M107" s="18">
        <f t="shared" si="15"/>
        <v>0.25344999972607091</v>
      </c>
      <c r="N107" s="7" t="s">
        <v>18</v>
      </c>
      <c r="O107" s="17">
        <f t="shared" si="16"/>
        <v>-386377.39</v>
      </c>
      <c r="P107" s="19">
        <v>183949.98</v>
      </c>
      <c r="Q107" s="19">
        <f t="shared" si="17"/>
        <v>0</v>
      </c>
      <c r="R107" s="19">
        <f t="shared" si="18"/>
        <v>183949.98</v>
      </c>
      <c r="U107" s="20">
        <f t="shared" si="19"/>
        <v>38637.739000000001</v>
      </c>
      <c r="V107" s="20">
        <v>38637.739000000001</v>
      </c>
      <c r="W107" s="20">
        <v>38637.739000000001</v>
      </c>
      <c r="X107" s="20">
        <v>38637.739000000001</v>
      </c>
      <c r="Y107" s="20">
        <v>38637.739000000001</v>
      </c>
      <c r="Z107" s="20">
        <v>38637.739000000001</v>
      </c>
      <c r="AA107" s="20">
        <v>38637.739000000001</v>
      </c>
      <c r="AB107" s="20">
        <v>38637.739000000001</v>
      </c>
      <c r="AC107" s="20">
        <v>38637.739000000001</v>
      </c>
      <c r="AD107" s="20">
        <v>38637.739000000001</v>
      </c>
      <c r="AE107" s="17">
        <f t="shared" si="20"/>
        <v>0</v>
      </c>
    </row>
    <row r="108" spans="1:31" x14ac:dyDescent="0.3">
      <c r="A108" t="s">
        <v>372</v>
      </c>
      <c r="B108" s="17">
        <v>258917.49</v>
      </c>
      <c r="C108" s="17">
        <v>0</v>
      </c>
      <c r="D108" s="28">
        <v>0</v>
      </c>
      <c r="E108" s="17">
        <v>0</v>
      </c>
      <c r="F108" s="17">
        <f t="shared" si="11"/>
        <v>258917.49</v>
      </c>
      <c r="G108" s="17">
        <v>90621.119999999995</v>
      </c>
      <c r="H108" s="17">
        <v>-31435.040000000001</v>
      </c>
      <c r="I108" s="17">
        <f t="shared" si="12"/>
        <v>0</v>
      </c>
      <c r="J108" s="17">
        <f>+D108*$Q$6</f>
        <v>0</v>
      </c>
      <c r="K108" s="17">
        <v>-4813.41</v>
      </c>
      <c r="L108" s="17">
        <f t="shared" si="14"/>
        <v>54372.67</v>
      </c>
      <c r="M108" s="18">
        <f t="shared" si="15"/>
        <v>0.20999998879952064</v>
      </c>
      <c r="N108" s="7" t="s">
        <v>18</v>
      </c>
      <c r="O108" s="55">
        <f t="shared" si="16"/>
        <v>-36248.449999999997</v>
      </c>
      <c r="P108" s="19">
        <v>-38450.959999999999</v>
      </c>
      <c r="Q108" s="19">
        <f t="shared" si="17"/>
        <v>0</v>
      </c>
      <c r="R108" s="19">
        <f t="shared" si="18"/>
        <v>-38450.959999999999</v>
      </c>
      <c r="U108" s="20">
        <f t="shared" si="19"/>
        <v>3624.8449999999998</v>
      </c>
      <c r="V108" s="20">
        <v>3624.8449999999998</v>
      </c>
      <c r="W108" s="20">
        <v>3624.8449999999998</v>
      </c>
      <c r="X108" s="20">
        <v>3624.8449999999998</v>
      </c>
      <c r="Y108" s="20">
        <v>3624.8449999999998</v>
      </c>
      <c r="Z108" s="20">
        <v>3624.8449999999998</v>
      </c>
      <c r="AA108" s="20">
        <v>3624.8449999999998</v>
      </c>
      <c r="AB108" s="20">
        <v>3624.8449999999998</v>
      </c>
      <c r="AC108" s="20">
        <v>3624.8449999999998</v>
      </c>
      <c r="AD108" s="20">
        <v>3624.8449999999998</v>
      </c>
      <c r="AE108" s="17">
        <f t="shared" si="20"/>
        <v>0</v>
      </c>
    </row>
    <row r="109" spans="1:31" x14ac:dyDescent="0.3">
      <c r="A109" t="s">
        <v>195</v>
      </c>
      <c r="B109" s="17">
        <v>1868924.03</v>
      </c>
      <c r="C109" s="17">
        <v>0</v>
      </c>
      <c r="D109" s="17">
        <v>0</v>
      </c>
      <c r="E109" s="17">
        <v>0</v>
      </c>
      <c r="F109" s="17">
        <f t="shared" si="11"/>
        <v>1868924.03</v>
      </c>
      <c r="G109" s="17">
        <v>720937.44</v>
      </c>
      <c r="H109" s="17">
        <v>-74848.84</v>
      </c>
      <c r="I109" s="17">
        <f t="shared" si="12"/>
        <v>0</v>
      </c>
      <c r="J109" s="17">
        <f t="shared" si="13"/>
        <v>0</v>
      </c>
      <c r="K109" s="17">
        <v>-172409.8</v>
      </c>
      <c r="L109" s="17">
        <f t="shared" si="14"/>
        <v>473678.8</v>
      </c>
      <c r="M109" s="18">
        <f t="shared" si="15"/>
        <v>0.2534500024594365</v>
      </c>
      <c r="N109" s="7" t="s">
        <v>18</v>
      </c>
      <c r="O109" s="17">
        <f t="shared" si="16"/>
        <v>-247258.63999999998</v>
      </c>
      <c r="P109" s="19">
        <v>-84284.68</v>
      </c>
      <c r="Q109" s="19">
        <f t="shared" si="17"/>
        <v>0</v>
      </c>
      <c r="R109" s="19">
        <f t="shared" si="18"/>
        <v>-84284.68</v>
      </c>
      <c r="U109" s="20">
        <f t="shared" si="19"/>
        <v>24725.863999999998</v>
      </c>
      <c r="V109" s="20">
        <v>24725.863999999998</v>
      </c>
      <c r="W109" s="20">
        <v>24725.863999999998</v>
      </c>
      <c r="X109" s="20">
        <v>24725.863999999998</v>
      </c>
      <c r="Y109" s="20">
        <v>24725.863999999998</v>
      </c>
      <c r="Z109" s="20">
        <v>24725.863999999998</v>
      </c>
      <c r="AA109" s="20">
        <v>24725.863999999998</v>
      </c>
      <c r="AB109" s="20">
        <v>24725.863999999998</v>
      </c>
      <c r="AC109" s="20">
        <v>24725.863999999998</v>
      </c>
      <c r="AD109" s="20">
        <v>24725.863999999998</v>
      </c>
      <c r="AE109" s="17">
        <f t="shared" si="20"/>
        <v>0</v>
      </c>
    </row>
    <row r="110" spans="1:31" x14ac:dyDescent="0.3">
      <c r="A110" t="s">
        <v>197</v>
      </c>
      <c r="B110" s="17">
        <v>3643458.18</v>
      </c>
      <c r="C110" s="17">
        <v>0</v>
      </c>
      <c r="D110" s="17">
        <v>0</v>
      </c>
      <c r="E110" s="17">
        <v>0</v>
      </c>
      <c r="F110" s="17">
        <f t="shared" si="11"/>
        <v>3643458.18</v>
      </c>
      <c r="G110" s="17">
        <v>1405463.99</v>
      </c>
      <c r="H110" s="17">
        <v>-39132.620000000003</v>
      </c>
      <c r="I110" s="17">
        <f t="shared" si="12"/>
        <v>0</v>
      </c>
      <c r="J110" s="17">
        <f t="shared" si="13"/>
        <v>0</v>
      </c>
      <c r="K110" s="17">
        <v>-442896.89</v>
      </c>
      <c r="L110" s="17">
        <f t="shared" si="14"/>
        <v>923434.47999999986</v>
      </c>
      <c r="M110" s="18">
        <f t="shared" si="15"/>
        <v>0.25345000117443361</v>
      </c>
      <c r="N110" s="7" t="s">
        <v>18</v>
      </c>
      <c r="O110" s="17">
        <f t="shared" si="16"/>
        <v>-482029.51</v>
      </c>
      <c r="P110" s="19">
        <v>-164450.85</v>
      </c>
      <c r="Q110" s="19">
        <f t="shared" si="17"/>
        <v>0</v>
      </c>
      <c r="R110" s="19">
        <f t="shared" si="18"/>
        <v>-164450.85</v>
      </c>
      <c r="U110" s="20">
        <f t="shared" si="19"/>
        <v>48202.951000000001</v>
      </c>
      <c r="V110" s="20">
        <v>48202.951000000001</v>
      </c>
      <c r="W110" s="20">
        <v>48202.951000000001</v>
      </c>
      <c r="X110" s="20">
        <v>48202.951000000001</v>
      </c>
      <c r="Y110" s="20">
        <v>48202.951000000001</v>
      </c>
      <c r="Z110" s="20">
        <v>48202.951000000001</v>
      </c>
      <c r="AA110" s="20">
        <v>48202.951000000001</v>
      </c>
      <c r="AB110" s="20">
        <v>48202.951000000001</v>
      </c>
      <c r="AC110" s="20">
        <v>48202.951000000001</v>
      </c>
      <c r="AD110" s="20">
        <v>48202.951000000001</v>
      </c>
      <c r="AE110" s="17">
        <f t="shared" si="20"/>
        <v>0</v>
      </c>
    </row>
    <row r="111" spans="1:31" x14ac:dyDescent="0.3">
      <c r="A111" t="s">
        <v>199</v>
      </c>
      <c r="B111" s="17">
        <v>28071615.890000001</v>
      </c>
      <c r="C111" s="17">
        <v>0</v>
      </c>
      <c r="D111" s="17">
        <v>0</v>
      </c>
      <c r="E111" s="17">
        <v>0</v>
      </c>
      <c r="F111" s="17">
        <f t="shared" si="11"/>
        <v>28071615.890000001</v>
      </c>
      <c r="G111" s="17">
        <v>10828625.82</v>
      </c>
      <c r="H111" s="17">
        <v>171023.03</v>
      </c>
      <c r="I111" s="17">
        <f t="shared" si="12"/>
        <v>0</v>
      </c>
      <c r="J111" s="17">
        <f t="shared" si="13"/>
        <v>0</v>
      </c>
      <c r="K111" s="17">
        <v>-3884897.8</v>
      </c>
      <c r="L111" s="17">
        <f t="shared" si="14"/>
        <v>7114751.0499999998</v>
      </c>
      <c r="M111" s="18">
        <f t="shared" si="15"/>
        <v>0.25345000009545227</v>
      </c>
      <c r="N111" s="7" t="s">
        <v>18</v>
      </c>
      <c r="O111" s="17">
        <f t="shared" si="16"/>
        <v>-3713874.77</v>
      </c>
      <c r="P111" s="19">
        <v>-1268593.8700000001</v>
      </c>
      <c r="Q111" s="19">
        <f t="shared" si="17"/>
        <v>0</v>
      </c>
      <c r="R111" s="19">
        <f t="shared" si="18"/>
        <v>-1268593.8700000001</v>
      </c>
      <c r="U111" s="20">
        <f t="shared" si="19"/>
        <v>371387.47700000001</v>
      </c>
      <c r="V111" s="20">
        <v>371387.47700000001</v>
      </c>
      <c r="W111" s="20">
        <v>371387.47700000001</v>
      </c>
      <c r="X111" s="20">
        <v>371387.47700000001</v>
      </c>
      <c r="Y111" s="20">
        <v>371387.47700000001</v>
      </c>
      <c r="Z111" s="20">
        <v>371387.47700000001</v>
      </c>
      <c r="AA111" s="20">
        <v>371387.47700000001</v>
      </c>
      <c r="AB111" s="20">
        <v>371387.47700000001</v>
      </c>
      <c r="AC111" s="20">
        <v>371387.47700000001</v>
      </c>
      <c r="AD111" s="20">
        <v>371387.47700000001</v>
      </c>
      <c r="AE111" s="17">
        <f t="shared" si="20"/>
        <v>0</v>
      </c>
    </row>
    <row r="112" spans="1:31" x14ac:dyDescent="0.3">
      <c r="A112" t="s">
        <v>147</v>
      </c>
      <c r="B112" s="17">
        <v>12887665.1</v>
      </c>
      <c r="C112" s="17">
        <v>0</v>
      </c>
      <c r="D112" s="17">
        <v>0</v>
      </c>
      <c r="E112" s="17">
        <v>0</v>
      </c>
      <c r="F112" s="17">
        <f t="shared" si="11"/>
        <v>12887665.1</v>
      </c>
      <c r="G112" s="17">
        <v>4971416.82</v>
      </c>
      <c r="H112" s="17">
        <v>-35401.199999999997</v>
      </c>
      <c r="I112" s="17">
        <f t="shared" si="12"/>
        <v>0</v>
      </c>
      <c r="J112" s="17">
        <f t="shared" si="13"/>
        <v>0</v>
      </c>
      <c r="K112" s="17">
        <v>-1669636.9</v>
      </c>
      <c r="L112" s="17">
        <f t="shared" si="14"/>
        <v>3266378.72</v>
      </c>
      <c r="M112" s="18">
        <f t="shared" si="15"/>
        <v>0.25345000003142543</v>
      </c>
      <c r="N112" s="7" t="s">
        <v>18</v>
      </c>
      <c r="O112" s="17">
        <f t="shared" si="16"/>
        <v>-1705038.0999999999</v>
      </c>
      <c r="P112" s="19">
        <v>-579016.91</v>
      </c>
      <c r="Q112" s="19">
        <f t="shared" si="17"/>
        <v>0</v>
      </c>
      <c r="R112" s="19">
        <f t="shared" si="18"/>
        <v>-579016.91</v>
      </c>
      <c r="U112" s="20">
        <f t="shared" si="19"/>
        <v>170503.81</v>
      </c>
      <c r="V112" s="20">
        <v>170503.81</v>
      </c>
      <c r="W112" s="20">
        <v>170503.81</v>
      </c>
      <c r="X112" s="20">
        <v>170503.81</v>
      </c>
      <c r="Y112" s="20">
        <v>170503.81</v>
      </c>
      <c r="Z112" s="20">
        <v>170503.81</v>
      </c>
      <c r="AA112" s="20">
        <v>170503.81</v>
      </c>
      <c r="AB112" s="20">
        <v>170503.81</v>
      </c>
      <c r="AC112" s="20">
        <v>170503.81</v>
      </c>
      <c r="AD112" s="20">
        <v>170503.81</v>
      </c>
      <c r="AE112" s="17">
        <f t="shared" si="20"/>
        <v>0</v>
      </c>
    </row>
    <row r="113" spans="1:37" x14ac:dyDescent="0.3">
      <c r="A113" t="s">
        <v>219</v>
      </c>
      <c r="B113" s="17">
        <v>0</v>
      </c>
      <c r="C113" s="17">
        <v>0</v>
      </c>
      <c r="D113" s="17">
        <v>0</v>
      </c>
      <c r="E113" s="17">
        <v>0</v>
      </c>
      <c r="F113" s="17">
        <f t="shared" si="11"/>
        <v>0</v>
      </c>
      <c r="G113" s="17">
        <v>0</v>
      </c>
      <c r="H113" s="17">
        <v>0</v>
      </c>
      <c r="I113" s="17">
        <f t="shared" si="12"/>
        <v>0</v>
      </c>
      <c r="J113" s="17">
        <f t="shared" si="13"/>
        <v>0</v>
      </c>
      <c r="K113" s="17">
        <v>0</v>
      </c>
      <c r="L113" s="17">
        <f t="shared" si="14"/>
        <v>0</v>
      </c>
      <c r="M113" s="18">
        <v>0</v>
      </c>
      <c r="N113" s="7" t="s">
        <v>18</v>
      </c>
      <c r="O113" s="17">
        <f t="shared" si="16"/>
        <v>0</v>
      </c>
      <c r="P113" s="19">
        <v>0</v>
      </c>
      <c r="Q113" s="19">
        <f t="shared" si="17"/>
        <v>0</v>
      </c>
      <c r="R113" s="19">
        <f t="shared" si="18"/>
        <v>0</v>
      </c>
      <c r="U113" s="20">
        <f t="shared" si="19"/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17">
        <f t="shared" si="20"/>
        <v>0</v>
      </c>
    </row>
    <row r="114" spans="1:37" x14ac:dyDescent="0.3">
      <c r="A114" t="s">
        <v>79</v>
      </c>
      <c r="B114" s="30">
        <f>SUM(B11:B113)</f>
        <v>-5369289403.5999994</v>
      </c>
      <c r="C114" s="30">
        <v>0</v>
      </c>
      <c r="D114" s="30">
        <f>SUM(D11:D113)</f>
        <v>-372128660.98000014</v>
      </c>
      <c r="E114" s="30">
        <v>0</v>
      </c>
      <c r="F114" s="30">
        <f t="shared" ref="F114:L114" si="21">SUM(F11:F113)</f>
        <v>-5741418064.579999</v>
      </c>
      <c r="G114" s="30">
        <f t="shared" si="21"/>
        <v>-1361050137.8300006</v>
      </c>
      <c r="H114" s="30">
        <f t="shared" si="21"/>
        <v>57777413.719999999</v>
      </c>
      <c r="I114" s="30">
        <f>SUM(I11:I113)</f>
        <v>8640661.0247799456</v>
      </c>
      <c r="J114" s="30">
        <f t="shared" si="21"/>
        <v>-3813103.1158499978</v>
      </c>
      <c r="K114" s="30">
        <f t="shared" si="21"/>
        <v>426750609.75</v>
      </c>
      <c r="L114" s="30">
        <f t="shared" si="21"/>
        <v>-871694556.45107019</v>
      </c>
      <c r="M114" s="31"/>
      <c r="N114" s="7" t="s">
        <v>18</v>
      </c>
      <c r="O114" s="17"/>
      <c r="P114" s="19">
        <v>597854.47</v>
      </c>
      <c r="Q114" s="19">
        <v>0</v>
      </c>
      <c r="R114" s="19">
        <f t="shared" si="18"/>
        <v>597854.47</v>
      </c>
      <c r="S114" s="32" t="s">
        <v>373</v>
      </c>
      <c r="U114" s="20">
        <f t="shared" si="19"/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17">
        <f t="shared" si="20"/>
        <v>0</v>
      </c>
    </row>
    <row r="115" spans="1:37" x14ac:dyDescent="0.3">
      <c r="A115" t="s">
        <v>374</v>
      </c>
      <c r="B115" s="33">
        <v>43111.435057870367</v>
      </c>
      <c r="D115" s="25">
        <v>0</v>
      </c>
      <c r="J115" s="17">
        <v>-1.4901161193847656E-8</v>
      </c>
      <c r="O115" s="56">
        <f>SUM(O11:O114)</f>
        <v>132960112.09757203</v>
      </c>
      <c r="P115" s="30">
        <f>SUM(P11:P114)</f>
        <v>78170765.299999997</v>
      </c>
      <c r="Q115" s="30">
        <f>SUM(Q11:Q114)</f>
        <v>-16568308.022635307</v>
      </c>
      <c r="R115" s="30">
        <f>SUM(R11:R114)</f>
        <v>61602457.277364694</v>
      </c>
      <c r="U115" s="30">
        <f>SUM(U11:U114)</f>
        <v>-13296011.209757201</v>
      </c>
      <c r="V115" s="30">
        <f t="shared" ref="V115:AE115" si="22">SUM(V11:V114)</f>
        <v>-13296011.209757201</v>
      </c>
      <c r="W115" s="30">
        <f t="shared" si="22"/>
        <v>-13296011.209757201</v>
      </c>
      <c r="X115" s="30">
        <f t="shared" si="22"/>
        <v>-13296011.209757201</v>
      </c>
      <c r="Y115" s="30">
        <f t="shared" si="22"/>
        <v>-13296011.209757201</v>
      </c>
      <c r="Z115" s="30">
        <f t="shared" si="22"/>
        <v>-13296011.209757201</v>
      </c>
      <c r="AA115" s="30">
        <f t="shared" si="22"/>
        <v>-13296011.209757201</v>
      </c>
      <c r="AB115" s="30">
        <f t="shared" si="22"/>
        <v>-13296011.209757201</v>
      </c>
      <c r="AC115" s="30">
        <f t="shared" si="22"/>
        <v>-13296011.209757201</v>
      </c>
      <c r="AD115" s="30">
        <f t="shared" si="22"/>
        <v>-13296011.209757201</v>
      </c>
      <c r="AE115" s="30">
        <f t="shared" si="22"/>
        <v>0</v>
      </c>
    </row>
    <row r="116" spans="1:37" ht="15" thickBot="1" x14ac:dyDescent="0.35">
      <c r="A116" s="5" t="s">
        <v>375</v>
      </c>
      <c r="D116" s="28">
        <f>+D66</f>
        <v>-397264729.1400001</v>
      </c>
      <c r="F116" s="17">
        <f>+D114+B114</f>
        <v>-5741418064.5799999</v>
      </c>
      <c r="G116" s="27"/>
      <c r="H116" t="s">
        <v>15</v>
      </c>
      <c r="K116" s="23">
        <f>+K114+H114+J114</f>
        <v>480714920.35415006</v>
      </c>
      <c r="L116" s="5" t="s">
        <v>376</v>
      </c>
      <c r="O116" s="34">
        <v>127436151.222124</v>
      </c>
      <c r="P116" s="30"/>
      <c r="Q116" s="30"/>
      <c r="R116" s="30"/>
      <c r="U116" s="35">
        <f>+O116+U115</f>
        <v>114140140.0123668</v>
      </c>
      <c r="V116" s="36">
        <f>+U116+V115</f>
        <v>100844128.80260959</v>
      </c>
      <c r="W116" s="57">
        <f t="shared" ref="W116:AE116" si="23">+V116+W115</f>
        <v>87548117.592852384</v>
      </c>
      <c r="X116" s="58">
        <f t="shared" si="23"/>
        <v>74252106.383095175</v>
      </c>
      <c r="Y116" s="59">
        <f>+X116+Y115</f>
        <v>60956095.173337974</v>
      </c>
      <c r="Z116" s="168">
        <f>+Y116+Z115</f>
        <v>47660083.963580772</v>
      </c>
      <c r="AA116" s="166">
        <f t="shared" si="23"/>
        <v>34364072.753823571</v>
      </c>
      <c r="AB116" s="189">
        <f t="shared" si="23"/>
        <v>21068061.54406637</v>
      </c>
      <c r="AC116" s="35">
        <f t="shared" si="23"/>
        <v>7772050.3343091682</v>
      </c>
      <c r="AD116" s="35">
        <f t="shared" si="23"/>
        <v>-5523960.8754480332</v>
      </c>
      <c r="AE116" s="35">
        <f t="shared" si="23"/>
        <v>-5523960.8754480332</v>
      </c>
      <c r="AF116" s="5"/>
      <c r="AG116" s="5"/>
      <c r="AH116" s="5"/>
      <c r="AI116" s="5"/>
      <c r="AJ116" s="5"/>
      <c r="AK116" s="5"/>
    </row>
    <row r="117" spans="1:37" ht="15" thickTop="1" x14ac:dyDescent="0.3">
      <c r="B117" s="17">
        <f>+B114+5369289403.6</f>
        <v>0</v>
      </c>
      <c r="D117" s="29">
        <f>+D114-D116</f>
        <v>25136068.159999967</v>
      </c>
      <c r="K117" s="25">
        <v>484348575.81999999</v>
      </c>
      <c r="L117" s="5" t="s">
        <v>377</v>
      </c>
      <c r="O117" s="29"/>
      <c r="Q117" s="20">
        <f>+J114*P8</f>
        <v>-1294529.4818996475</v>
      </c>
      <c r="U117" s="20"/>
      <c r="AE117" s="17"/>
    </row>
    <row r="118" spans="1:37" x14ac:dyDescent="0.3">
      <c r="D118" s="29">
        <f>+J114/D117</f>
        <v>-0.15169847135909434</v>
      </c>
      <c r="K118" s="30">
        <f>+K117-K116</f>
        <v>3633655.465849936</v>
      </c>
      <c r="L118" s="5" t="s">
        <v>378</v>
      </c>
      <c r="O118" s="31" t="s">
        <v>379</v>
      </c>
      <c r="Q118" s="29">
        <f>+Q115-Q117</f>
        <v>-15273778.54073566</v>
      </c>
      <c r="U118" s="2">
        <f>U116-O116</f>
        <v>-13296011.209757194</v>
      </c>
      <c r="V118" s="2">
        <f>V116-U116</f>
        <v>-13296011.209757209</v>
      </c>
      <c r="W118" s="2">
        <f t="shared" ref="W118:Y118" si="24">W116-V116</f>
        <v>-13296011.209757209</v>
      </c>
      <c r="X118" s="2">
        <f t="shared" si="24"/>
        <v>-13296011.209757209</v>
      </c>
      <c r="Y118" s="2">
        <f t="shared" si="24"/>
        <v>-13296011.209757201</v>
      </c>
      <c r="Z118" s="2">
        <f t="shared" ref="Z118" si="25">Z116-Y116</f>
        <v>-13296011.209757201</v>
      </c>
      <c r="AA118" s="2">
        <f t="shared" ref="AA118" si="26">AA116-Z116</f>
        <v>-13296011.209757201</v>
      </c>
      <c r="AB118" s="2" t="s">
        <v>380</v>
      </c>
      <c r="AE118" s="17"/>
    </row>
    <row r="119" spans="1:37" x14ac:dyDescent="0.3">
      <c r="K119" s="37">
        <v>-819.8</v>
      </c>
      <c r="L119" s="5" t="s">
        <v>381</v>
      </c>
      <c r="U119" s="39"/>
      <c r="V119" s="39"/>
      <c r="AE119" s="17"/>
    </row>
    <row r="120" spans="1:37" x14ac:dyDescent="0.3">
      <c r="K120" s="40">
        <v>117265.03</v>
      </c>
      <c r="L120" s="5" t="s">
        <v>382</v>
      </c>
      <c r="U120" s="29"/>
      <c r="AE120" s="17"/>
    </row>
    <row r="121" spans="1:37" x14ac:dyDescent="0.3">
      <c r="A121" s="31" t="s">
        <v>223</v>
      </c>
      <c r="K121" s="41">
        <f>SUM(K119:K120)</f>
        <v>116445.23</v>
      </c>
      <c r="L121" s="5" t="s">
        <v>383</v>
      </c>
      <c r="O121" s="2">
        <f>+O42+O43</f>
        <v>16202161.232123999</v>
      </c>
    </row>
    <row r="122" spans="1:37" x14ac:dyDescent="0.3">
      <c r="A122" s="31" t="s">
        <v>384</v>
      </c>
      <c r="K122" s="17"/>
      <c r="L122" s="5"/>
      <c r="O122" s="38">
        <f>SUM(O12:O40)+O82+O108</f>
        <v>-6352163.0099999998</v>
      </c>
    </row>
    <row r="123" spans="1:37" x14ac:dyDescent="0.3">
      <c r="K123" s="17">
        <f>+K118+K121</f>
        <v>3750100.695849936</v>
      </c>
      <c r="L123" s="5" t="s">
        <v>385</v>
      </c>
      <c r="N123" s="5"/>
    </row>
    <row r="126" spans="1:37" x14ac:dyDescent="0.3">
      <c r="K126" s="42" t="s">
        <v>386</v>
      </c>
      <c r="L126" s="29" t="s">
        <v>387</v>
      </c>
    </row>
    <row r="127" spans="1:37" x14ac:dyDescent="0.3">
      <c r="K127" t="s">
        <v>388</v>
      </c>
      <c r="L127" t="s">
        <v>389</v>
      </c>
      <c r="M127" t="s">
        <v>388</v>
      </c>
      <c r="N127" t="s">
        <v>390</v>
      </c>
    </row>
    <row r="128" spans="1:37" x14ac:dyDescent="0.3">
      <c r="K128" s="32" t="s">
        <v>17</v>
      </c>
      <c r="L128" s="29">
        <v>313545025.49000001</v>
      </c>
      <c r="M128" s="32" t="s">
        <v>17</v>
      </c>
      <c r="N128" s="29">
        <v>109623637.84000002</v>
      </c>
    </row>
    <row r="129" spans="1:15" x14ac:dyDescent="0.3">
      <c r="K129" s="32" t="s">
        <v>18</v>
      </c>
      <c r="L129" s="29">
        <v>170919995.54000005</v>
      </c>
      <c r="M129" s="32" t="s">
        <v>18</v>
      </c>
      <c r="N129" s="29">
        <v>71516821.310000002</v>
      </c>
    </row>
    <row r="130" spans="1:15" x14ac:dyDescent="0.3">
      <c r="K130" s="32" t="s">
        <v>391</v>
      </c>
      <c r="L130" s="29">
        <v>484465021.03000009</v>
      </c>
      <c r="M130" s="32" t="s">
        <v>391</v>
      </c>
      <c r="N130" s="29">
        <v>181140459.15000004</v>
      </c>
    </row>
    <row r="131" spans="1:15" x14ac:dyDescent="0.3">
      <c r="K131" s="32" t="s">
        <v>392</v>
      </c>
      <c r="L131" s="20">
        <f>+GETPIVOTDATA("Excess DTL",$K$127,"Normalization","Protected")/70</f>
        <v>4479214.6498571429</v>
      </c>
    </row>
    <row r="132" spans="1:15" x14ac:dyDescent="0.3">
      <c r="K132" s="32" t="s">
        <v>393</v>
      </c>
      <c r="L132" s="20">
        <f>+GETPIVOTDATA("Excess DTL",$K$127,"Normalization","Unprotected")/10</f>
        <v>17091999.554000005</v>
      </c>
      <c r="M132" s="29">
        <f>+L131+L132</f>
        <v>21571214.203857146</v>
      </c>
    </row>
    <row r="133" spans="1:15" x14ac:dyDescent="0.3">
      <c r="K133" s="43" t="s">
        <v>394</v>
      </c>
    </row>
    <row r="134" spans="1:15" x14ac:dyDescent="0.3">
      <c r="K134" t="s">
        <v>388</v>
      </c>
      <c r="L134" t="s">
        <v>389</v>
      </c>
      <c r="M134" t="s">
        <v>395</v>
      </c>
      <c r="N134" t="s">
        <v>388</v>
      </c>
      <c r="O134" t="s">
        <v>396</v>
      </c>
    </row>
    <row r="135" spans="1:15" x14ac:dyDescent="0.3">
      <c r="K135" s="32" t="s">
        <v>17</v>
      </c>
      <c r="L135" s="29">
        <v>347754808.25657803</v>
      </c>
      <c r="M135" s="29">
        <v>54205828.366577983</v>
      </c>
      <c r="N135" s="32" t="s">
        <v>17</v>
      </c>
      <c r="O135" s="29">
        <v>115920589.20402677</v>
      </c>
    </row>
    <row r="136" spans="1:15" x14ac:dyDescent="0.3">
      <c r="K136" s="32" t="s">
        <v>18</v>
      </c>
      <c r="L136" s="29">
        <v>132960112.09757203</v>
      </c>
      <c r="M136" s="29">
        <v>-58018931.48242797</v>
      </c>
      <c r="N136" s="32" t="s">
        <v>18</v>
      </c>
      <c r="O136" s="29">
        <v>63944314.500190362</v>
      </c>
    </row>
    <row r="137" spans="1:15" x14ac:dyDescent="0.3">
      <c r="J137" s="17">
        <f>+GETPIVOTDATA("Sum of Excess DTL",$K$134)-K116</f>
        <v>0</v>
      </c>
      <c r="K137" s="32" t="s">
        <v>391</v>
      </c>
      <c r="L137" s="29">
        <v>480714920.35415006</v>
      </c>
      <c r="M137" s="29">
        <v>-3813103.1158499867</v>
      </c>
      <c r="N137" s="32" t="s">
        <v>391</v>
      </c>
      <c r="O137" s="29">
        <v>179864903.70421714</v>
      </c>
    </row>
    <row r="138" spans="1:15" x14ac:dyDescent="0.3">
      <c r="K138" s="32" t="s">
        <v>392</v>
      </c>
      <c r="L138" s="20">
        <v>10189558</v>
      </c>
    </row>
    <row r="139" spans="1:15" x14ac:dyDescent="0.3">
      <c r="K139" s="32" t="s">
        <v>393</v>
      </c>
      <c r="L139" s="20">
        <f>+GETPIVOTDATA("Excess DTL",$K$134,"Normalization","Unprotected")/10</f>
        <v>13296011.209757203</v>
      </c>
      <c r="M139" s="29">
        <f>+L138+L139</f>
        <v>23485569.209757201</v>
      </c>
    </row>
    <row r="140" spans="1:15" x14ac:dyDescent="0.3">
      <c r="L140" s="20"/>
    </row>
    <row r="141" spans="1:15" x14ac:dyDescent="0.3">
      <c r="A141" t="str">
        <f ca="1">CELL("filename")</f>
        <v>C:\Users\aaoxo\Downloads\2025 Schedules\2025 Test Year\Schedules C\Working Schedules\C-25\[C-25 w-support_02.13.24.xlsx]C-25</v>
      </c>
      <c r="L141" s="44" t="s">
        <v>378</v>
      </c>
      <c r="M141" s="29">
        <f>+M132-M139</f>
        <v>-1914355.0059000552</v>
      </c>
    </row>
    <row r="142" spans="1:15" x14ac:dyDescent="0.3">
      <c r="L142" s="31"/>
      <c r="M142" s="5">
        <f>1-0.25345</f>
        <v>0.74655000000000005</v>
      </c>
    </row>
    <row r="143" spans="1:15" x14ac:dyDescent="0.3">
      <c r="L143" s="31" t="s">
        <v>397</v>
      </c>
      <c r="M143" s="20">
        <f>+M141/M142</f>
        <v>-2564268.9785011788</v>
      </c>
    </row>
    <row r="144" spans="1:15" x14ac:dyDescent="0.3">
      <c r="L144" s="31"/>
    </row>
    <row r="145" spans="11:15" x14ac:dyDescent="0.3">
      <c r="K145" s="42" t="s">
        <v>398</v>
      </c>
    </row>
    <row r="146" spans="11:15" x14ac:dyDescent="0.3">
      <c r="K146" s="45" t="s">
        <v>388</v>
      </c>
      <c r="L146" s="45" t="s">
        <v>386</v>
      </c>
      <c r="M146" s="45" t="s">
        <v>399</v>
      </c>
      <c r="N146" s="45" t="s">
        <v>394</v>
      </c>
    </row>
    <row r="147" spans="11:15" x14ac:dyDescent="0.3">
      <c r="K147" t="s">
        <v>17</v>
      </c>
      <c r="L147" s="46">
        <v>313545025.49000001</v>
      </c>
      <c r="M147" s="20">
        <f>+N147-L147</f>
        <v>34209782.766578019</v>
      </c>
      <c r="N147" s="29">
        <v>347754808.25657803</v>
      </c>
    </row>
    <row r="148" spans="11:15" x14ac:dyDescent="0.3">
      <c r="K148" t="s">
        <v>18</v>
      </c>
      <c r="L148" s="46">
        <v>170982997.97999999</v>
      </c>
      <c r="M148" s="20">
        <f>+N148-L148</f>
        <v>-38022885.882427961</v>
      </c>
      <c r="N148" s="29">
        <v>132960112.09757203</v>
      </c>
      <c r="O148" s="20">
        <f>+N148/10</f>
        <v>13296011.209757203</v>
      </c>
    </row>
    <row r="149" spans="11:15" x14ac:dyDescent="0.3">
      <c r="K149" s="47" t="s">
        <v>391</v>
      </c>
      <c r="L149" s="48">
        <v>484528023.47000003</v>
      </c>
      <c r="M149" s="49">
        <f>+M147+M148</f>
        <v>-3813103.115849942</v>
      </c>
      <c r="N149" s="50">
        <v>480714920.35415006</v>
      </c>
    </row>
    <row r="150" spans="11:15" x14ac:dyDescent="0.3">
      <c r="L150" s="29"/>
    </row>
  </sheetData>
  <pageMargins left="0.7" right="0.7" top="0.75" bottom="0.75" header="0.3" footer="0.3"/>
  <pageSetup orientation="portrait" r:id="rId5"/>
  <customProperties>
    <customPr name="EpmWorksheetKeyString_GUID" r:id="rId6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A051-7313-4FC9-9FB8-FDD1E907038A}">
  <sheetPr>
    <tabColor theme="5" tint="0.59999389629810485"/>
  </sheetPr>
  <dimension ref="A9:R24"/>
  <sheetViews>
    <sheetView workbookViewId="0">
      <selection activeCell="G23" sqref="G23"/>
    </sheetView>
  </sheetViews>
  <sheetFormatPr defaultRowHeight="14.4" x14ac:dyDescent="0.3"/>
  <cols>
    <col min="1" max="2" width="19.33203125" bestFit="1" customWidth="1"/>
    <col min="3" max="3" width="13.33203125" bestFit="1" customWidth="1"/>
    <col min="4" max="4" width="12.109375" bestFit="1" customWidth="1"/>
    <col min="5" max="6" width="10.6640625" bestFit="1" customWidth="1"/>
    <col min="7" max="7" width="12.5546875" bestFit="1" customWidth="1"/>
    <col min="9" max="9" width="16" bestFit="1" customWidth="1"/>
    <col min="18" max="18" width="13.33203125" bestFit="1" customWidth="1"/>
  </cols>
  <sheetData>
    <row r="9" spans="7:9" ht="15" thickBot="1" x14ac:dyDescent="0.35"/>
    <row r="10" spans="7:9" ht="15" thickBot="1" x14ac:dyDescent="0.35">
      <c r="G10" s="91">
        <f>4265315/5</f>
        <v>853063</v>
      </c>
      <c r="H10" t="s">
        <v>400</v>
      </c>
    </row>
    <row r="11" spans="7:9" x14ac:dyDescent="0.3">
      <c r="G11" s="1">
        <f>+G10/0.75478</f>
        <v>1130214.1021224728</v>
      </c>
      <c r="H11" t="s">
        <v>401</v>
      </c>
    </row>
    <row r="14" spans="7:9" x14ac:dyDescent="0.3">
      <c r="I14" s="1"/>
    </row>
    <row r="15" spans="7:9" x14ac:dyDescent="0.3">
      <c r="I15" s="60"/>
    </row>
    <row r="22" spans="1:18" x14ac:dyDescent="0.3">
      <c r="B22" s="5" t="s">
        <v>330</v>
      </c>
      <c r="C22" s="6">
        <v>2019</v>
      </c>
      <c r="D22" s="6">
        <v>2020</v>
      </c>
      <c r="E22" s="6">
        <v>2021</v>
      </c>
      <c r="F22" s="6">
        <v>2022</v>
      </c>
      <c r="G22" s="6">
        <v>2023</v>
      </c>
    </row>
    <row r="23" spans="1:18" x14ac:dyDescent="0.3">
      <c r="A23" s="5" t="s">
        <v>375</v>
      </c>
      <c r="B23" s="81">
        <v>4265315</v>
      </c>
      <c r="C23" s="60">
        <f>B23+C24</f>
        <v>3412252</v>
      </c>
      <c r="D23" s="60">
        <f>C23+D24</f>
        <v>2559189</v>
      </c>
      <c r="E23" s="60">
        <f>D23+E24</f>
        <v>1706126</v>
      </c>
      <c r="F23" s="60">
        <f>E23+F24</f>
        <v>853063</v>
      </c>
      <c r="G23" s="60">
        <f>F23+G24</f>
        <v>0</v>
      </c>
    </row>
    <row r="24" spans="1:18" x14ac:dyDescent="0.3">
      <c r="A24" t="s">
        <v>379</v>
      </c>
      <c r="C24" s="1">
        <f>-G10</f>
        <v>-853063</v>
      </c>
      <c r="D24" s="60">
        <f>C24</f>
        <v>-853063</v>
      </c>
      <c r="E24" s="60">
        <f t="shared" ref="E24:G24" si="0">D24</f>
        <v>-853063</v>
      </c>
      <c r="F24" s="60">
        <f t="shared" si="0"/>
        <v>-853063</v>
      </c>
      <c r="G24" s="60">
        <f t="shared" si="0"/>
        <v>-853063</v>
      </c>
      <c r="R24" s="1"/>
    </row>
  </sheetData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86EE01-5FFF-46FC-ADC5-34DBEFD81062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customXml/itemProps2.xml><?xml version="1.0" encoding="utf-8"?>
<ds:datastoreItem xmlns:ds="http://schemas.openxmlformats.org/officeDocument/2006/customXml" ds:itemID="{B7AFD3AF-0593-42DD-BD78-51802BF8BA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B2136C-580F-40AC-9A3E-44BFF2DB0F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C-25</vt:lpstr>
      <vt:lpstr>2023 EXCESS</vt:lpstr>
      <vt:lpstr>2024 EXCESS</vt:lpstr>
      <vt:lpstr>2025 EXCESS</vt:lpstr>
      <vt:lpstr>2023 PTAX RPT 260</vt:lpstr>
      <vt:lpstr>2024 PTAX RPT 260</vt:lpstr>
      <vt:lpstr>2025 PTAX RPT 260</vt:lpstr>
      <vt:lpstr>FD Unamortiz Unprotected Bal</vt:lpstr>
      <vt:lpstr>ST Unprotec def per stipulation</vt:lpstr>
      <vt:lpstr>2021 51051 - Def Tax Adj</vt:lpstr>
      <vt:lpstr>State Excess</vt:lpstr>
      <vt:lpstr>2023 51052 2820610 NO FT</vt:lpstr>
      <vt:lpstr>2024 51052 2820610 NO FT</vt:lpstr>
      <vt:lpstr>2025 51052 2820610 NO FT</vt:lpstr>
      <vt:lpstr>'2023 EXCESS'!Print_Area</vt:lpstr>
      <vt:lpstr>'C-25'!Print_Area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Valdes, Amnerys</dc:creator>
  <cp:keywords/>
  <dc:description/>
  <cp:lastModifiedBy>Otero, Onixa</cp:lastModifiedBy>
  <cp:revision/>
  <dcterms:created xsi:type="dcterms:W3CDTF">2020-07-16T17:05:32Z</dcterms:created>
  <dcterms:modified xsi:type="dcterms:W3CDTF">2024-04-08T22:49:49Z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2023-07-25T14:29:57Z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e6bd6fca-b8b8-48bf-a622-78fb92eab44a</vt:lpwstr>
  </property>
  <property fmtid="{D5CDD505-2E9C-101B-9397-08002B2CF9AE}" pid="8" name="MSIP_Label_a83f872e-d8d7-43ac-9961-0f2ad31e50e5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0x01010093961404F3F6B34988E14CCD792B016F</vt:lpwstr>
  </property>
  <property fmtid="{D5CDD505-2E9C-101B-9397-08002B2CF9AE}" pid="12" name="{A44787D4-0540-4523-9961-78E4036D8C6D}">
    <vt:lpwstr>{29EFE203-8399-4121-896D-7A8E81E371B5}</vt:lpwstr>
  </property>
  <property fmtid="{D5CDD505-2E9C-101B-9397-08002B2CF9AE}" pid="13" name="Order">
    <vt:r8>768300</vt:r8>
  </property>
  <property fmtid="{D5CDD505-2E9C-101B-9397-08002B2CF9AE}" pid="14" name="xd_Signature">
    <vt:bool>false</vt:bool>
  </property>
  <property fmtid="{D5CDD505-2E9C-101B-9397-08002B2CF9AE}" pid="15" name="xd_ProgID">
    <vt:lpwstr/>
  </property>
  <property fmtid="{D5CDD505-2E9C-101B-9397-08002B2CF9AE}" pid="16" name="_SourceUrl">
    <vt:lpwstr/>
  </property>
  <property fmtid="{D5CDD505-2E9C-101B-9397-08002B2CF9AE}" pid="17" name="_SharedFileIndex">
    <vt:lpwstr/>
  </property>
  <property fmtid="{D5CDD505-2E9C-101B-9397-08002B2CF9AE}" pid="18" name="ComplianceAssetId">
    <vt:lpwstr/>
  </property>
  <property fmtid="{D5CDD505-2E9C-101B-9397-08002B2CF9AE}" pid="19" name="TemplateUrl">
    <vt:lpwstr/>
  </property>
  <property fmtid="{D5CDD505-2E9C-101B-9397-08002B2CF9AE}" pid="20" name="_ExtendedDescription">
    <vt:lpwstr/>
  </property>
  <property fmtid="{D5CDD505-2E9C-101B-9397-08002B2CF9AE}" pid="21" name="TriggerFlowInfo">
    <vt:lpwstr/>
  </property>
</Properties>
</file>